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pers" sheetId="1" r:id="rId4"/>
    <sheet state="visible" name="Countries" sheetId="2" r:id="rId5"/>
    <sheet state="visible" name="Cost" sheetId="3" r:id="rId6"/>
    <sheet state="visible" name="Response Rate" sheetId="4" r:id="rId7"/>
    <sheet state="visible" name="Representativeness" sheetId="5" r:id="rId8"/>
  </sheets>
  <definedNames>
    <definedName hidden="1" localSheetId="0" name="_xlnm._FilterDatabase">Papers!$A$1:$O$65</definedName>
    <definedName hidden="1" localSheetId="1" name="_xlnm._FilterDatabase">Countries!$A$2:$AS$60</definedName>
    <definedName hidden="1" localSheetId="2" name="_xlnm._FilterDatabase">Cost!$A$1:$P$49</definedName>
    <definedName hidden="1" localSheetId="3" name="_xlnm._FilterDatabase">'Response Rate'!$A$2:$AH$167</definedName>
    <definedName hidden="1" localSheetId="4" name="_xlnm._FilterDatabase">Representativeness!$A$1:$O$510</definedName>
  </definedNames>
  <calcPr/>
</workbook>
</file>

<file path=xl/sharedStrings.xml><?xml version="1.0" encoding="utf-8"?>
<sst xmlns="http://schemas.openxmlformats.org/spreadsheetml/2006/main" count="3991" uniqueCount="558">
  <si>
    <t>ID</t>
  </si>
  <si>
    <t>Used</t>
  </si>
  <si>
    <t>Title</t>
  </si>
  <si>
    <t>Authors</t>
  </si>
  <si>
    <t>Journal</t>
  </si>
  <si>
    <t>Year</t>
  </si>
  <si>
    <t>Research Year (earliest)</t>
  </si>
  <si>
    <t>URL</t>
  </si>
  <si>
    <t>CAPI</t>
  </si>
  <si>
    <t>CATI</t>
  </si>
  <si>
    <t>SMS</t>
  </si>
  <si>
    <t>IVR</t>
  </si>
  <si>
    <t>Web</t>
  </si>
  <si>
    <t>Questionnaire Design</t>
  </si>
  <si>
    <t>Incentive Structure</t>
  </si>
  <si>
    <t>Call Me Maybe: Experimental Evidence on Frequency and Medium Effects in Microenterprise Surveys</t>
  </si>
  <si>
    <t xml:space="preserve">Robert Garlick, Kate Orkin, and Simon Quinn. </t>
  </si>
  <si>
    <t>The World Bank Economic Review</t>
  </si>
  <si>
    <t>https://doi.org/10.1093/wber/lhz021</t>
  </si>
  <si>
    <t>X</t>
  </si>
  <si>
    <t>Measuring Employment: Experimental Evidence from Ghana</t>
  </si>
  <si>
    <t>Rachel Health, Ghazala Mansuri, Bob Rijkers, William Seitz, and Dhiraj Sharma</t>
  </si>
  <si>
    <t>Working Paper</t>
  </si>
  <si>
    <t>https://www.dropbox.com/s/ogtyu07o4n2c1e3/HMRSS%20%283%29.pdf?dl=0</t>
  </si>
  <si>
    <t>The Socio-Economic Impacts of Ebola in Liberia : Results from a High Frequency Cell Phone Survey Round Five.”</t>
  </si>
  <si>
    <t>Kristen Himelein Kastelic and Jonathan Kastelic</t>
  </si>
  <si>
    <t>http://documents.worldbank.org/curated/en/162381468179333776/The-socio-economic-impacts-of-Ebola-in-Liberia-results-from-a-high-frequency-cell-phone-survey-round-five</t>
  </si>
  <si>
    <t>Adaptive Treatment Assignment in Experiments for Policy Choice</t>
  </si>
  <si>
    <t>Maximilian Kasy and Anja Sautmann</t>
  </si>
  <si>
    <t>https://ideas.repec.org/p/ces/ceswps/_7778.html</t>
  </si>
  <si>
    <t>In Search of the Optimal Mode for Mobile Phone Surveys in Developing Countries. A Comparison of IVR, SMS, and CATI in Nigeria</t>
  </si>
  <si>
    <t>Charles Lau, Alexandra Cronberg, Leenisha Marks, and Ashley Amaya</t>
  </si>
  <si>
    <t>Journal of the European Survey Research Association</t>
  </si>
  <si>
    <t>https://doi.org/10.18148/srm/2019.v13i3.7375</t>
  </si>
  <si>
    <t>Survey Research with a Random Digit Dial National Mobile Phone Sample in Ghana: Methods and Sample Quality</t>
  </si>
  <si>
    <t>Kelly L’Engle, Eunice Sefa, Edward Akolgo Adimazoya, Emmanuel Yartey, Rachel Lenzi, Cindy Tarpo, Nii Lante Heward-Mills, Katherine Lew, and Yvonne Ampeh</t>
  </si>
  <si>
    <t>PLoS One</t>
  </si>
  <si>
    <t>https://doi.org/10.1371/journal.pone.0190902</t>
  </si>
  <si>
    <t>Do Mobile Phone Surveys Work in Poor Countries?</t>
  </si>
  <si>
    <t>Leo, Benjamin, Robert Morello, Jonathan Mellon, Tiago Peixoto, and Stephen Davenport</t>
  </si>
  <si>
    <t>https://doi.org/10.2139/ssrn.2623097</t>
  </si>
  <si>
    <t>Patterns of Demand for Non-Ebola Health Services during and after the Ebola Outbreak: Panel Survey Evidence from Monrovia, Liberia</t>
  </si>
  <si>
    <t>Ben Morse, Karen Grépin, Robert Blair, and Lily Tsai</t>
  </si>
  <si>
    <t>BMJ Global Health</t>
  </si>
  <si>
    <t>https://doi.org/10.1136/bmjgh-2015-000007</t>
  </si>
  <si>
    <t>The Socio-Economic Impacts of Ebola in Sierra Leone : Results from a High Frequency Cell Phone Survey - Round Three</t>
  </si>
  <si>
    <t>Kristen Himelein Kastelic, Mauro Testaverde, Akubakarr Turay, and Samuel Turay</t>
  </si>
  <si>
    <t>http://documents.worldbank.org/curated/en/873321467999676330/The-socio-economic-impacts-of-Ebola-in-Sierra-Leone-results-from-a-high-frequency-cell-phone-survey-round-three</t>
  </si>
  <si>
    <t>Mobile Phone Panel Surveys in Developing Countries : A Practical Guide for Microdata Collection</t>
  </si>
  <si>
    <t>Andrew Dabalen, Alvin Etang Ndip, Johannes Hoogeveen, Elvis Mushi, Youdi Schipper, and Johannes von Engelhardt</t>
  </si>
  <si>
    <t>http://documents.worldbank.org/curated/en/877231468391801912/Mobile-phone-panel-surveys-in-developing-countries-a-practical-guide-for-microdata-collection</t>
  </si>
  <si>
    <t>Tracking Health Seeking Behavior during an Ebola Outbreak via Mobile Phones and SMS</t>
  </si>
  <si>
    <t>Shuo Feng, Karen Grépin, and Rumi Chunara</t>
  </si>
  <si>
    <t>npj Digital Medicine</t>
  </si>
  <si>
    <t>https://doi.org/10.1038/s41746-018-0055-z</t>
  </si>
  <si>
    <t>Using SMS Technology to Survey Low-Income Youth: Lessons from a Vocational Education Tracking Study in Kenya</t>
  </si>
  <si>
    <t>Charles Lau, Ehud Gachugu, Eric Johnson, and Leenisha Marks</t>
  </si>
  <si>
    <t>Journal of International Development</t>
  </si>
  <si>
    <t>https://doi.org/10.1002/jid.3373</t>
  </si>
  <si>
    <t>High Stakes, Low Resources: What Mode(s) Should Youth Employment Training Programs Use to Track Alumni? Evidence From South Africa</t>
  </si>
  <si>
    <t>Charles Lau, Eric Johnson, Ashley Amaya, Patricia LeBaron, and Herschel Sanders</t>
  </si>
  <si>
    <t>https://doi.org/10.1002/jid.3359</t>
  </si>
  <si>
    <t>How Representative Are SMS Surveys in Africa? Experimental Evidence From Four Countries</t>
  </si>
  <si>
    <t>Charles Lau, Ansie Lombaard, Melissa Baker, Joe Eyerman, and Lisa Thalji</t>
  </si>
  <si>
    <t>International Journal of Public Opinion Research</t>
  </si>
  <si>
    <t>https://doi.org/10.1093/ijpor/edy008</t>
  </si>
  <si>
    <t>Questionnaire Design in Short Message Service (SMS) Surveys</t>
  </si>
  <si>
    <t>Charles Lau, Herschel Sanders, and Ansie Lombaard</t>
  </si>
  <si>
    <t>Field Methods</t>
  </si>
  <si>
    <t>https://doi.org/10.1177/1525822X19862506</t>
  </si>
  <si>
    <t>Does mobile phone survey method matter? Reliability of computer-assisted telephone interviews and interactive voice response non-communicable diseases risk factor surveys in low and middle income countries</t>
  </si>
  <si>
    <t>George Pariyo, Abigail Greenleaf, Dustin Gibson, Joseph Ali, Hannah Selig, Alain Labrique, Ghlam Muhammed Al Kibria, Iqbal Ansary Khan, Honorati Masanja,Meerjady Sabrina Flora, Saifuddin Ahmed, Adnan Hyder</t>
  </si>
  <si>
    <t>https://doi.org/10.1371/journal.pone.0214450</t>
  </si>
  <si>
    <t>Effect of airtime incentives on response and cooperation rates in non-communicable disease interactive voice response surveys: randomised controlled trials in Bangladesh and Uganda</t>
  </si>
  <si>
    <t xml:space="preserve">Dustin Gibson, Adaeze Wosu, George Pariyo, Saifuddin Ahmed, Joseph Ali, Alain Labrique, Iqbal Khan, Elizeus Rutebemberwa, Meerjady Flora, and Adnan Hyder. </t>
  </si>
  <si>
    <t>http://doi.org/10.1136/bmjgh-2019-001604</t>
  </si>
  <si>
    <t>Practical Considerations with Using Mobile Phone Survey Incentives: Experiences in Ghana and Tanzania</t>
  </si>
  <si>
    <t>Brian Leo and Robert Morello</t>
  </si>
  <si>
    <t>https://papers.ssrn.com/sol3/papers.cfm?abstract_id=2841010</t>
  </si>
  <si>
    <t>Identifying Non-Working Phone Numbers for Response Rate Calculations in Africa</t>
  </si>
  <si>
    <t>Charles Lau and Nicolas di Tada</t>
  </si>
  <si>
    <t>Survey Practice</t>
  </si>
  <si>
    <t>https://doi.org/10.29115/SP-2018-0020</t>
  </si>
  <si>
    <t>The Use of Monetary Incentives to Reduce Nonresponse in Random Digit Dial Telephone Surveys</t>
  </si>
  <si>
    <t>David Cantor, Barbar O'Hare, and Kathleen O'Conner</t>
  </si>
  <si>
    <t>Book Chapter</t>
  </si>
  <si>
    <t>N/A</t>
  </si>
  <si>
    <t>https://doi.org/10.1002/9780470173404.ch22</t>
  </si>
  <si>
    <t>The Use and Effects of Incentives in Surveys</t>
  </si>
  <si>
    <t>Eleanor Singer and Cong Ye</t>
  </si>
  <si>
    <t>The Annals of the American Academy of Political and Social Science</t>
  </si>
  <si>
    <t>https://doi.org/10.1177/0002716212458082</t>
  </si>
  <si>
    <t>Large Monetary Incentives and their Effect on Mail Survey Response Rates</t>
  </si>
  <si>
    <t>Jeannine James and Richard Bolstein</t>
  </si>
  <si>
    <t>Public Opinion Quarterly</t>
  </si>
  <si>
    <t>https://doi.org/10.1086/269336</t>
  </si>
  <si>
    <t>An Experimental Test of the Effects of Survey Sponsorship on Internet and Mail Survey Response</t>
  </si>
  <si>
    <t>Michelle Edwards, Don Dillman, Jolene Smyth</t>
  </si>
  <si>
    <t>https://doi.org/10.1093/poq/nfu027</t>
  </si>
  <si>
    <t>Reducing Attrition in Phone Surveys</t>
  </si>
  <si>
    <t>Berk Ozler &amp; P. Facundo Cuevas</t>
  </si>
  <si>
    <t>Blog Post</t>
  </si>
  <si>
    <t>https://blogs.worldbank.org/impactevaluations/reducing-attrition-phone-surveys</t>
  </si>
  <si>
    <t>A Qualitative Evaluation of the Acceptability of an Interactive Voice Response System to Enhance Adherence to Isoniazid Preventive Therapy Among People Living with HIV in Ethiopia</t>
  </si>
  <si>
    <t xml:space="preserve">Amrita Daftary, Yael Hirsch-Moverman, Getnet Kassie, Zenebe Melaku, Tsigereda Gadisa, Suzue Saito &amp; Andrea Howard </t>
  </si>
  <si>
    <t>AIDS and Behavior</t>
  </si>
  <si>
    <t>https://doi.org/10.1007/s10461-016-1432-8</t>
  </si>
  <si>
    <t>Strengths and limitations of computer assisted telephone interviews (CATI) for nutrition data collection in rural Kenya</t>
  </si>
  <si>
    <t>Christine Lamanna, Kusum Hachhethu, Sabrina Chesterman, Gaurav Singhal, Beatrice Mwongela, Mary Ng’endo, Silvia Passeri et al.</t>
  </si>
  <si>
    <t>https://doi.org/10.1371/journal.pone.0210050</t>
  </si>
  <si>
    <t>NCD Mobile Phone Survey in the Philippines</t>
  </si>
  <si>
    <t>Bloomberg Philanthropies Data for Health Initiative: NCD Mobile Phone Survey</t>
  </si>
  <si>
    <t>https://0df04920-08a1-4b70-a12c-25629cb5ffc4.filesusr.com/ugd/7a26dc_be4e35bd7c524fbaab45d86bb2ae27f8.pdf</t>
  </si>
  <si>
    <t>A mobile-based healthcare utilization assessment in rural Ghana</t>
  </si>
  <si>
    <t>Lara Vogel, Levi Goertz, Suhuyini Shani, Mark Boots, Louis Dorval, and N. Ewen Wang</t>
  </si>
  <si>
    <t>Procedia Engineering</t>
  </si>
  <si>
    <t>https://doi.org/10.1016/j.proeng.2016.08.394</t>
  </si>
  <si>
    <t>Building the Evidence Base for Remote Data Collection in Low- and Middle-Income Countries: Comparing Reliability and Accuracy Across Survey Modalities</t>
  </si>
  <si>
    <t xml:space="preserve">Abigail Greenleaf, Dustin Gibson, Christelle Khattar, Alain Labrique, George Pariyo </t>
  </si>
  <si>
    <t>Journal of Medical Internet Research</t>
  </si>
  <si>
    <t>https://doi.org/10.2196/jmir.7331</t>
  </si>
  <si>
    <t>Listening to Tajikistan</t>
  </si>
  <si>
    <t>Chiara Broccolini, William Seitz, and Joao Pedro Azevedo</t>
  </si>
  <si>
    <t>http://documents.worldbank.org/curated/en/624621538136672723/Listening-to-Tajikistan-Household-Survey-Background-Implementation-and-Methods</t>
  </si>
  <si>
    <t>Pre-Survey Text Messages (SMS) Improve Participation Rate in an Australian Mobile Telephone Survey: An Experimental Study.</t>
  </si>
  <si>
    <t>Eleanora Dal Grande, Catherine Chittleborough, Stefano Campostrini, Maureen Dollard, and Anne Taylor</t>
  </si>
  <si>
    <t>https://doi.org/10.1371/journal.pone.0150231</t>
  </si>
  <si>
    <t>Evaluation of Gaining Cooperation Methods for IVR Surveys in Low- and Middle-income Countries</t>
  </si>
  <si>
    <t>Ashley Amaya, Charles Lau, Yaa Owusu-Amoah &amp; Jocelyn Light</t>
  </si>
  <si>
    <t>Survey Methods</t>
  </si>
  <si>
    <t>https://doi.org/10.13094/SMIF-2018-00005</t>
  </si>
  <si>
    <t>Evaluating a Modular Design Approach to Collecting Survey Data Using Text Messages</t>
  </si>
  <si>
    <t>Brady West, Dirgha Ghimire, and William Axinn</t>
  </si>
  <si>
    <t>https://doi.org/10.18148/srm/2015.v9i2.6135</t>
  </si>
  <si>
    <t>Executive Summary: Zambia NCD Mobile Phone Survey 2017</t>
  </si>
  <si>
    <t>https://0df04920-08a1-4b70-a12c-25629cb5ffc4.filesusr.com/ugd/7a26dc_8d7efc17f3d649fd8f3db4c8fa7c0bcc.pdf</t>
  </si>
  <si>
    <t>Relying Solely On Mobile Phone Technology: Sampling And Gathering Survey Data In Challenging Settings</t>
  </si>
  <si>
    <t>Elisa Maffioli</t>
  </si>
  <si>
    <t>https://elisamaffioli.files.wordpress.com/2020/03/maffioli_method.pdf</t>
  </si>
  <si>
    <t>Mozambique Mobile Access and Usage Study Computer-Assisted Telephone Interview (CATI) Survey Results</t>
  </si>
  <si>
    <t>Daan Velthausz, Rotafina Donco, Hannah Skelly and Marga Eichleay</t>
  </si>
  <si>
    <t>https://dec.usaid.gov/dec/content/Detail_Presto.aspx?q=KERvY3VtZW50cy5Eb2N1WVudF9JRDooUEEtMDBNLUdERCkp&amp;ctID=ODVhZjk4NWQtM2YyMi00YjRmLTkxNjktZTcxMjM2NDBmY2Uy&amp;rID=MjIxNjQ4&amp;qcf=ODVhZjk4NWQtM2YyMi00YjRmLTkxNjktZTcxMjM2NDBmY2Uy&amp;ph=VHJ1ZQ%3d%3d&amp;bckToL=VHJ1ZQ%3d%3d&amp;</t>
  </si>
  <si>
    <t>Feasibility of an interactive voice response system for monitoring depressive symptoms in a lower‑middle income Latin American country</t>
  </si>
  <si>
    <t>Mary Janevic, Amparo Aruquipa Yujra, Nicolle Marinec, Juvenal Aguilar, James Aikens, Rosa Tarrazona and John Piette</t>
  </si>
  <si>
    <t>International Journal of Mental Health Systems</t>
  </si>
  <si>
    <t>https://doi.org/10.1186/s13033-016-0093-3</t>
  </si>
  <si>
    <t>Can Incentive Effects in Web Surveys be Generalized to Non-Western Countries? Conditional and Unconditional Cash Incentives in a Web Survey of Ghanaian University Students</t>
  </si>
  <si>
    <t>Bart Meuleman, Arnim Langer, Annelies Blom</t>
  </si>
  <si>
    <t>Social Science Computer Review</t>
  </si>
  <si>
    <t>https://doi.org/10.1177/0894439317699577</t>
  </si>
  <si>
    <t>USAID Communicate for Health Mobile Cohort Study - Follow-up Survey 2018</t>
  </si>
  <si>
    <t>Nii Heward-Mills and Yaa Ama Owusu-Amoah</t>
  </si>
  <si>
    <t>https://pdf.usaid.gov/pdf_docs/PA00TQWN.pdf</t>
  </si>
  <si>
    <t>Testing the validity and feasibility of using a mobile phone-based method to assess the strength of implementation of family planning programs in Malawi</t>
  </si>
  <si>
    <t xml:space="preserve">Anooj Pattnaik, Diwakar Mohan, Sam Chipokosa, Sautso Wachepa, Hans Katengeza, Amos Misomali &amp; Melissa A. Marx </t>
  </si>
  <si>
    <t>BMC Health Services Research</t>
  </si>
  <si>
    <t>https://doi.org/10.1186/s12913-020-5066-1</t>
  </si>
  <si>
    <t>Using mobile phones to collect panel data in developing countries</t>
  </si>
  <si>
    <t>Brian Dillon</t>
  </si>
  <si>
    <t>https://doi.org/10.1002/jid.1771</t>
  </si>
  <si>
    <t>Not your average job: Measuring farm labor in Tanzania</t>
  </si>
  <si>
    <t>Vellore Arthi, Kathleen Beegle,Joachim De Weerdt, Amparo Palacios-López</t>
  </si>
  <si>
    <t>Journal of Development Economics</t>
  </si>
  <si>
    <t>https://doi.org/10.1016/j.jdeveco.2017.10.005</t>
  </si>
  <si>
    <t>Using mobile phones for high-frequency data collection</t>
  </si>
  <si>
    <t>Amparo Ballivian, Joao Pedro Azevedo, Will Durbin</t>
  </si>
  <si>
    <t>https://www.ubiquitypress.com/site/chapters/10.5334/bar.c/download/293/</t>
  </si>
  <si>
    <t xml:space="preserve">Cell phone and face-to-face interview responses in population-based surveys: how do they compare? </t>
  </si>
  <si>
    <t>Ziyad Mahfoud, Lilian Ghandour, Blanche Ghandour, Ali Mokdad, and Abla Sibai</t>
  </si>
  <si>
    <t>https://doi.org/10.1177/1525822X14540084</t>
  </si>
  <si>
    <t>Validity of data collected by telephone survey: a comparison of VIGITEL 2008 and the ‘Saúde em Beagá’ survey</t>
  </si>
  <si>
    <t>Aline Dayrell Ferreira, Cibele Comini César, Deborah Carvalho Malta, Amanda Cristina de Souza Andrade, Cynthia Graciane Carvalho Ramos, Fernando Augusto Proietti, Regina Tomie Ivata Bernal, and Waleska Teixeira Caiaffa</t>
  </si>
  <si>
    <t>Brazilian Journal of Epidemiology</t>
  </si>
  <si>
    <t>https://doi.org/10.1590/s1415-790x2011000500003</t>
  </si>
  <si>
    <t>Collecting Data from mHealth Users via SMS Surveys: A Case Study in Kenya</t>
  </si>
  <si>
    <t>Douglas Johnson</t>
  </si>
  <si>
    <t>https://doi.org/10.29115/SP-2016-0004</t>
  </si>
  <si>
    <t>Mobile Phone Surveys for Collecting Population-Level Estimates in Low- and Middle-Income Countries: A Literature Review</t>
  </si>
  <si>
    <t>Dusin Gibson, Amanda Pereira, Brooke Farrenkopf, Allain Labrique, George Pariyo, and Adnan Hyder</t>
  </si>
  <si>
    <t>Jounal of Medical Internet Research</t>
  </si>
  <si>
    <t>https://doi.org/10.2196/jmir.7428</t>
  </si>
  <si>
    <t>Beyond Response Rates: The Effect of Prepaid Incentives on Measurement Error</t>
  </si>
  <si>
    <t>Rebecca Medway</t>
  </si>
  <si>
    <t>https://drum.lib.umd.edu/handle/1903/13646</t>
  </si>
  <si>
    <t>Can incentives improve survey data quality in developing countries?: results from a field experiment in India</t>
  </si>
  <si>
    <t>Guy Stecklov, Alexander Weinreb, and Calogero Carletto</t>
  </si>
  <si>
    <t>Journal of the Royal Statistical Society (Series A)</t>
  </si>
  <si>
    <t>https://doi.org/10.1111/rssa.12333</t>
  </si>
  <si>
    <t>Mode Effects in the Canadian Community Health Survey: A Comparison of CATI and CAPI</t>
  </si>
  <si>
    <t xml:space="preserve">Yves Béland and Martin St‐Pierre </t>
  </si>
  <si>
    <t>https://doi.org/10.1002/9780470173404.ch14</t>
  </si>
  <si>
    <t>Monitoring the Ebola Crisis Using Mobile Phone Surveys</t>
  </si>
  <si>
    <t>Alvin Etang, and Kristen Himelein.</t>
  </si>
  <si>
    <t>https://doi.org/10.1007/978-3-030-25120-8_2</t>
  </si>
  <si>
    <t>Collecting High Frequency Panel Data in Africa Using Mobile Phone Interviews</t>
  </si>
  <si>
    <t>Johannes Hoogeveen, Kevin Croke, Andrew Dabalen, Gabriel Demombynes, and Marcelo Giugale</t>
  </si>
  <si>
    <t>Canadian Journal of Development Studies</t>
  </si>
  <si>
    <t>https://doi.org/10.1080/02255189.2014.876390</t>
  </si>
  <si>
    <t>In-Person Versus Telephone Interviewing</t>
  </si>
  <si>
    <t>Agar et. al.</t>
  </si>
  <si>
    <t>https://doi.org/10.4135/9781412984492.n9</t>
  </si>
  <si>
    <t>Cell Phone and Face-to-Face Interview Responses in Population-Based Surveys: How Do They Compare?</t>
  </si>
  <si>
    <t>ZIyad Mahfoud, Lilian Ghandour, Blanche Ghandour, Ali H. Mokdad, and Abla M. Sibai</t>
  </si>
  <si>
    <t>Telephone Versus Face-to-Face Interviews: Mode Effect on Semistructured Interviews with Children</t>
  </si>
  <si>
    <t>Vogl, Susanne</t>
  </si>
  <si>
    <t>Sociological Methodology</t>
  </si>
  <si>
    <t>https://doi.org/10.1177/0081175012465967</t>
  </si>
  <si>
    <t>What Can We Learn about Energy Access and Demand from Mobile-Phone Surveys? Nine Findings from Twelve African Countries</t>
  </si>
  <si>
    <t>Ben Leo, Jared Kalow, and Todd Moss</t>
  </si>
  <si>
    <t>https://www.cgdev.org/publication/what-can-we-learn-about-energy-access-and-demand-mobile-phone-surveys</t>
  </si>
  <si>
    <t>The Effects of Cash, Electronic, and Paper Gift Certificates as Respondent Incentives for a Web-Based Survey of Technologically Sophisticated Respondents</t>
  </si>
  <si>
    <t>Jeremy Birnholtz, Daniel Horn, Thomas Fiholt, and Sung Joo Bae</t>
  </si>
  <si>
    <t>https://doi.org/10.1177/0894439304263147</t>
  </si>
  <si>
    <t>Improving Response to Household Surveys Using Mail Contact to Request Responses over the Internet: Results From a Series of Experiments</t>
  </si>
  <si>
    <t>Don Dillman</t>
  </si>
  <si>
    <t>Presentation</t>
  </si>
  <si>
    <t>http://kostat.go.kr/iwsm/download/2014/1.%20Don%20A.%20Dillman.pdf</t>
  </si>
  <si>
    <t>Eleanor Singer</t>
  </si>
  <si>
    <t>https://iriss.stanford.edu/sites/g/files/sbiybj6196/f/singer_slides.pdf</t>
  </si>
  <si>
    <t>Impact evaluations in the time of Covid-19, Part 1</t>
  </si>
  <si>
    <t>Markus Goldstein &amp; Florence Kondylis</t>
  </si>
  <si>
    <t>https://blogs.worldbank.org/impactevaluations/impact-evaluations-time-covid-19-part-1</t>
  </si>
  <si>
    <t>Listening to Africa</t>
  </si>
  <si>
    <t>Alvin Ndip &amp; Maura Leary</t>
  </si>
  <si>
    <t>https://www.worldbank.org/en/programs/listening-to-africa#1</t>
  </si>
  <si>
    <t>What’s mode got to do with it? Comparing in-person and online qualitative data collection</t>
  </si>
  <si>
    <t>Emily Namey</t>
  </si>
  <si>
    <t>https://researchforevidence.fhi360.org/whats-mode-got-to-do-with-it-comparing-in-person-and-online-qualitative-data-collection</t>
  </si>
  <si>
    <t>Ben Leo , Jared Kalow and Todd Moss</t>
  </si>
  <si>
    <t>Including Hard-to-Access Populations Using Mobile Phone Surveys and Participatory Indicators</t>
  </si>
  <si>
    <t>Pamina Firchow, Roger Mac Ginty</t>
  </si>
  <si>
    <t>Sociological Methods &amp; Research</t>
  </si>
  <si>
    <t>https://journals.sagepub.com/doi/abs/10.1177/0049124117729702</t>
  </si>
  <si>
    <t>IPA Country Offices</t>
  </si>
  <si>
    <t>Other Countries</t>
  </si>
  <si>
    <t>Author</t>
  </si>
  <si>
    <t>Research Year</t>
  </si>
  <si>
    <t>Mode</t>
  </si>
  <si>
    <t>Bangladesh</t>
  </si>
  <si>
    <t>Bolivia</t>
  </si>
  <si>
    <t>Burkina Faso</t>
  </si>
  <si>
    <t>Colombia</t>
  </si>
  <si>
    <t>Dominican Republic</t>
  </si>
  <si>
    <t>Ghana</t>
  </si>
  <si>
    <t>Ivory Coast</t>
  </si>
  <si>
    <t>Kenya</t>
  </si>
  <si>
    <t>Liberia</t>
  </si>
  <si>
    <t>Malawi</t>
  </si>
  <si>
    <t>Mali</t>
  </si>
  <si>
    <t>Mexico</t>
  </si>
  <si>
    <t>Myanmar</t>
  </si>
  <si>
    <t>Nigeria</t>
  </si>
  <si>
    <t>Paraguay</t>
  </si>
  <si>
    <t>Peru</t>
  </si>
  <si>
    <t>Philippines</t>
  </si>
  <si>
    <t>Rwanda</t>
  </si>
  <si>
    <t>Sierra Leone</t>
  </si>
  <si>
    <t>Tanzania</t>
  </si>
  <si>
    <t>Uganda</t>
  </si>
  <si>
    <t>Zambia</t>
  </si>
  <si>
    <t>Afghanistan</t>
  </si>
  <si>
    <t>Australia</t>
  </si>
  <si>
    <t>Brazil</t>
  </si>
  <si>
    <t>Ethiopia</t>
  </si>
  <si>
    <t>Hondouras</t>
  </si>
  <si>
    <t>India</t>
  </si>
  <si>
    <t>Madagascar</t>
  </si>
  <si>
    <t>Mozambique</t>
  </si>
  <si>
    <t>Nepal</t>
  </si>
  <si>
    <t>Senegal</t>
  </si>
  <si>
    <t>South Africa</t>
  </si>
  <si>
    <t>South Sudan</t>
  </si>
  <si>
    <t>Tajikistan</t>
  </si>
  <si>
    <t>Togo</t>
  </si>
  <si>
    <t>Turkey</t>
  </si>
  <si>
    <t>USA</t>
  </si>
  <si>
    <t>Zimbabwe</t>
  </si>
  <si>
    <t>Mail</t>
  </si>
  <si>
    <t>CATi</t>
  </si>
  <si>
    <t>Country</t>
  </si>
  <si>
    <t>Sample</t>
  </si>
  <si>
    <t>Completes</t>
  </si>
  <si>
    <t>Cost Unit</t>
  </si>
  <si>
    <t>CPI to 2020 USD</t>
  </si>
  <si>
    <t>Incentive cost</t>
  </si>
  <si>
    <t>Cost/Complete</t>
  </si>
  <si>
    <t>Cost/Complete (No incentive)</t>
  </si>
  <si>
    <t>Cost/Complete (2020 USD)</t>
  </si>
  <si>
    <t>Notes</t>
  </si>
  <si>
    <t>CAPI (Monthly)</t>
  </si>
  <si>
    <t>Household Collection</t>
  </si>
  <si>
    <t>2013 USD</t>
  </si>
  <si>
    <t>CAPI (Weekly)</t>
  </si>
  <si>
    <t>RDD</t>
  </si>
  <si>
    <t>2017 USD</t>
  </si>
  <si>
    <t>2014 USD</t>
  </si>
  <si>
    <t>Does not include call center fixed costs (phones, chargers, location)</t>
  </si>
  <si>
    <t>2018 USD</t>
  </si>
  <si>
    <t>2016 USD</t>
  </si>
  <si>
    <t>No incentive information reported</t>
  </si>
  <si>
    <t>Pre-existing</t>
  </si>
  <si>
    <t>2015 USD</t>
  </si>
  <si>
    <t>No incentive information reported; Calculated based on average interview time (7:46)</t>
  </si>
  <si>
    <t>SMS - Moduler</t>
  </si>
  <si>
    <t>2016 MZN</t>
  </si>
  <si>
    <t>Completion by incentive assignment not reported; Uses July 1, 2016 exchange rate</t>
  </si>
  <si>
    <t>Uses July 1, 2016 exchange rate; Includes SMS cost; Incentives were prepaid for the endline with a low response rate. 96 meticais underestimates incentive cost/complete.</t>
  </si>
  <si>
    <t>Conditional $1.30 incentive to women for each wave of the survey; Includes data analysis and project management costs</t>
  </si>
  <si>
    <t xml:space="preserve">Pre-existing </t>
  </si>
  <si>
    <t>2020 USD</t>
  </si>
  <si>
    <t>2009 USD</t>
  </si>
  <si>
    <t>Additional asset incentives not included (phones and SIM cards). Phone was $20; SIM card 0.38</t>
  </si>
  <si>
    <t>2012 USD</t>
  </si>
  <si>
    <t>No incentive information reported; May include asset incentives (phones and SIM cards)</t>
  </si>
  <si>
    <t>Lebanon</t>
  </si>
  <si>
    <t>Estimated cost per interview if the full version of the F2F questionnaire were used cell phone survey (20% of itmes)</t>
  </si>
  <si>
    <t>Response Rates</t>
  </si>
  <si>
    <t>Disposition Codes</t>
  </si>
  <si>
    <t>Reported by Authors</t>
  </si>
  <si>
    <t>Disposition Codes (Other)</t>
  </si>
  <si>
    <t>Sampling Frame</t>
  </si>
  <si>
    <t>Phones Provided</t>
  </si>
  <si>
    <t>Survey Length
(Max)</t>
  </si>
  <si>
    <t>Treatment</t>
  </si>
  <si>
    <t>Panel Wave</t>
  </si>
  <si>
    <t>Survey Length
(Min)</t>
  </si>
  <si>
    <t>Connected (I/V)</t>
  </si>
  <si>
    <t>Dialed
 (I/N)</t>
  </si>
  <si>
    <t>Sample N
(N)</t>
  </si>
  <si>
    <t>Connected Numbers
(V)</t>
  </si>
  <si>
    <t>Complete (I)</t>
  </si>
  <si>
    <t>Partial (P)</t>
  </si>
  <si>
    <t>Refusals (R)</t>
  </si>
  <si>
    <t>Breaks-off (R)</t>
  </si>
  <si>
    <t>Non-contact 
(NC)</t>
  </si>
  <si>
    <t>Non-connect</t>
  </si>
  <si>
    <t>Response Rate Type</t>
  </si>
  <si>
    <t>Response rate</t>
  </si>
  <si>
    <t>N</t>
  </si>
  <si>
    <t>Other (Category 2 - Eligible, Non-interview)</t>
  </si>
  <si>
    <t>Unknown other (UO)</t>
  </si>
  <si>
    <t>Unknown household (UH)</t>
  </si>
  <si>
    <t>Ineligible (under age)</t>
  </si>
  <si>
    <t>Ineligible (connected, but no/invalid selection)</t>
  </si>
  <si>
    <t>Ineligible (answered age and sex questions but quotas were full or did not meet other requirement)</t>
  </si>
  <si>
    <t>Ineligible (temporarily out of service)</t>
  </si>
  <si>
    <t>Ineligible (technological issues)</t>
  </si>
  <si>
    <t>Household collection</t>
  </si>
  <si>
    <t>Completes/numbers dialed</t>
  </si>
  <si>
    <t>1x per week</t>
  </si>
  <si>
    <t>Completes/scheduled interviews</t>
  </si>
  <si>
    <t>3x per week</t>
  </si>
  <si>
    <t>Wave 1</t>
  </si>
  <si>
    <t>Wave 2</t>
  </si>
  <si>
    <t>Wave 3</t>
  </si>
  <si>
    <t>Wave 4</t>
  </si>
  <si>
    <t>Wave 5</t>
  </si>
  <si>
    <t>No SMS, 10:00 AM Call</t>
  </si>
  <si>
    <t>Contacts/attempts</t>
  </si>
  <si>
    <t>No SMS, 6:30 PM call</t>
  </si>
  <si>
    <t>SMS 1h before, 10:00 AM Call</t>
  </si>
  <si>
    <t>SMS 1h before, 6:30 PM Call</t>
  </si>
  <si>
    <t>SMS 24h before, 10:00 AM call</t>
  </si>
  <si>
    <t>SMS 24h before, 6:30 PM call</t>
  </si>
  <si>
    <t>`12</t>
  </si>
  <si>
    <t xml:space="preserve">AAPOR Response Rate #4 (I+P)/((I+P) + (R+NC+O) + e(UH+UO)) </t>
  </si>
  <si>
    <t>Control</t>
  </si>
  <si>
    <t>Raffle incentive</t>
  </si>
  <si>
    <t>Transfer incentive</t>
  </si>
  <si>
    <t>Mobile network operator</t>
  </si>
  <si>
    <t>SMS -&gt; Web</t>
  </si>
  <si>
    <t>Web -&gt; SMS</t>
  </si>
  <si>
    <t>CATI: First contact</t>
  </si>
  <si>
    <t>AAPOR Response Rate #2 (I+P)/(I + P + NR)</t>
  </si>
  <si>
    <t>IVR: Follow-up</t>
  </si>
  <si>
    <t xml:space="preserve">Bangladesh </t>
  </si>
  <si>
    <t>CATI: Follow-up</t>
  </si>
  <si>
    <t>IVR: First contact</t>
  </si>
  <si>
    <t>100 Taka incentive</t>
  </si>
  <si>
    <t>50 Taka incentive</t>
  </si>
  <si>
    <t>10000 UGX incentive</t>
  </si>
  <si>
    <t>5000 UGX incentive</t>
  </si>
  <si>
    <t>CATI: First contact; subsample 1</t>
  </si>
  <si>
    <t>CATI: First contact; subsample 2</t>
  </si>
  <si>
    <t>CATI: Follow-up; subsample 1</t>
  </si>
  <si>
    <t>CATI: Follow-up; subsample 2</t>
  </si>
  <si>
    <t>AAPOR Response Rate #1</t>
  </si>
  <si>
    <t>Pre-survey SMS</t>
  </si>
  <si>
    <t>Language selector at end</t>
  </si>
  <si>
    <t>Language selector at start</t>
  </si>
  <si>
    <t>No recording intro</t>
  </si>
  <si>
    <t>Recording intro</t>
  </si>
  <si>
    <t>Neoal</t>
  </si>
  <si>
    <t>SMS Modular</t>
  </si>
  <si>
    <t>IVR with SMS fallback</t>
  </si>
  <si>
    <t>Prepaid 10 GHS</t>
  </si>
  <si>
    <t>Prepaid 20 GHS</t>
  </si>
  <si>
    <t>Prepaid 5 GHS</t>
  </si>
  <si>
    <t>Promised 10 GHS</t>
  </si>
  <si>
    <t>Promised 20 GHS</t>
  </si>
  <si>
    <t>Promised 5 GHS</t>
  </si>
  <si>
    <t>IVR: Mixed mode</t>
  </si>
  <si>
    <t>Community-based distribution agents</t>
  </si>
  <si>
    <t>Completes/numbers dialed Note: Calling medical facilities</t>
  </si>
  <si>
    <t>Health surveillance agents</t>
  </si>
  <si>
    <t>In-charges</t>
  </si>
  <si>
    <t>$1 incentive</t>
  </si>
  <si>
    <t>Wave 6</t>
  </si>
  <si>
    <t>$5 incentive</t>
  </si>
  <si>
    <t>Population description</t>
  </si>
  <si>
    <t>Dimension</t>
  </si>
  <si>
    <t>Population (P)</t>
  </si>
  <si>
    <t>Study Sample
(S)</t>
  </si>
  <si>
    <t>Comparison Group 
(C)</t>
  </si>
  <si>
    <t>Difference (P - C)</t>
  </si>
  <si>
    <t>Difference (S - C)</t>
  </si>
  <si>
    <t>Ghana Urban Household Panel Survey Subsample</t>
  </si>
  <si>
    <t>In-person weekly</t>
  </si>
  <si>
    <t>Age</t>
  </si>
  <si>
    <t>Phone triweekly</t>
  </si>
  <si>
    <t>Phone control</t>
  </si>
  <si>
    <t>Phone weekly</t>
  </si>
  <si>
    <t>Education (Years)</t>
  </si>
  <si>
    <t>Employed</t>
  </si>
  <si>
    <t>Female</t>
  </si>
  <si>
    <t>Hours worked per week</t>
  </si>
  <si>
    <t>HIES</t>
  </si>
  <si>
    <t>Urban</t>
  </si>
  <si>
    <t>Age: 18-29</t>
  </si>
  <si>
    <t>Age: 30-39</t>
  </si>
  <si>
    <t>Age: 40-49</t>
  </si>
  <si>
    <t>Age: 50-64</t>
  </si>
  <si>
    <t>Age: 50-65</t>
  </si>
  <si>
    <t>Educ attain: Less than primary</t>
  </si>
  <si>
    <t>Educ attain: Primary</t>
  </si>
  <si>
    <t>Educ attain: Secondary</t>
  </si>
  <si>
    <t>Male</t>
  </si>
  <si>
    <t>Wealth dummy: Radio</t>
  </si>
  <si>
    <t>RDD + RNG</t>
  </si>
  <si>
    <t>Age: 15-24</t>
  </si>
  <si>
    <t>Age: 25-34</t>
  </si>
  <si>
    <t>Age: 35-49</t>
  </si>
  <si>
    <t>Age: 35-54</t>
  </si>
  <si>
    <t>Age: 55+</t>
  </si>
  <si>
    <t>Educ attempt: Primary</t>
  </si>
  <si>
    <t>Educ attempt: Secondary</t>
  </si>
  <si>
    <t>Educ: None</t>
  </si>
  <si>
    <t>Educ: Post-secondary</t>
  </si>
  <si>
    <t>Language: Amharic</t>
  </si>
  <si>
    <t>Language: Changana</t>
  </si>
  <si>
    <t>Language: Chuabo</t>
  </si>
  <si>
    <t>Language: Dari</t>
  </si>
  <si>
    <t>Language: English</t>
  </si>
  <si>
    <t>Language: Makua</t>
  </si>
  <si>
    <t>Language: Ndebele</t>
  </si>
  <si>
    <t>Language: Oromo</t>
  </si>
  <si>
    <t>Language: Pashto</t>
  </si>
  <si>
    <t>Language: Portuguese</t>
  </si>
  <si>
    <t>Language: Sena</t>
  </si>
  <si>
    <t>Language: Shona</t>
  </si>
  <si>
    <t>Language: Sidamo</t>
  </si>
  <si>
    <t>Language: Somali</t>
  </si>
  <si>
    <t>Language: Tigrayan</t>
  </si>
  <si>
    <t>Wealth dummy: Chair</t>
  </si>
  <si>
    <t>Wealth dummy: Finished Floor</t>
  </si>
  <si>
    <t>Wealth dummy: Finished Roof</t>
  </si>
  <si>
    <t>Wealth dummy: Toilet</t>
  </si>
  <si>
    <t>Monrovia residents</t>
  </si>
  <si>
    <t>Round 2</t>
  </si>
  <si>
    <t>Round 1</t>
  </si>
  <si>
    <t>Household size</t>
  </si>
  <si>
    <t>Income (US$)</t>
  </si>
  <si>
    <t>Graduates from 17 Kenyan Vocational Training Centres</t>
  </si>
  <si>
    <t>Alumni from employment training program</t>
  </si>
  <si>
    <t>Educ: Less than seconday</t>
  </si>
  <si>
    <t>8 v. 16 items</t>
  </si>
  <si>
    <t>Age: 18-24</t>
  </si>
  <si>
    <t>$0.50 v. $1.25 incentive</t>
  </si>
  <si>
    <t>Age: 35-44</t>
  </si>
  <si>
    <t>Age: 45-64</t>
  </si>
  <si>
    <t>Census (2006)</t>
  </si>
  <si>
    <t>Census (2011)</t>
  </si>
  <si>
    <t>Census (2009)</t>
  </si>
  <si>
    <t>Census (2010)</t>
  </si>
  <si>
    <t>Educ: Primary or below</t>
  </si>
  <si>
    <t>Educ: Secondary</t>
  </si>
  <si>
    <t>Employed, part-time</t>
  </si>
  <si>
    <t>Occupation: Housework/childcare</t>
  </si>
  <si>
    <t>Retired</t>
  </si>
  <si>
    <t>Self-employed</t>
  </si>
  <si>
    <t>Unemployed</t>
  </si>
  <si>
    <t>Wealth dummy: Modern Roof</t>
  </si>
  <si>
    <t>Wealth dummy: Modern Shelter</t>
  </si>
  <si>
    <t>IVR-FU</t>
  </si>
  <si>
    <t>CATI-FU</t>
  </si>
  <si>
    <t>Age: 30-49</t>
  </si>
  <si>
    <t>Age: 50-69</t>
  </si>
  <si>
    <t>Age: 70+</t>
  </si>
  <si>
    <t>Educ attempt: Less than primary</t>
  </si>
  <si>
    <t>Educ attempt: Tertiary plus</t>
  </si>
  <si>
    <t>50 Taka</t>
  </si>
  <si>
    <t>100 Taka</t>
  </si>
  <si>
    <t>5000 UGX</t>
  </si>
  <si>
    <t>10000 UGX</t>
  </si>
  <si>
    <t>Educ attempt: None</t>
  </si>
  <si>
    <t>Language: Bangla</t>
  </si>
  <si>
    <t>Language: Luganda</t>
  </si>
  <si>
    <t>Language: Luo</t>
  </si>
  <si>
    <t>Language: Runyakitara</t>
  </si>
  <si>
    <t>1000 Schilling</t>
  </si>
  <si>
    <t>Pre-notification SMS</t>
  </si>
  <si>
    <t>1 Cedi</t>
  </si>
  <si>
    <t>2 Cedi</t>
  </si>
  <si>
    <t>2000 Schilling</t>
  </si>
  <si>
    <t>500 Schilling</t>
  </si>
  <si>
    <t>4 Cedi</t>
  </si>
  <si>
    <t>Age: Less than 15</t>
  </si>
  <si>
    <t>Educ: Primary</t>
  </si>
  <si>
    <t>Wealth dummy: Bank account</t>
  </si>
  <si>
    <t>Wealth dummy: Finished Walls</t>
  </si>
  <si>
    <t>Wealth dummy: TV</t>
  </si>
  <si>
    <t>RNG</t>
  </si>
  <si>
    <t>Age: 30-44</t>
  </si>
  <si>
    <t>Age: 45+</t>
  </si>
  <si>
    <t>Age: 45-54</t>
  </si>
  <si>
    <t>Age: 55-64</t>
  </si>
  <si>
    <t>Age: 65+</t>
  </si>
  <si>
    <t>Educ: Bachelor degree or higher</t>
  </si>
  <si>
    <t>Educ: Below bachelor level</t>
  </si>
  <si>
    <t>Working hours (Full time)</t>
  </si>
  <si>
    <t>Working hours (Part-time)</t>
  </si>
  <si>
    <t>IVR w/ SMS fallback</t>
  </si>
  <si>
    <t>Representative Survey (MAUS)</t>
  </si>
  <si>
    <t>CATI Endline</t>
  </si>
  <si>
    <t>CATI Baseline</t>
  </si>
  <si>
    <t>Educ attain: Above secondary</t>
  </si>
  <si>
    <t>Educ attain: None</t>
  </si>
  <si>
    <t>Educ attain: Primary EP1</t>
  </si>
  <si>
    <t>Educ attain: Primary EP2</t>
  </si>
  <si>
    <t>Educ attain: Secondary ESG1</t>
  </si>
  <si>
    <t>Educ attain: Secondary ESG2</t>
  </si>
  <si>
    <t>Occupation: Agriculture</t>
  </si>
  <si>
    <t>Occupation: Manual labor</t>
  </si>
  <si>
    <t>Occupation: Professional; health, government</t>
  </si>
  <si>
    <t>Occupation: Sales &amp; services/clerical/office work</t>
  </si>
  <si>
    <t>Occupation: Student</t>
  </si>
  <si>
    <t>Occupation: Teachers/school director</t>
  </si>
  <si>
    <t>Weekly phone survey</t>
  </si>
  <si>
    <t>Educ: In school</t>
  </si>
  <si>
    <t>Literate</t>
  </si>
  <si>
    <t>NNCD-RFS F2F</t>
  </si>
  <si>
    <t>Mobile phone survey</t>
  </si>
  <si>
    <t>Age: 18-34:</t>
  </si>
  <si>
    <t>Educ: Complementary</t>
  </si>
  <si>
    <t>Educ: Secondary or technical</t>
  </si>
  <si>
    <t>Educ: University &amp; above</t>
  </si>
  <si>
    <t>Pre-existing RDD Sample</t>
  </si>
  <si>
    <t xml:space="preserve">VIGITEL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</si>
</sst>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0.0%"/>
    <numFmt numFmtId="166" formatCode="yyyy/m"/>
    <numFmt numFmtId="167" formatCode="0.0"/>
    <numFmt numFmtId="168" formatCode="#,##0.0"/>
  </numFmts>
  <fonts count="28">
    <font>
      <sz val="10.0"/>
      <color rgb="FF000000"/>
      <name val="Arial"/>
      <scheme val="minor"/>
    </font>
    <font>
      <b/>
      <sz val="11.0"/>
      <color rgb="FFFFFFFF"/>
      <name val="Open Sans"/>
    </font>
    <font>
      <color rgb="FF000000"/>
      <name val="Open Sans"/>
    </font>
    <font>
      <color theme="1"/>
      <name val="Open Sans"/>
    </font>
    <font>
      <u/>
      <color rgb="FF000000"/>
      <name val="Open Sans"/>
    </font>
    <font>
      <u/>
      <color rgb="FF000000"/>
      <name val="Open Sans"/>
    </font>
    <font>
      <color rgb="FF222222"/>
      <name val="Open Sans"/>
    </font>
    <font>
      <u/>
      <color rgb="FF000000"/>
      <name val="Open Sans"/>
    </font>
    <font>
      <u/>
      <color rgb="FF000000"/>
      <name val="Open Sans"/>
    </font>
    <font>
      <u/>
      <color rgb="FF000000"/>
      <name val="Open Sans"/>
    </font>
    <font>
      <u/>
      <color rgb="FF000000"/>
      <name val="Open Sans"/>
    </font>
    <font>
      <u/>
      <color rgb="FF000000"/>
      <name val="Open Sans"/>
    </font>
    <font>
      <u/>
      <color rgb="FF000000"/>
      <name val="Open Sans"/>
    </font>
    <font>
      <u/>
      <color rgb="FF000000"/>
      <name val="Open Sans"/>
    </font>
    <font>
      <color theme="1"/>
      <name val="Arial"/>
      <scheme val="minor"/>
    </font>
    <font>
      <b/>
      <color rgb="FFFFFFFF"/>
      <name val="Open Sans"/>
    </font>
    <font>
      <color rgb="FFFFFFFF"/>
      <name val="Open Sans"/>
    </font>
    <font>
      <b/>
      <color rgb="FFFFFFFF"/>
      <name val="Arial"/>
    </font>
    <font>
      <color theme="1"/>
      <name val="Arial"/>
    </font>
    <font>
      <color rgb="FF999999"/>
      <name val="Open Sans"/>
    </font>
    <font>
      <color rgb="FFCC0000"/>
      <name val="Open Sans"/>
    </font>
    <font>
      <i/>
      <color rgb="FFCC0000"/>
      <name val="Open Sans"/>
    </font>
    <font>
      <b/>
      <color theme="1"/>
      <name val="Open Sans"/>
    </font>
    <font>
      <b/>
      <color theme="1"/>
      <name val="Arial"/>
    </font>
    <font>
      <b/>
      <sz val="10.0"/>
      <color rgb="FFFFFFFF"/>
      <name val="Arial"/>
    </font>
    <font>
      <sz val="10.0"/>
      <color theme="1"/>
      <name val="Arial"/>
    </font>
    <font>
      <sz val="10.0"/>
      <color theme="1"/>
      <name val="Open Sans"/>
    </font>
    <font>
      <sz val="10.0"/>
      <color rgb="FF000000"/>
      <name val="Open Sans"/>
    </font>
  </fonts>
  <fills count="12">
    <fill>
      <patternFill patternType="none"/>
    </fill>
    <fill>
      <patternFill patternType="lightGray"/>
    </fill>
    <fill>
      <patternFill patternType="solid">
        <fgColor rgb="FF006EB9"/>
        <bgColor rgb="FF006EB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center" vertical="top"/>
    </xf>
    <xf borderId="1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0"/>
    </xf>
    <xf borderId="0" fillId="2" fontId="1" numFmtId="0" xfId="0" applyAlignment="1" applyFont="1">
      <alignment horizontal="center" shrinkToFit="0" vertical="top" wrapText="1"/>
    </xf>
    <xf borderId="0" fillId="3" fontId="2" numFmtId="0" xfId="0" applyAlignment="1" applyFill="1" applyFont="1">
      <alignment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vertical="top"/>
    </xf>
    <xf borderId="0" fillId="3" fontId="3" numFmtId="0" xfId="0" applyAlignment="1" applyFont="1">
      <alignment horizontal="left" shrinkToFit="0" vertical="top" wrapText="1"/>
    </xf>
    <xf borderId="0" fillId="3" fontId="4" numFmtId="0" xfId="0" applyAlignment="1" applyFont="1">
      <alignment horizontal="left" shrinkToFit="0" vertical="top" wrapText="0"/>
    </xf>
    <xf borderId="0" fillId="3" fontId="3" numFmtId="0" xfId="0" applyAlignment="1" applyFont="1">
      <alignment horizontal="center" vertical="top"/>
    </xf>
    <xf borderId="0" fillId="4" fontId="2" numFmtId="0" xfId="0" applyAlignment="1" applyFill="1" applyFont="1">
      <alignment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4" fontId="2" numFmtId="0" xfId="0" applyAlignment="1" applyFont="1">
      <alignment horizontal="left" vertical="top"/>
    </xf>
    <xf borderId="0" fillId="4" fontId="5" numFmtId="0" xfId="0" applyAlignment="1" applyFont="1">
      <alignment horizontal="left" shrinkToFit="0" vertical="top" wrapText="0"/>
    </xf>
    <xf borderId="0" fillId="4" fontId="3" numFmtId="0" xfId="0" applyAlignment="1" applyFont="1">
      <alignment horizontal="center" vertical="top"/>
    </xf>
    <xf borderId="0" fillId="4" fontId="6" numFmtId="0" xfId="0" applyAlignment="1" applyFont="1">
      <alignment horizontal="left" shrinkToFit="0" vertical="top" wrapText="1"/>
    </xf>
    <xf borderId="0" fillId="3" fontId="3" numFmtId="0" xfId="0" applyAlignment="1" applyFont="1">
      <alignment horizontal="left" vertical="top"/>
    </xf>
    <xf borderId="0" fillId="3" fontId="3" numFmtId="0" xfId="0" applyAlignment="1" applyFont="1">
      <alignment horizontal="center" shrinkToFit="0" vertical="top" wrapText="1"/>
    </xf>
    <xf borderId="0" fillId="4" fontId="3" numFmtId="0" xfId="0" applyAlignment="1" applyFont="1">
      <alignment horizontal="left" readingOrder="0" vertical="top"/>
    </xf>
    <xf borderId="0" fillId="4" fontId="3" numFmtId="0" xfId="0" applyAlignment="1" applyFont="1">
      <alignment horizontal="left" vertical="top"/>
    </xf>
    <xf borderId="0" fillId="4" fontId="3" numFmtId="0" xfId="0" applyAlignment="1" applyFont="1">
      <alignment horizontal="center" shrinkToFit="0" vertical="top" wrapText="1"/>
    </xf>
    <xf borderId="0" fillId="4" fontId="3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4" fontId="2" numFmtId="0" xfId="0" applyAlignment="1" applyFont="1">
      <alignment vertical="top"/>
    </xf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vertical="top"/>
    </xf>
    <xf borderId="0" fillId="3" fontId="3" numFmtId="0" xfId="0" applyAlignment="1" applyFont="1">
      <alignment vertical="top"/>
    </xf>
    <xf borderId="0" fillId="3" fontId="7" numFmtId="0" xfId="0" applyAlignment="1" applyFont="1">
      <alignment horizontal="left" readingOrder="0" shrinkToFit="0" vertical="top" wrapText="0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4" fontId="3" numFmtId="0" xfId="0" applyAlignment="1" applyFont="1">
      <alignment readingOrder="0"/>
    </xf>
    <xf borderId="0" fillId="4" fontId="8" numFmtId="0" xfId="0" applyAlignment="1" applyFont="1">
      <alignment shrinkToFit="0" vertical="bottom" wrapText="0"/>
    </xf>
    <xf borderId="0" fillId="4" fontId="3" numFmtId="0" xfId="0" applyAlignment="1" applyFont="1">
      <alignment horizontal="center" readingOrder="0" vertical="top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 vertical="top"/>
    </xf>
    <xf borderId="0" fillId="3" fontId="9" numFmtId="0" xfId="0" applyAlignment="1" applyFont="1">
      <alignment readingOrder="0" shrinkToFit="0" vertical="bottom" wrapText="0"/>
    </xf>
    <xf borderId="0" fillId="3" fontId="3" numFmtId="0" xfId="0" applyAlignment="1" applyFont="1">
      <alignment horizontal="center" readingOrder="0" vertical="top"/>
    </xf>
    <xf borderId="0" fillId="4" fontId="2" numFmtId="0" xfId="0" applyAlignment="1" applyFont="1">
      <alignment horizontal="right" shrinkToFit="0" vertical="top" wrapText="1"/>
    </xf>
    <xf borderId="0" fillId="4" fontId="2" numFmtId="0" xfId="0" applyAlignment="1" applyFont="1">
      <alignment horizontal="left" readingOrder="0" vertical="top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shrinkToFit="0" vertical="bottom" wrapText="1"/>
    </xf>
    <xf borderId="0" fillId="4" fontId="10" numFmtId="0" xfId="0" applyAlignment="1" applyFont="1">
      <alignment shrinkToFit="0" vertical="top" wrapText="0"/>
    </xf>
    <xf borderId="0" fillId="4" fontId="3" numFmtId="0" xfId="0" applyAlignment="1" applyFont="1">
      <alignment horizontal="center" vertical="bottom"/>
    </xf>
    <xf borderId="0" fillId="3" fontId="2" numFmtId="0" xfId="0" applyAlignment="1" applyFont="1">
      <alignment horizontal="right" shrinkToFit="0" vertical="top" wrapText="1"/>
    </xf>
    <xf borderId="0" fillId="3" fontId="2" numFmtId="0" xfId="0" applyAlignment="1" applyFont="1">
      <alignment horizontal="left" readingOrder="0" vertical="top"/>
    </xf>
    <xf borderId="0" fillId="3" fontId="3" numFmtId="0" xfId="0" applyAlignment="1" applyFont="1">
      <alignment readingOrder="0" shrinkToFit="0" vertical="top" wrapText="1"/>
    </xf>
    <xf borderId="0" fillId="3" fontId="3" numFmtId="0" xfId="0" applyAlignment="1" applyFont="1">
      <alignment horizontal="left" shrinkToFit="0" vertical="bottom" wrapText="1"/>
    </xf>
    <xf borderId="0" fillId="3" fontId="11" numFmtId="0" xfId="0" applyAlignment="1" applyFont="1">
      <alignment shrinkToFit="0" vertical="top" wrapText="0"/>
    </xf>
    <xf borderId="0" fillId="3" fontId="3" numFmtId="0" xfId="0" applyAlignment="1" applyFont="1">
      <alignment horizontal="center" vertical="bottom"/>
    </xf>
    <xf borderId="0" fillId="4" fontId="2" numFmtId="0" xfId="0" applyAlignment="1" applyFont="1">
      <alignment shrinkToFit="0" vertical="bottom" wrapText="1"/>
    </xf>
    <xf borderId="0" fillId="4" fontId="3" numFmtId="0" xfId="0" applyAlignment="1" applyFont="1">
      <alignment readingOrder="0"/>
    </xf>
    <xf borderId="0" fillId="3" fontId="2" numFmtId="0" xfId="0" applyAlignment="1" applyFont="1">
      <alignment shrinkToFit="0" vertical="bottom" wrapText="1"/>
    </xf>
    <xf borderId="0" fillId="3" fontId="12" numFmtId="0" xfId="0" applyAlignment="1" applyFont="1">
      <alignment shrinkToFit="0" vertical="bottom" wrapText="0"/>
    </xf>
    <xf borderId="0" fillId="3" fontId="3" numFmtId="0" xfId="0" applyAlignment="1" applyFont="1">
      <alignment readingOrder="0"/>
    </xf>
    <xf borderId="0" fillId="4" fontId="13" numFmtId="0" xfId="0" applyAlignment="1" applyFont="1">
      <alignment readingOrder="0" shrinkToFit="0" wrapText="0"/>
    </xf>
    <xf borderId="0" fillId="4" fontId="3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horizontal="left" vertical="bottom"/>
    </xf>
    <xf borderId="0" fillId="3" fontId="2" numFmtId="0" xfId="0" applyAlignment="1" applyFont="1">
      <alignment horizontal="right" vertical="top"/>
    </xf>
    <xf borderId="0" fillId="4" fontId="3" numFmtId="0" xfId="0" applyAlignment="1" applyFont="1">
      <alignment horizontal="right" shrinkToFit="0" vertical="top" wrapText="1"/>
    </xf>
    <xf borderId="0" fillId="0" fontId="14" numFmtId="0" xfId="0" applyAlignment="1" applyFont="1">
      <alignment horizontal="left"/>
    </xf>
    <xf borderId="0" fillId="2" fontId="15" numFmtId="0" xfId="0" applyAlignment="1" applyFont="1">
      <alignment horizontal="center" shrinkToFit="0" vertical="bottom" wrapText="1"/>
    </xf>
    <xf borderId="0" fillId="2" fontId="15" numFmtId="0" xfId="0" applyAlignment="1" applyFont="1">
      <alignment horizontal="center" vertical="bottom"/>
    </xf>
    <xf borderId="0" fillId="2" fontId="15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vertical="bottom"/>
    </xf>
    <xf borderId="0" fillId="2" fontId="15" numFmtId="0" xfId="0" applyAlignment="1" applyFont="1">
      <alignment horizontal="center" readingOrder="0" vertical="bottom"/>
    </xf>
    <xf borderId="0" fillId="2" fontId="1" numFmtId="0" xfId="0" applyAlignment="1" applyFont="1">
      <alignment horizontal="center" shrinkToFit="0" vertical="bottom" wrapText="0"/>
    </xf>
    <xf borderId="0" fillId="2" fontId="1" numFmtId="0" xfId="0" applyAlignment="1" applyFont="1">
      <alignment horizontal="center" shrinkToFit="0" vertical="bottom" wrapText="1"/>
    </xf>
    <xf borderId="0" fillId="2" fontId="16" numFmtId="0" xfId="0" applyAlignment="1" applyFont="1">
      <alignment horizontal="center" shrinkToFit="0" textRotation="135" vertical="bottom" wrapText="0"/>
    </xf>
    <xf borderId="0" fillId="2" fontId="16" numFmtId="0" xfId="0" applyAlignment="1" applyFont="1">
      <alignment horizontal="center" textRotation="135" vertical="bottom"/>
    </xf>
    <xf borderId="0" fillId="2" fontId="16" numFmtId="0" xfId="0" applyAlignment="1" applyFont="1">
      <alignment horizontal="center" textRotation="135" vertical="bottom"/>
    </xf>
    <xf borderId="0" fillId="3" fontId="3" numFmtId="0" xfId="0" applyAlignment="1" applyFont="1">
      <alignment horizontal="right" shrinkToFit="0" vertical="bottom" wrapText="1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center" vertical="center"/>
    </xf>
    <xf borderId="0" fillId="6" fontId="3" numFmtId="0" xfId="0" applyAlignment="1" applyFill="1" applyFont="1">
      <alignment horizontal="center" vertical="center"/>
    </xf>
    <xf borderId="0" fillId="7" fontId="3" numFmtId="0" xfId="0" applyAlignment="1" applyFill="1" applyFont="1">
      <alignment horizontal="center" vertical="center"/>
    </xf>
    <xf borderId="0" fillId="8" fontId="3" numFmtId="0" xfId="0" applyAlignment="1" applyFill="1" applyFont="1">
      <alignment horizontal="center" vertical="center"/>
    </xf>
    <xf borderId="0" fillId="3" fontId="2" numFmtId="0" xfId="0" applyAlignment="1" applyFont="1">
      <alignment horizontal="center"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3" fontId="3" numFmtId="0" xfId="0" applyAlignment="1" applyFont="1">
      <alignment horizontal="center" shrinkToFit="0" vertical="top" wrapText="1"/>
    </xf>
    <xf borderId="0" fillId="7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shrinkToFit="0" vertical="top" wrapText="1"/>
    </xf>
    <xf borderId="0" fillId="5" fontId="3" numFmtId="0" xfId="0" applyAlignment="1" applyFont="1">
      <alignment horizontal="center"/>
    </xf>
    <xf borderId="0" fillId="6" fontId="3" numFmtId="0" xfId="0" applyAlignment="1" applyFont="1">
      <alignment horizontal="center"/>
    </xf>
    <xf borderId="0" fillId="7" fontId="3" numFmtId="0" xfId="0" applyAlignment="1" applyFont="1">
      <alignment horizontal="center"/>
    </xf>
    <xf borderId="0" fillId="8" fontId="3" numFmtId="0" xfId="0" applyAlignment="1" applyFont="1">
      <alignment horizontal="center"/>
    </xf>
    <xf borderId="0" fillId="3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9" fontId="17" numFmtId="0" xfId="0" applyAlignment="1" applyFill="1" applyFont="1">
      <alignment horizontal="center" shrinkToFit="0" vertical="bottom" wrapText="1"/>
    </xf>
    <xf borderId="0" fillId="2" fontId="15" numFmtId="0" xfId="0" applyAlignment="1" applyFont="1">
      <alignment vertical="bottom"/>
    </xf>
    <xf borderId="0" fillId="2" fontId="15" numFmtId="0" xfId="0" applyAlignment="1" applyFont="1">
      <alignment horizontal="center" readingOrder="0" shrinkToFit="0" vertical="bottom" wrapText="1"/>
    </xf>
    <xf borderId="0" fillId="0" fontId="18" numFmtId="0" xfId="0" applyAlignment="1" applyFont="1">
      <alignment horizontal="right" vertical="bottom"/>
    </xf>
    <xf borderId="0" fillId="3" fontId="3" numFmtId="0" xfId="0" applyAlignment="1" applyFont="1">
      <alignment horizontal="right" vertical="top"/>
    </xf>
    <xf borderId="0" fillId="3" fontId="19" numFmtId="0" xfId="0" applyAlignment="1" applyFont="1">
      <alignment horizontal="right" vertical="top"/>
    </xf>
    <xf borderId="0" fillId="3" fontId="19" numFmtId="4" xfId="0" applyAlignment="1" applyFont="1" applyNumberFormat="1">
      <alignment horizontal="right" vertical="top"/>
    </xf>
    <xf borderId="0" fillId="3" fontId="19" numFmtId="164" xfId="0" applyAlignment="1" applyFont="1" applyNumberFormat="1">
      <alignment horizontal="right" vertical="top"/>
    </xf>
    <xf borderId="0" fillId="3" fontId="3" numFmtId="164" xfId="0" applyAlignment="1" applyFont="1" applyNumberFormat="1">
      <alignment vertical="top"/>
    </xf>
    <xf borderId="0" fillId="4" fontId="3" numFmtId="0" xfId="0" applyAlignment="1" applyFont="1">
      <alignment horizontal="right" vertical="top"/>
    </xf>
    <xf borderId="0" fillId="4" fontId="19" numFmtId="0" xfId="0" applyAlignment="1" applyFont="1">
      <alignment horizontal="right" vertical="top"/>
    </xf>
    <xf borderId="0" fillId="4" fontId="19" numFmtId="4" xfId="0" applyAlignment="1" applyFont="1" applyNumberFormat="1">
      <alignment horizontal="right" vertical="top"/>
    </xf>
    <xf borderId="0" fillId="4" fontId="19" numFmtId="164" xfId="0" applyAlignment="1" applyFont="1" applyNumberFormat="1">
      <alignment horizontal="right" vertical="top"/>
    </xf>
    <xf borderId="0" fillId="4" fontId="3" numFmtId="164" xfId="0" applyAlignment="1" applyFont="1" applyNumberFormat="1">
      <alignment vertical="top"/>
    </xf>
    <xf borderId="0" fillId="3" fontId="3" numFmtId="0" xfId="0" applyAlignment="1" applyFont="1">
      <alignment horizontal="right" shrinkToFit="0" vertical="top" wrapText="1"/>
    </xf>
    <xf borderId="0" fillId="3" fontId="19" numFmtId="164" xfId="0" applyAlignment="1" applyFont="1" applyNumberFormat="1">
      <alignment vertical="top"/>
    </xf>
    <xf borderId="0" fillId="3" fontId="19" numFmtId="164" xfId="0" applyAlignment="1" applyFont="1" applyNumberFormat="1">
      <alignment horizontal="right" vertical="top"/>
    </xf>
    <xf borderId="0" fillId="3" fontId="19" numFmtId="164" xfId="0" applyAlignment="1" applyFont="1" applyNumberFormat="1">
      <alignment vertical="top"/>
    </xf>
    <xf borderId="0" fillId="3" fontId="3" numFmtId="164" xfId="0" applyAlignment="1" applyFont="1" applyNumberFormat="1">
      <alignment vertical="top"/>
    </xf>
    <xf borderId="0" fillId="3" fontId="3" numFmtId="0" xfId="0" applyAlignment="1" applyFont="1">
      <alignment readingOrder="0" shrinkToFit="0" vertical="top" wrapText="0"/>
    </xf>
    <xf borderId="0" fillId="4" fontId="19" numFmtId="164" xfId="0" applyAlignment="1" applyFont="1" applyNumberFormat="1">
      <alignment vertical="top"/>
    </xf>
    <xf borderId="0" fillId="4" fontId="19" numFmtId="164" xfId="0" applyAlignment="1" applyFont="1" applyNumberFormat="1">
      <alignment horizontal="right" vertical="top"/>
    </xf>
    <xf borderId="0" fillId="4" fontId="19" numFmtId="164" xfId="0" applyAlignment="1" applyFont="1" applyNumberFormat="1">
      <alignment vertical="top"/>
    </xf>
    <xf borderId="0" fillId="4" fontId="3" numFmtId="164" xfId="0" applyAlignment="1" applyFont="1" applyNumberFormat="1">
      <alignment vertical="top"/>
    </xf>
    <xf borderId="0" fillId="4" fontId="3" numFmtId="0" xfId="0" applyAlignment="1" applyFont="1">
      <alignment readingOrder="0" shrinkToFit="0" vertical="top" wrapText="0"/>
    </xf>
    <xf borderId="0" fillId="3" fontId="20" numFmtId="0" xfId="0" applyAlignment="1" applyFont="1">
      <alignment shrinkToFit="0" vertical="top" wrapText="0"/>
    </xf>
    <xf borderId="0" fillId="4" fontId="20" numFmtId="0" xfId="0" applyAlignment="1" applyFont="1">
      <alignment shrinkToFit="0" vertical="top" wrapText="0"/>
    </xf>
    <xf borderId="0" fillId="3" fontId="21" numFmtId="164" xfId="0" applyAlignment="1" applyFont="1" applyNumberFormat="1">
      <alignment vertical="top"/>
    </xf>
    <xf borderId="0" fillId="4" fontId="21" numFmtId="164" xfId="0" applyAlignment="1" applyFont="1" applyNumberFormat="1">
      <alignment vertical="top"/>
    </xf>
    <xf borderId="0" fillId="3" fontId="21" numFmtId="164" xfId="0" applyAlignment="1" applyFont="1" applyNumberFormat="1">
      <alignment vertical="top"/>
    </xf>
    <xf borderId="0" fillId="3" fontId="18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3" fontId="19" numFmtId="0" xfId="0" applyAlignment="1" applyFont="1">
      <alignment horizontal="right" vertical="bottom"/>
    </xf>
    <xf borderId="0" fillId="3" fontId="19" numFmtId="164" xfId="0" applyAlignment="1" applyFont="1" applyNumberFormat="1">
      <alignment vertical="bottom"/>
    </xf>
    <xf borderId="0" fillId="3" fontId="19" numFmtId="164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4" fontId="18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19" numFmtId="0" xfId="0" applyAlignment="1" applyFont="1">
      <alignment horizontal="right" vertical="bottom"/>
    </xf>
    <xf borderId="0" fillId="4" fontId="19" numFmtId="0" xfId="0" applyAlignment="1" applyFont="1">
      <alignment horizontal="right" readingOrder="0" vertical="bottom"/>
    </xf>
    <xf borderId="0" fillId="4" fontId="19" numFmtId="164" xfId="0" applyAlignment="1" applyFont="1" applyNumberFormat="1">
      <alignment vertical="bottom"/>
    </xf>
    <xf borderId="0" fillId="4" fontId="19" numFmtId="164" xfId="0" applyAlignment="1" applyFont="1" applyNumberFormat="1">
      <alignment horizontal="right" vertical="bottom"/>
    </xf>
    <xf borderId="0" fillId="4" fontId="3" numFmtId="164" xfId="0" applyAlignment="1" applyFont="1" applyNumberFormat="1">
      <alignment horizontal="right" vertical="bottom"/>
    </xf>
    <xf borderId="0" fillId="3" fontId="19" numFmtId="0" xfId="0" applyAlignment="1" applyFont="1">
      <alignment readingOrder="0" vertical="top"/>
    </xf>
    <xf borderId="0" fillId="0" fontId="18" numFmtId="0" xfId="0" applyAlignment="1" applyFont="1">
      <alignment horizontal="right" readingOrder="0" vertical="bottom"/>
    </xf>
    <xf borderId="0" fillId="4" fontId="19" numFmtId="0" xfId="0" applyAlignment="1" applyFont="1">
      <alignment horizontal="right" readingOrder="0" vertical="top"/>
    </xf>
    <xf borderId="0" fillId="4" fontId="19" numFmtId="2" xfId="0" applyAlignment="1" applyFont="1" applyNumberFormat="1">
      <alignment readingOrder="0" vertical="top"/>
    </xf>
    <xf borderId="0" fillId="4" fontId="19" numFmtId="164" xfId="0" applyAlignment="1" applyFont="1" applyNumberFormat="1">
      <alignment horizontal="right" readingOrder="0" vertical="top"/>
    </xf>
    <xf borderId="0" fillId="3" fontId="19" numFmtId="0" xfId="0" applyAlignment="1" applyFont="1">
      <alignment horizontal="right" readingOrder="0" vertical="top"/>
    </xf>
    <xf borderId="0" fillId="3" fontId="19" numFmtId="2" xfId="0" applyAlignment="1" applyFont="1" applyNumberFormat="1">
      <alignment readingOrder="0" vertical="top"/>
    </xf>
    <xf borderId="0" fillId="3" fontId="19" numFmtId="164" xfId="0" applyAlignment="1" applyFont="1" applyNumberFormat="1">
      <alignment horizontal="right" readingOrder="0" vertical="top"/>
    </xf>
    <xf borderId="0" fillId="4" fontId="3" numFmtId="0" xfId="0" applyAlignment="1" applyFont="1">
      <alignment horizontal="center" vertical="top"/>
    </xf>
    <xf borderId="0" fillId="4" fontId="3" numFmtId="0" xfId="0" applyAlignment="1" applyFont="1">
      <alignment horizontal="right" vertical="top"/>
    </xf>
    <xf borderId="0" fillId="4" fontId="19" numFmtId="2" xfId="0" applyAlignment="1" applyFont="1" applyNumberFormat="1">
      <alignment vertical="top"/>
    </xf>
    <xf borderId="0" fillId="3" fontId="3" numFmtId="0" xfId="0" applyAlignment="1" applyFont="1">
      <alignment horizontal="center" vertical="top"/>
    </xf>
    <xf borderId="0" fillId="3" fontId="3" numFmtId="0" xfId="0" applyAlignment="1" applyFont="1">
      <alignment horizontal="right" vertical="top"/>
    </xf>
    <xf borderId="0" fillId="3" fontId="19" numFmtId="2" xfId="0" applyAlignment="1" applyFont="1" applyNumberFormat="1">
      <alignment vertical="top"/>
    </xf>
    <xf borderId="0" fillId="3" fontId="20" numFmtId="0" xfId="0" applyAlignment="1" applyFont="1">
      <alignment readingOrder="0" shrinkToFit="0" vertical="top" wrapText="0"/>
    </xf>
    <xf borderId="0" fillId="4" fontId="3" numFmtId="0" xfId="0" applyAlignment="1" applyFont="1">
      <alignment horizontal="right" readingOrder="0" vertical="top"/>
    </xf>
    <xf borderId="0" fillId="4" fontId="21" numFmtId="164" xfId="0" applyAlignment="1" applyFont="1" applyNumberFormat="1">
      <alignment vertical="top"/>
    </xf>
    <xf borderId="0" fillId="4" fontId="20" numFmtId="0" xfId="0" applyAlignment="1" applyFont="1">
      <alignment readingOrder="0" shrinkToFit="0" vertical="top" wrapText="0"/>
    </xf>
    <xf borderId="0" fillId="3" fontId="3" numFmtId="0" xfId="0" applyAlignment="1" applyFont="1">
      <alignment horizontal="right" readingOrder="0" vertical="top"/>
    </xf>
    <xf borderId="0" fillId="4" fontId="3" numFmtId="0" xfId="0" applyAlignment="1" applyFont="1">
      <alignment horizontal="center" shrinkToFit="0" vertical="top" wrapText="0"/>
    </xf>
    <xf borderId="0" fillId="4" fontId="19" numFmtId="0" xfId="0" applyAlignment="1" applyFont="1">
      <alignment vertical="top"/>
    </xf>
    <xf borderId="0" fillId="3" fontId="19" numFmtId="0" xfId="0" applyAlignment="1" applyFont="1">
      <alignment vertical="top"/>
    </xf>
    <xf borderId="0" fillId="0" fontId="14" numFmtId="0" xfId="0" applyAlignment="1" applyFont="1">
      <alignment readingOrder="0"/>
    </xf>
    <xf borderId="0" fillId="2" fontId="17" numFmtId="0" xfId="0" applyAlignment="1" applyFont="1">
      <alignment horizontal="center" shrinkToFit="0" vertical="bottom" wrapText="1"/>
    </xf>
    <xf borderId="0" fillId="2" fontId="15" numFmtId="0" xfId="0" applyAlignment="1" applyFont="1">
      <alignment shrinkToFit="0" vertical="bottom" wrapText="1"/>
    </xf>
    <xf borderId="0" fillId="2" fontId="15" numFmtId="0" xfId="0" applyAlignment="1" applyFont="1">
      <alignment horizontal="left" shrinkToFit="0" vertical="bottom" wrapText="0"/>
    </xf>
    <xf borderId="0" fillId="10" fontId="22" numFmtId="3" xfId="0" applyAlignment="1" applyFill="1" applyFont="1" applyNumberFormat="1">
      <alignment horizontal="center" readingOrder="0" shrinkToFit="0" vertical="bottom" wrapText="1"/>
    </xf>
    <xf borderId="0" fillId="5" fontId="22" numFmtId="0" xfId="0" applyAlignment="1" applyFont="1">
      <alignment horizontal="center" readingOrder="0" shrinkToFit="0" vertical="bottom" wrapText="1"/>
    </xf>
    <xf borderId="0" fillId="11" fontId="15" numFmtId="0" xfId="0" applyAlignment="1" applyFill="1" applyFont="1">
      <alignment horizontal="center" readingOrder="0" shrinkToFit="0" vertical="bottom" wrapText="0"/>
    </xf>
    <xf borderId="0" fillId="8" fontId="23" numFmtId="0" xfId="0" applyAlignment="1" applyFont="1">
      <alignment horizontal="center" readingOrder="0" shrinkToFit="0" vertical="bottom" wrapText="1"/>
    </xf>
    <xf borderId="1" fillId="2" fontId="17" numFmtId="0" xfId="0" applyAlignment="1" applyBorder="1" applyFont="1">
      <alignment horizontal="center" shrinkToFit="0" vertical="bottom" wrapText="1"/>
    </xf>
    <xf borderId="1" fillId="2" fontId="15" numFmtId="0" xfId="0" applyAlignment="1" applyBorder="1" applyFont="1">
      <alignment vertical="bottom"/>
    </xf>
    <xf borderId="1" fillId="2" fontId="15" numFmtId="0" xfId="0" applyAlignment="1" applyBorder="1" applyFont="1">
      <alignment horizontal="center" shrinkToFit="0" vertical="bottom" wrapText="1"/>
    </xf>
    <xf borderId="1" fillId="2" fontId="15" numFmtId="0" xfId="0" applyAlignment="1" applyBorder="1" applyFont="1">
      <alignment shrinkToFit="0" vertical="bottom" wrapText="1"/>
    </xf>
    <xf borderId="1" fillId="2" fontId="15" numFmtId="0" xfId="0" applyAlignment="1" applyBorder="1" applyFont="1">
      <alignment horizontal="center" vertical="bottom"/>
    </xf>
    <xf borderId="1" fillId="2" fontId="15" numFmtId="0" xfId="0" applyAlignment="1" applyBorder="1" applyFont="1">
      <alignment readingOrder="0" shrinkToFit="0" vertical="bottom" wrapText="1"/>
    </xf>
    <xf borderId="1" fillId="2" fontId="15" numFmtId="0" xfId="0" applyAlignment="1" applyBorder="1" applyFont="1">
      <alignment horizontal="left" readingOrder="0" shrinkToFit="0" vertical="bottom" wrapText="0"/>
    </xf>
    <xf borderId="1" fillId="10" fontId="22" numFmtId="3" xfId="0" applyAlignment="1" applyBorder="1" applyFont="1" applyNumberFormat="1">
      <alignment horizontal="center" readingOrder="0" shrinkToFit="0" vertical="bottom" wrapText="1"/>
    </xf>
    <xf borderId="1" fillId="10" fontId="22" numFmtId="0" xfId="0" applyAlignment="1" applyBorder="1" applyFont="1">
      <alignment readingOrder="0" shrinkToFit="0" vertical="bottom" wrapText="1"/>
    </xf>
    <xf borderId="1" fillId="5" fontId="22" numFmtId="0" xfId="0" applyAlignment="1" applyBorder="1" applyFont="1">
      <alignment readingOrder="0" shrinkToFit="0" vertical="bottom" wrapText="1"/>
    </xf>
    <xf borderId="1" fillId="5" fontId="22" numFmtId="0" xfId="0" applyAlignment="1" applyBorder="1" applyFont="1">
      <alignment shrinkToFit="0" vertical="bottom" wrapText="1"/>
    </xf>
    <xf borderId="1" fillId="11" fontId="15" numFmtId="0" xfId="0" applyAlignment="1" applyBorder="1" applyFont="1">
      <alignment horizontal="left" readingOrder="0" shrinkToFit="0" vertical="bottom" wrapText="0"/>
    </xf>
    <xf borderId="1" fillId="11" fontId="15" numFmtId="0" xfId="0" applyAlignment="1" applyBorder="1" applyFont="1">
      <alignment horizontal="center" shrinkToFit="0" vertical="bottom" wrapText="1"/>
    </xf>
    <xf borderId="1" fillId="11" fontId="15" numFmtId="3" xfId="0" applyAlignment="1" applyBorder="1" applyFont="1" applyNumberFormat="1">
      <alignment horizontal="center" vertical="bottom"/>
    </xf>
    <xf borderId="2" fillId="8" fontId="23" numFmtId="0" xfId="0" applyAlignment="1" applyBorder="1" applyFont="1">
      <alignment shrinkToFit="0" vertical="bottom" wrapText="1"/>
    </xf>
    <xf borderId="3" fillId="8" fontId="23" numFmtId="0" xfId="0" applyAlignment="1" applyBorder="1" applyFont="1">
      <alignment shrinkToFit="0" vertical="bottom" wrapText="1"/>
    </xf>
    <xf borderId="0" fillId="3" fontId="18" numFmtId="0" xfId="0" applyAlignment="1" applyFont="1">
      <alignment horizontal="left" vertical="bottom"/>
    </xf>
    <xf borderId="0" fillId="3" fontId="3" numFmtId="0" xfId="0" applyAlignment="1" applyFont="1">
      <alignment horizontal="left" readingOrder="0" shrinkToFit="0" vertical="bottom" wrapText="0"/>
    </xf>
    <xf borderId="0" fillId="3" fontId="3" numFmtId="10" xfId="0" applyAlignment="1" applyFont="1" applyNumberFormat="1">
      <alignment vertical="bottom"/>
    </xf>
    <xf borderId="0" fillId="3" fontId="3" numFmtId="10" xfId="0" applyAlignment="1" applyFont="1" applyNumberFormat="1">
      <alignment horizontal="right" shrinkToFit="0" vertical="bottom" wrapText="1"/>
    </xf>
    <xf borderId="0" fillId="3" fontId="3" numFmtId="3" xfId="0" applyAlignment="1" applyFont="1" applyNumberFormat="1">
      <alignment horizontal="right" vertical="bottom"/>
    </xf>
    <xf borderId="0" fillId="4" fontId="18" numFmtId="0" xfId="0" applyAlignment="1" applyFont="1">
      <alignment horizontal="left"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horizontal="left" readingOrder="0" vertical="bottom"/>
    </xf>
    <xf borderId="0" fillId="4" fontId="2" numFmtId="0" xfId="0" applyAlignment="1" applyFont="1">
      <alignment readingOrder="0" vertical="bottom"/>
    </xf>
    <xf borderId="0" fillId="4" fontId="3" numFmtId="0" xfId="0" applyAlignment="1" applyFont="1">
      <alignment horizontal="left" shrinkToFit="0" vertical="bottom" wrapText="0"/>
    </xf>
    <xf borderId="0" fillId="4" fontId="3" numFmtId="10" xfId="0" applyAlignment="1" applyFont="1" applyNumberFormat="1">
      <alignment vertical="bottom"/>
    </xf>
    <xf borderId="0" fillId="4" fontId="3" numFmtId="10" xfId="0" applyAlignment="1" applyFont="1" applyNumberFormat="1">
      <alignment horizontal="right" shrinkToFit="0" vertical="bottom" wrapText="1"/>
    </xf>
    <xf borderId="0" fillId="4" fontId="3" numFmtId="3" xfId="0" applyAlignment="1" applyFont="1" applyNumberFormat="1">
      <alignment horizontal="right" vertical="bottom"/>
    </xf>
    <xf borderId="0" fillId="3" fontId="3" numFmtId="0" xfId="0" applyAlignment="1" applyFont="1">
      <alignment horizontal="left" readingOrder="0"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horizontal="left" shrinkToFit="0" vertical="bottom" wrapText="0"/>
    </xf>
    <xf borderId="0" fillId="3" fontId="3" numFmtId="10" xfId="0" applyAlignment="1" applyFont="1" applyNumberFormat="1">
      <alignment horizontal="right" vertical="bottom"/>
    </xf>
    <xf borderId="0" fillId="4" fontId="3" numFmtId="0" xfId="0" applyAlignment="1" applyFont="1">
      <alignment horizontal="left" readingOrder="0" shrinkToFit="0" vertical="bottom" wrapText="0"/>
    </xf>
    <xf borderId="0" fillId="4" fontId="3" numFmtId="10" xfId="0" applyAlignment="1" applyFont="1" applyNumberFormat="1">
      <alignment horizontal="right" vertical="bottom"/>
    </xf>
    <xf borderId="0" fillId="3" fontId="3" numFmtId="1" xfId="0" applyAlignment="1" applyFont="1" applyNumberFormat="1">
      <alignment horizontal="right" vertical="bottom"/>
    </xf>
    <xf borderId="0" fillId="3" fontId="18" numFmtId="1" xfId="0" applyAlignment="1" applyFont="1" applyNumberFormat="1">
      <alignment horizontal="left" vertical="bottom"/>
    </xf>
    <xf borderId="0" fillId="4" fontId="3" numFmtId="1" xfId="0" applyAlignment="1" applyFont="1" applyNumberFormat="1">
      <alignment horizontal="right" vertical="bottom"/>
    </xf>
    <xf borderId="0" fillId="4" fontId="18" numFmtId="1" xfId="0" applyAlignment="1" applyFont="1" applyNumberFormat="1">
      <alignment horizontal="left" vertical="bottom"/>
    </xf>
    <xf borderId="0" fillId="3" fontId="18" numFmtId="0" xfId="0" applyAlignment="1" applyFont="1">
      <alignment horizontal="left" shrinkToFit="0" vertical="bottom" wrapText="1"/>
    </xf>
    <xf borderId="0" fillId="3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vertical="bottom"/>
    </xf>
    <xf borderId="0" fillId="3" fontId="3" numFmtId="1" xfId="0" applyAlignment="1" applyFont="1" applyNumberFormat="1">
      <alignment horizontal="right" shrinkToFit="0" vertical="bottom" wrapText="1"/>
    </xf>
    <xf borderId="0" fillId="4" fontId="3" numFmtId="0" xfId="0" applyAlignment="1" applyFont="1">
      <alignment readingOrder="0" vertical="bottom"/>
    </xf>
    <xf borderId="0" fillId="4" fontId="3" numFmtId="165" xfId="0" applyAlignment="1" applyFont="1" applyNumberFormat="1">
      <alignment horizontal="right" vertical="bottom"/>
    </xf>
    <xf borderId="0" fillId="4" fontId="3" numFmtId="1" xfId="0" applyAlignment="1" applyFont="1" applyNumberFormat="1">
      <alignment horizontal="right" shrinkToFit="0" vertical="bottom" wrapText="1"/>
    </xf>
    <xf borderId="0" fillId="3" fontId="3" numFmtId="165" xfId="0" applyAlignment="1" applyFont="1" applyNumberFormat="1">
      <alignment vertical="bottom"/>
    </xf>
    <xf borderId="0" fillId="3" fontId="3" numFmtId="1" xfId="0" applyFont="1" applyNumberFormat="1"/>
    <xf borderId="0" fillId="3" fontId="3" numFmtId="0" xfId="0" applyAlignment="1" applyFont="1">
      <alignment horizontal="right" readingOrder="0" vertical="bottom"/>
    </xf>
    <xf borderId="0" fillId="4" fontId="3" numFmtId="1" xfId="0" applyFont="1" applyNumberFormat="1"/>
    <xf borderId="0" fillId="4" fontId="3" numFmtId="0" xfId="0" applyAlignment="1" applyFont="1">
      <alignment horizontal="right" readingOrder="0" vertical="bottom"/>
    </xf>
    <xf borderId="0" fillId="4" fontId="3" numFmtId="165" xfId="0" applyAlignment="1" applyFont="1" applyNumberFormat="1">
      <alignment vertical="bottom"/>
    </xf>
    <xf borderId="0" fillId="3" fontId="3" numFmtId="0" xfId="0" applyFont="1"/>
    <xf borderId="0" fillId="4" fontId="18" numFmtId="0" xfId="0" applyAlignment="1" applyFont="1">
      <alignment horizontal="left" shrinkToFit="0" vertical="bottom" wrapText="1"/>
    </xf>
    <xf borderId="0" fillId="4" fontId="3" numFmtId="0" xfId="0" applyFont="1"/>
    <xf borderId="0" fillId="4" fontId="3" numFmtId="0" xfId="0" applyAlignment="1" applyFont="1">
      <alignment horizontal="right" shrinkToFit="0" vertical="bottom" wrapText="1"/>
    </xf>
    <xf borderId="0" fillId="4" fontId="2" numFmtId="0" xfId="0" applyAlignment="1" applyFont="1">
      <alignment horizontal="left" vertical="bottom"/>
    </xf>
    <xf borderId="0" fillId="4" fontId="3" numFmtId="9" xfId="0" applyAlignment="1" applyFont="1" applyNumberFormat="1">
      <alignment horizontal="right" shrinkToFit="0" vertical="bottom" wrapText="1"/>
    </xf>
    <xf borderId="0" fillId="3" fontId="2" numFmtId="0" xfId="0" applyAlignment="1" applyFont="1">
      <alignment horizontal="left" vertical="bottom"/>
    </xf>
    <xf borderId="0" fillId="3" fontId="2" numFmtId="9" xfId="0" applyAlignment="1" applyFont="1" applyNumberFormat="1">
      <alignment horizontal="right" vertical="bottom"/>
    </xf>
    <xf borderId="0" fillId="3" fontId="2" numFmtId="166" xfId="0" applyAlignment="1" applyFont="1" applyNumberFormat="1">
      <alignment horizontal="right" vertical="bottom"/>
    </xf>
    <xf borderId="0" fillId="4" fontId="3" numFmtId="0" xfId="0" applyAlignment="1" applyFont="1">
      <alignment horizontal="center" readingOrder="0" vertical="bottom"/>
    </xf>
    <xf borderId="0" fillId="4" fontId="2" numFmtId="9" xfId="0" applyAlignment="1" applyFont="1" applyNumberFormat="1">
      <alignment horizontal="right" vertical="bottom"/>
    </xf>
    <xf borderId="0" fillId="4" fontId="2" numFmtId="166" xfId="0" applyAlignment="1" applyFont="1" applyNumberFormat="1">
      <alignment horizontal="right" vertical="bottom"/>
    </xf>
    <xf borderId="0" fillId="3" fontId="3" numFmtId="3" xfId="0" applyAlignment="1" applyFont="1" applyNumberFormat="1">
      <alignment vertical="bottom"/>
    </xf>
    <xf borderId="0" fillId="4" fontId="3" numFmtId="3" xfId="0" applyAlignment="1" applyFont="1" applyNumberFormat="1">
      <alignment vertical="bottom"/>
    </xf>
    <xf borderId="0" fillId="4" fontId="18" numFmtId="1" xfId="0" applyAlignment="1" applyFont="1" applyNumberFormat="1">
      <alignment horizontal="left" shrinkToFit="0" vertical="bottom" wrapText="1"/>
    </xf>
    <xf borderId="0" fillId="3" fontId="18" numFmtId="1" xfId="0" applyAlignment="1" applyFont="1" applyNumberFormat="1">
      <alignment horizontal="left" shrinkToFit="0" vertical="bottom" wrapText="1"/>
    </xf>
    <xf borderId="0" fillId="3" fontId="2" numFmtId="0" xfId="0" applyAlignment="1" applyFont="1">
      <alignment horizontal="right" shrinkToFit="0" vertical="bottom" wrapText="1"/>
    </xf>
    <xf borderId="0" fillId="4" fontId="2" numFmtId="0" xfId="0" applyAlignment="1" applyFont="1">
      <alignment horizontal="right" shrinkToFit="0" vertical="bottom" wrapText="1"/>
    </xf>
    <xf borderId="0" fillId="4" fontId="2" numFmtId="0" xfId="0" applyAlignment="1" applyFont="1">
      <alignment horizontal="left" readingOrder="0"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horizontal="left" shrinkToFit="0" vertical="bottom" wrapText="1"/>
    </xf>
    <xf borderId="0" fillId="3" fontId="3" numFmtId="0" xfId="0" applyAlignment="1" applyFont="1">
      <alignment horizontal="left" shrinkToFit="0" wrapText="1"/>
    </xf>
    <xf borderId="0" fillId="3" fontId="3" numFmtId="0" xfId="0" applyAlignment="1" applyFont="1">
      <alignment horizontal="left"/>
    </xf>
    <xf borderId="0" fillId="4" fontId="3" numFmtId="0" xfId="0" applyAlignment="1" applyFont="1">
      <alignment horizontal="left" shrinkToFit="0" wrapText="1"/>
    </xf>
    <xf borderId="0" fillId="4" fontId="3" numFmtId="0" xfId="0" applyAlignment="1" applyFont="1">
      <alignment horizontal="left"/>
    </xf>
    <xf borderId="0" fillId="3" fontId="18" numFmtId="0" xfId="0" applyAlignment="1" applyFont="1">
      <alignment horizontal="left" readingOrder="0" vertical="bottom"/>
    </xf>
    <xf borderId="0" fillId="4" fontId="3" numFmtId="165" xfId="0" applyAlignment="1" applyFont="1" applyNumberFormat="1">
      <alignment horizontal="right" shrinkToFit="0" vertical="bottom" wrapText="1"/>
    </xf>
    <xf borderId="0" fillId="3" fontId="3" numFmtId="165" xfId="0" applyAlignment="1" applyFont="1" applyNumberFormat="1">
      <alignment horizontal="right" shrinkToFit="0" vertical="bottom" wrapText="1"/>
    </xf>
    <xf borderId="0" fillId="4" fontId="3" numFmtId="3" xfId="0" applyAlignment="1" applyFont="1" applyNumberFormat="1">
      <alignment horizontal="right" shrinkToFit="0" vertical="bottom" wrapText="1"/>
    </xf>
    <xf borderId="0" fillId="3" fontId="3" numFmtId="0" xfId="0" applyAlignment="1" applyFont="1">
      <alignment horizontal="center" readingOrder="0" vertical="bottom"/>
    </xf>
    <xf borderId="0" fillId="3" fontId="3" numFmtId="9" xfId="0" applyAlignment="1" applyFont="1" applyNumberFormat="1">
      <alignment horizontal="right" shrinkToFit="0" vertical="bottom" wrapText="1"/>
    </xf>
    <xf borderId="0" fillId="0" fontId="14" numFmtId="0" xfId="0" applyAlignment="1" applyFont="1">
      <alignment horizontal="left" shrinkToFit="0" wrapText="0"/>
    </xf>
    <xf borderId="0" fillId="0" fontId="14" numFmtId="0" xfId="0" applyAlignment="1" applyFont="1">
      <alignment horizontal="right"/>
    </xf>
    <xf borderId="0" fillId="2" fontId="24" numFmtId="0" xfId="0" applyAlignment="1" applyFont="1">
      <alignment horizontal="center" shrinkToFit="0" vertical="bottom" wrapText="1"/>
    </xf>
    <xf borderId="0" fillId="2" fontId="24" numFmtId="0" xfId="0" applyAlignment="1" applyFont="1">
      <alignment horizontal="center" readingOrder="0" shrinkToFit="0" vertical="bottom" wrapText="1"/>
    </xf>
    <xf borderId="0" fillId="3" fontId="25" numFmtId="0" xfId="0" applyAlignment="1" applyFont="1">
      <alignment horizontal="center" shrinkToFit="0" vertical="bottom" wrapText="1"/>
    </xf>
    <xf borderId="0" fillId="3" fontId="26" numFmtId="0" xfId="0" applyAlignment="1" applyFont="1">
      <alignment vertical="top"/>
    </xf>
    <xf borderId="0" fillId="3" fontId="26" numFmtId="0" xfId="0" applyAlignment="1" applyFont="1">
      <alignment horizontal="center" shrinkToFit="0" wrapText="1"/>
    </xf>
    <xf borderId="0" fillId="3" fontId="26" numFmtId="0" xfId="0" applyAlignment="1" applyFont="1">
      <alignment horizontal="center"/>
    </xf>
    <xf borderId="0" fillId="3" fontId="26" numFmtId="0" xfId="0" applyAlignment="1" applyFont="1">
      <alignment horizontal="left" vertical="bottom"/>
    </xf>
    <xf borderId="0" fillId="3" fontId="26" numFmtId="0" xfId="0" applyAlignment="1" applyFont="1">
      <alignment vertical="bottom"/>
    </xf>
    <xf borderId="0" fillId="3" fontId="26" numFmtId="167" xfId="0" applyAlignment="1" applyFont="1" applyNumberFormat="1">
      <alignment horizontal="right" vertical="bottom"/>
    </xf>
    <xf borderId="0" fillId="3" fontId="26" numFmtId="167" xfId="0" applyAlignment="1" applyFont="1" applyNumberFormat="1">
      <alignment horizontal="right" shrinkToFit="0" vertical="bottom" wrapText="1"/>
    </xf>
    <xf borderId="0" fillId="3" fontId="26" numFmtId="2" xfId="0" applyAlignment="1" applyFont="1" applyNumberFormat="1">
      <alignment horizontal="right" shrinkToFit="0" vertical="bottom" wrapText="1"/>
    </xf>
    <xf borderId="0" fillId="4" fontId="25" numFmtId="0" xfId="0" applyAlignment="1" applyFont="1">
      <alignment horizontal="center" shrinkToFit="0" vertical="bottom" wrapText="1"/>
    </xf>
    <xf borderId="0" fillId="4" fontId="26" numFmtId="0" xfId="0" applyAlignment="1" applyFont="1">
      <alignment vertical="top"/>
    </xf>
    <xf borderId="0" fillId="4" fontId="26" numFmtId="0" xfId="0" applyAlignment="1" applyFont="1">
      <alignment horizontal="center" shrinkToFit="0" wrapText="1"/>
    </xf>
    <xf borderId="0" fillId="4" fontId="26" numFmtId="0" xfId="0" applyAlignment="1" applyFont="1">
      <alignment horizontal="center"/>
    </xf>
    <xf borderId="0" fillId="4" fontId="26" numFmtId="0" xfId="0" applyAlignment="1" applyFont="1">
      <alignment horizontal="left" vertical="bottom"/>
    </xf>
    <xf borderId="0" fillId="4" fontId="26" numFmtId="0" xfId="0" applyAlignment="1" applyFont="1">
      <alignment horizontal="left" shrinkToFit="0" vertical="bottom" wrapText="1"/>
    </xf>
    <xf borderId="0" fillId="4" fontId="26" numFmtId="0" xfId="0" applyAlignment="1" applyFont="1">
      <alignment vertical="bottom"/>
    </xf>
    <xf borderId="0" fillId="4" fontId="26" numFmtId="167" xfId="0" applyAlignment="1" applyFont="1" applyNumberFormat="1">
      <alignment horizontal="right" vertical="bottom"/>
    </xf>
    <xf borderId="0" fillId="4" fontId="26" numFmtId="167" xfId="0" applyAlignment="1" applyFont="1" applyNumberFormat="1">
      <alignment horizontal="right" shrinkToFit="0" vertical="bottom" wrapText="1"/>
    </xf>
    <xf borderId="0" fillId="4" fontId="26" numFmtId="2" xfId="0" applyAlignment="1" applyFont="1" applyNumberFormat="1">
      <alignment horizontal="right" shrinkToFit="0" vertical="bottom" wrapText="1"/>
    </xf>
    <xf borderId="0" fillId="3" fontId="26" numFmtId="0" xfId="0" applyAlignment="1" applyFont="1">
      <alignment horizontal="left" shrinkToFit="0" vertical="bottom" wrapText="1"/>
    </xf>
    <xf borderId="0" fillId="4" fontId="26" numFmtId="168" xfId="0" applyAlignment="1" applyFont="1" applyNumberFormat="1">
      <alignment horizontal="right" vertical="bottom"/>
    </xf>
    <xf borderId="0" fillId="3" fontId="26" numFmtId="168" xfId="0" applyAlignment="1" applyFont="1" applyNumberFormat="1">
      <alignment horizontal="right" vertical="bottom"/>
    </xf>
    <xf borderId="0" fillId="3" fontId="26" numFmtId="2" xfId="0" applyAlignment="1" applyFont="1" applyNumberFormat="1">
      <alignment horizontal="right" vertical="bottom"/>
    </xf>
    <xf borderId="0" fillId="4" fontId="26" numFmtId="4" xfId="0" applyAlignment="1" applyFont="1" applyNumberFormat="1">
      <alignment horizontal="right" vertical="bottom"/>
    </xf>
    <xf borderId="0" fillId="3" fontId="26" numFmtId="4" xfId="0" applyAlignment="1" applyFont="1" applyNumberFormat="1">
      <alignment horizontal="right" vertical="bottom"/>
    </xf>
    <xf borderId="0" fillId="4" fontId="26" numFmtId="2" xfId="0" applyAlignment="1" applyFont="1" applyNumberFormat="1">
      <alignment horizontal="right" vertical="bottom"/>
    </xf>
    <xf borderId="0" fillId="3" fontId="26" numFmtId="0" xfId="0" applyAlignment="1" applyFont="1">
      <alignment horizontal="right" vertical="bottom"/>
    </xf>
    <xf borderId="0" fillId="3" fontId="25" numFmtId="0" xfId="0" applyAlignment="1" applyFont="1">
      <alignment horizontal="center" readingOrder="0" shrinkToFit="0" vertical="bottom" wrapText="1"/>
    </xf>
    <xf borderId="0" fillId="3" fontId="18" numFmtId="0" xfId="0" applyAlignment="1" applyFont="1">
      <alignment vertical="bottom"/>
    </xf>
    <xf borderId="0" fillId="3" fontId="18" numFmtId="2" xfId="0" applyAlignment="1" applyFont="1" applyNumberFormat="1">
      <alignment horizontal="right" vertical="bottom"/>
    </xf>
    <xf borderId="0" fillId="3" fontId="18" numFmtId="2" xfId="0" applyAlignment="1" applyFont="1" applyNumberFormat="1">
      <alignment horizontal="right" shrinkToFit="0" vertical="bottom" wrapText="1"/>
    </xf>
    <xf borderId="0" fillId="4" fontId="25" numFmtId="0" xfId="0" applyAlignment="1" applyFont="1">
      <alignment horizontal="center" readingOrder="0" shrinkToFit="0" vertical="bottom" wrapText="1"/>
    </xf>
    <xf borderId="0" fillId="4" fontId="26" numFmtId="0" xfId="0" applyAlignment="1" applyFont="1">
      <alignment horizontal="center" readingOrder="0"/>
    </xf>
    <xf borderId="0" fillId="4" fontId="18" numFmtId="0" xfId="0" applyAlignment="1" applyFont="1">
      <alignment vertical="bottom"/>
    </xf>
    <xf borderId="0" fillId="4" fontId="18" numFmtId="2" xfId="0" applyAlignment="1" applyFont="1" applyNumberFormat="1">
      <alignment horizontal="right" vertical="bottom"/>
    </xf>
    <xf borderId="0" fillId="4" fontId="18" numFmtId="2" xfId="0" applyAlignment="1" applyFont="1" applyNumberFormat="1">
      <alignment horizontal="right" shrinkToFit="0" vertical="bottom" wrapText="1"/>
    </xf>
    <xf borderId="0" fillId="3" fontId="26" numFmtId="0" xfId="0" applyAlignment="1" applyFont="1">
      <alignment horizontal="center" readingOrder="0"/>
    </xf>
    <xf borderId="0" fillId="4" fontId="26" numFmtId="0" xfId="0" applyAlignment="1" applyFont="1">
      <alignment readingOrder="0" vertical="bottom"/>
    </xf>
    <xf borderId="0" fillId="3" fontId="26" numFmtId="0" xfId="0" applyAlignment="1" applyFont="1">
      <alignment readingOrder="0" vertical="bottom"/>
    </xf>
    <xf borderId="0" fillId="4" fontId="26" numFmtId="2" xfId="0" applyAlignment="1" applyFont="1" applyNumberFormat="1">
      <alignment horizontal="right" readingOrder="0" vertical="bottom"/>
    </xf>
    <xf borderId="0" fillId="4" fontId="26" numFmtId="2" xfId="0" applyAlignment="1" applyFont="1" applyNumberFormat="1">
      <alignment horizontal="right" readingOrder="0" shrinkToFit="0" vertical="bottom" wrapText="1"/>
    </xf>
    <xf borderId="0" fillId="3" fontId="26" numFmtId="2" xfId="0" applyAlignment="1" applyFont="1" applyNumberFormat="1">
      <alignment horizontal="right" readingOrder="0" vertical="bottom"/>
    </xf>
    <xf borderId="0" fillId="3" fontId="26" numFmtId="2" xfId="0" applyAlignment="1" applyFont="1" applyNumberFormat="1">
      <alignment horizontal="right" readingOrder="0" shrinkToFit="0" vertical="bottom" wrapText="1"/>
    </xf>
    <xf borderId="0" fillId="3" fontId="26" numFmtId="168" xfId="0" applyAlignment="1" applyFont="1" applyNumberFormat="1">
      <alignment horizontal="right" shrinkToFit="0" vertical="bottom" wrapText="1"/>
    </xf>
    <xf borderId="0" fillId="4" fontId="26" numFmtId="0" xfId="0" applyAlignment="1" applyFont="1">
      <alignment horizontal="right" vertical="bottom"/>
    </xf>
    <xf borderId="0" fillId="4" fontId="26" numFmtId="168" xfId="0" applyAlignment="1" applyFont="1" applyNumberFormat="1">
      <alignment horizontal="right" shrinkToFit="0" vertical="bottom" wrapText="1"/>
    </xf>
    <xf borderId="0" fillId="3" fontId="27" numFmtId="0" xfId="0" applyAlignment="1" applyFont="1">
      <alignment horizontal="left" readingOrder="0" shrinkToFit="0" vertical="bottom" wrapText="0"/>
    </xf>
    <xf borderId="0" fillId="3" fontId="26" numFmtId="0" xfId="0" applyAlignment="1" applyFont="1">
      <alignment horizontal="right" shrinkToFit="0" vertical="bottom" wrapText="1"/>
    </xf>
    <xf borderId="0" fillId="4" fontId="27" numFmtId="0" xfId="0" applyAlignment="1" applyFont="1">
      <alignment horizontal="left" readingOrder="0" shrinkToFit="0" vertical="bottom" wrapText="0"/>
    </xf>
    <xf borderId="0" fillId="4" fontId="26" numFmtId="9" xfId="0" applyAlignment="1" applyFont="1" applyNumberFormat="1">
      <alignment horizontal="right" vertical="bottom"/>
    </xf>
    <xf borderId="0" fillId="4" fontId="26" numFmtId="0" xfId="0" applyAlignment="1" applyFont="1">
      <alignment horizontal="right" shrinkToFit="0" vertical="bottom" wrapText="1"/>
    </xf>
    <xf borderId="0" fillId="3" fontId="26" numFmtId="9" xfId="0" applyAlignment="1" applyFont="1" applyNumberFormat="1">
      <alignment horizontal="right" vertical="bottom"/>
    </xf>
    <xf borderId="0" fillId="3" fontId="27" numFmtId="0" xfId="0" applyAlignment="1" applyFont="1">
      <alignment horizontal="right" vertical="bottom"/>
    </xf>
    <xf borderId="0" fillId="4" fontId="26" numFmtId="4" xfId="0" applyAlignment="1" applyFont="1" applyNumberFormat="1">
      <alignment horizontal="right" shrinkToFit="0" vertical="bottom" wrapText="1"/>
    </xf>
    <xf borderId="0" fillId="3" fontId="27" numFmtId="2" xfId="0" applyAlignment="1" applyFont="1" applyNumberFormat="1">
      <alignment horizontal="right" vertical="bottom"/>
    </xf>
    <xf borderId="0" fillId="3" fontId="26" numFmtId="4" xfId="0" applyAlignment="1" applyFont="1" applyNumberFormat="1">
      <alignment horizontal="right" shrinkToFit="0" vertical="bottom" wrapText="1"/>
    </xf>
    <xf borderId="0" fillId="4" fontId="27" numFmtId="2" xfId="0" applyAlignment="1" applyFont="1" applyNumberFormat="1">
      <alignment horizontal="right" vertical="bottom"/>
    </xf>
    <xf borderId="0" fillId="4" fontId="27" numFmtId="0" xfId="0" applyAlignment="1" applyFont="1">
      <alignment horizontal="left" shrinkToFit="0" vertical="bottom" wrapText="1"/>
    </xf>
    <xf borderId="0" fillId="3" fontId="27" numFmtId="0" xfId="0" applyAlignment="1" applyFont="1">
      <alignment horizontal="left" shrinkToFit="0" vertical="bottom" wrapText="1"/>
    </xf>
    <xf borderId="0" fillId="3" fontId="26" numFmtId="0" xfId="0" applyAlignment="1" applyFont="1">
      <alignment horizontal="left" readingOrder="0" vertical="bottom"/>
    </xf>
    <xf borderId="0" fillId="4" fontId="26" numFmtId="0" xfId="0" applyAlignment="1" applyFont="1">
      <alignment horizontal="left" readingOrder="0"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86/s12913-020-5066-1" TargetMode="External"/><Relationship Id="rId42" Type="http://schemas.openxmlformats.org/officeDocument/2006/relationships/hyperlink" Target="https://doi.org/10.1016/j.jdeveco.2017.10.005" TargetMode="External"/><Relationship Id="rId41" Type="http://schemas.openxmlformats.org/officeDocument/2006/relationships/hyperlink" Target="https://doi.org/10.1002/jid.1771" TargetMode="External"/><Relationship Id="rId44" Type="http://schemas.openxmlformats.org/officeDocument/2006/relationships/hyperlink" Target="https://doi.org/10.1590/s1415-790x2011000500003" TargetMode="External"/><Relationship Id="rId43" Type="http://schemas.openxmlformats.org/officeDocument/2006/relationships/hyperlink" Target="https://www.ubiquitypress.com/site/chapters/10.5334/bar.c/download/293/" TargetMode="External"/><Relationship Id="rId46" Type="http://schemas.openxmlformats.org/officeDocument/2006/relationships/hyperlink" Target="https://doi.org/10.2196/jmir.7428" TargetMode="External"/><Relationship Id="rId45" Type="http://schemas.openxmlformats.org/officeDocument/2006/relationships/hyperlink" Target="https://doi.org/10.29115/SP-2016-0004" TargetMode="External"/><Relationship Id="rId1" Type="http://schemas.openxmlformats.org/officeDocument/2006/relationships/hyperlink" Target="https://doi.org/10.1093/wber/lhz021" TargetMode="External"/><Relationship Id="rId2" Type="http://schemas.openxmlformats.org/officeDocument/2006/relationships/hyperlink" Target="https://www.dropbox.com/s/ogtyu07o4n2c1e3/HMRSS%20%283%29.pdf?dl=0" TargetMode="External"/><Relationship Id="rId3" Type="http://schemas.openxmlformats.org/officeDocument/2006/relationships/hyperlink" Target="http://documents.worldbank.org/curated/en/162381468179333776/The-socio-economic-impacts-of-Ebola-in-Liberia-results-from-a-high-frequency-cell-phone-survey-round-five" TargetMode="External"/><Relationship Id="rId4" Type="http://schemas.openxmlformats.org/officeDocument/2006/relationships/hyperlink" Target="https://ideas.repec.org/p/ces/ceswps/_7778.html" TargetMode="External"/><Relationship Id="rId9" Type="http://schemas.openxmlformats.org/officeDocument/2006/relationships/hyperlink" Target="http://documents.worldbank.org/curated/en/873321467999676330/The-socio-economic-impacts-of-Ebola-in-Sierra-Leone-results-from-a-high-frequency-cell-phone-survey-round-three" TargetMode="External"/><Relationship Id="rId48" Type="http://schemas.openxmlformats.org/officeDocument/2006/relationships/hyperlink" Target="https://rss.onlinelibrary.wiley.com/doi/abs/10.1111/rssa.12333" TargetMode="External"/><Relationship Id="rId47" Type="http://schemas.openxmlformats.org/officeDocument/2006/relationships/hyperlink" Target="https://drum.lib.umd.edu/handle/1903/13646" TargetMode="External"/><Relationship Id="rId49" Type="http://schemas.openxmlformats.org/officeDocument/2006/relationships/hyperlink" Target="https://doi.org/10.1002/9780470173404.ch14" TargetMode="External"/><Relationship Id="rId5" Type="http://schemas.openxmlformats.org/officeDocument/2006/relationships/hyperlink" Target="https://doi.org/10.18148/srm/2019.v13i3.7375" TargetMode="External"/><Relationship Id="rId6" Type="http://schemas.openxmlformats.org/officeDocument/2006/relationships/hyperlink" Target="https://doi.org/10.1371/journal.pone.0190902" TargetMode="External"/><Relationship Id="rId7" Type="http://schemas.openxmlformats.org/officeDocument/2006/relationships/hyperlink" Target="https://doi.org/10.2139/ssrn.2623097" TargetMode="External"/><Relationship Id="rId8" Type="http://schemas.openxmlformats.org/officeDocument/2006/relationships/hyperlink" Target="https://doi.org/10.1136/bmjgh-2015-000007" TargetMode="External"/><Relationship Id="rId31" Type="http://schemas.openxmlformats.org/officeDocument/2006/relationships/hyperlink" Target="https://doi.org/10.1371/journal.pone.0150231" TargetMode="External"/><Relationship Id="rId30" Type="http://schemas.openxmlformats.org/officeDocument/2006/relationships/hyperlink" Target="http://documents.worldbank.org/curated/en/624621538136672723/Listening-to-Tajikistan-Household-Survey-Background-Implementation-and-Methods" TargetMode="External"/><Relationship Id="rId33" Type="http://schemas.openxmlformats.org/officeDocument/2006/relationships/hyperlink" Target="https://doi.org/10.18148/srm/2015.v9i2.6135" TargetMode="External"/><Relationship Id="rId32" Type="http://schemas.openxmlformats.org/officeDocument/2006/relationships/hyperlink" Target="https://doi.org/10.13094/SMIF-2018-00005" TargetMode="External"/><Relationship Id="rId35" Type="http://schemas.openxmlformats.org/officeDocument/2006/relationships/hyperlink" Target="https://elisamaffioli.files.wordpress.com/2020/03/maffioli_method.pdf" TargetMode="External"/><Relationship Id="rId34" Type="http://schemas.openxmlformats.org/officeDocument/2006/relationships/hyperlink" Target="https://0df04920-08a1-4b70-a12c-25629cb5ffc4.filesusr.com/ugd/7a26dc_8d7efc17f3d649fd8f3db4c8fa7c0bcc.pdf" TargetMode="External"/><Relationship Id="rId37" Type="http://schemas.openxmlformats.org/officeDocument/2006/relationships/hyperlink" Target="https://doi.org/10.1186/s13033-016-0093-3" TargetMode="External"/><Relationship Id="rId36" Type="http://schemas.openxmlformats.org/officeDocument/2006/relationships/hyperlink" Target="https://dec.usaid.gov/dec/content/Detail_Presto.aspx?q=KERvY3VtZW50cy5Eb2N1WVudF9JRDooUEEtMDBNLUdERCkp&amp;ctID=ODVhZjk4NWQtM2YyMi00YjRmLTkxNjktZTcxMjM2NDBmY2Uy&amp;rID=MjIxNjQ4&amp;qcf=ODVhZjk4NWQtM2YyMi00YjRmLTkxNjktZTcxMjM2NDBmY2Uy&amp;ph=VHJ1ZQ%3d%3d&amp;bckToL=VHJ1ZQ%3d%3d&amp;" TargetMode="External"/><Relationship Id="rId39" Type="http://schemas.openxmlformats.org/officeDocument/2006/relationships/hyperlink" Target="https://pdf.usaid.gov/pdf_docs/PA00TQWN.pdf" TargetMode="External"/><Relationship Id="rId38" Type="http://schemas.openxmlformats.org/officeDocument/2006/relationships/hyperlink" Target="https://doi.org/10.1177/0894439317699577" TargetMode="External"/><Relationship Id="rId62" Type="http://schemas.openxmlformats.org/officeDocument/2006/relationships/hyperlink" Target="https://www.cgdev.org/publication/what-can-we-learn-about-energy-access-and-demand-mobile-phone-surveys" TargetMode="External"/><Relationship Id="rId61" Type="http://schemas.openxmlformats.org/officeDocument/2006/relationships/hyperlink" Target="https://researchforevidence.fhi360.org/whats-mode-got-to-do-with-it-comparing-in-person-and-online-qualitative-data-collection" TargetMode="External"/><Relationship Id="rId20" Type="http://schemas.openxmlformats.org/officeDocument/2006/relationships/hyperlink" Target="https://doi.org/10.1002/9780470173404.ch22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s://journals.sagepub.com/doi/abs/10.1177/0049124117729702" TargetMode="External"/><Relationship Id="rId22" Type="http://schemas.openxmlformats.org/officeDocument/2006/relationships/hyperlink" Target="https://doi.org/10.1086/269336" TargetMode="External"/><Relationship Id="rId21" Type="http://schemas.openxmlformats.org/officeDocument/2006/relationships/hyperlink" Target="https://doi.org/10.1177/0002716212458082" TargetMode="External"/><Relationship Id="rId24" Type="http://schemas.openxmlformats.org/officeDocument/2006/relationships/hyperlink" Target="https://blogs.worldbank.org/impactevaluations/reducing-attrition-phone-surveys" TargetMode="External"/><Relationship Id="rId23" Type="http://schemas.openxmlformats.org/officeDocument/2006/relationships/hyperlink" Target="https://doi.org/10.1093/poq/nfu027" TargetMode="External"/><Relationship Id="rId60" Type="http://schemas.openxmlformats.org/officeDocument/2006/relationships/hyperlink" Target="https://www.worldbank.org/en/programs/listening-to-africa" TargetMode="External"/><Relationship Id="rId26" Type="http://schemas.openxmlformats.org/officeDocument/2006/relationships/hyperlink" Target="https://doi.org/10.1371/journal.pone.0210050" TargetMode="External"/><Relationship Id="rId25" Type="http://schemas.openxmlformats.org/officeDocument/2006/relationships/hyperlink" Target="https://doi.org/10.1007/s10461-016-1432-8" TargetMode="External"/><Relationship Id="rId28" Type="http://schemas.openxmlformats.org/officeDocument/2006/relationships/hyperlink" Target="https://doi.org/10.1016/j.proeng.2016.08.394" TargetMode="External"/><Relationship Id="rId27" Type="http://schemas.openxmlformats.org/officeDocument/2006/relationships/hyperlink" Target="https://0df04920-08a1-4b70-a12c-25629cb5ffc4.filesusr.com/ugd/7a26dc_be4e35bd7c524fbaab45d86bb2ae27f8.pdf" TargetMode="External"/><Relationship Id="rId29" Type="http://schemas.openxmlformats.org/officeDocument/2006/relationships/hyperlink" Target="https://doi.org/10.2196/jmir.7331" TargetMode="External"/><Relationship Id="rId51" Type="http://schemas.openxmlformats.org/officeDocument/2006/relationships/hyperlink" Target="https://doi.org/10.1080/02255189.2014.876390" TargetMode="External"/><Relationship Id="rId50" Type="http://schemas.openxmlformats.org/officeDocument/2006/relationships/hyperlink" Target="https://doi.org/10.1007/978-3-030-25120-8_2" TargetMode="External"/><Relationship Id="rId53" Type="http://schemas.openxmlformats.org/officeDocument/2006/relationships/hyperlink" Target="https://doi.org/10.1177/1525822X14540084" TargetMode="External"/><Relationship Id="rId52" Type="http://schemas.openxmlformats.org/officeDocument/2006/relationships/hyperlink" Target="https://doi.org/10.4135/9781412984492.n9" TargetMode="External"/><Relationship Id="rId11" Type="http://schemas.openxmlformats.org/officeDocument/2006/relationships/hyperlink" Target="https://doi.org/10.1038/s41746-018-0055-z" TargetMode="External"/><Relationship Id="rId55" Type="http://schemas.openxmlformats.org/officeDocument/2006/relationships/hyperlink" Target="https://www.cgdev.org/publication/what-can-we-learn-about-energy-access-and-demand-mobile-phone-surveys" TargetMode="External"/><Relationship Id="rId10" Type="http://schemas.openxmlformats.org/officeDocument/2006/relationships/hyperlink" Target="http://documents.worldbank.org/curated/en/877231468391801912/Mobile-phone-panel-surveys-in-developing-countries-a-practical-guide-for-microdata-collection" TargetMode="External"/><Relationship Id="rId54" Type="http://schemas.openxmlformats.org/officeDocument/2006/relationships/hyperlink" Target="https://doi.org/10.1177/0081175012465967" TargetMode="External"/><Relationship Id="rId13" Type="http://schemas.openxmlformats.org/officeDocument/2006/relationships/hyperlink" Target="https://doi.org/10.1002/jid.3359" TargetMode="External"/><Relationship Id="rId57" Type="http://schemas.openxmlformats.org/officeDocument/2006/relationships/hyperlink" Target="http://kostat.go.kr/iwsm/download/2014/1.%20Don%20A.%20Dillman.pdf" TargetMode="External"/><Relationship Id="rId12" Type="http://schemas.openxmlformats.org/officeDocument/2006/relationships/hyperlink" Target="https://doi.org/10.1002/jid.3373" TargetMode="External"/><Relationship Id="rId56" Type="http://schemas.openxmlformats.org/officeDocument/2006/relationships/hyperlink" Target="https://doi.org/10.1177/0894439304263147" TargetMode="External"/><Relationship Id="rId15" Type="http://schemas.openxmlformats.org/officeDocument/2006/relationships/hyperlink" Target="https://doi.org/10.1177/1525822X19862506" TargetMode="External"/><Relationship Id="rId59" Type="http://schemas.openxmlformats.org/officeDocument/2006/relationships/hyperlink" Target="https://blogs.worldbank.org/impactevaluations/impact-evaluations-time-covid-19-part-1" TargetMode="External"/><Relationship Id="rId14" Type="http://schemas.openxmlformats.org/officeDocument/2006/relationships/hyperlink" Target="https://doi.org/10.1093/ijpor/edy008" TargetMode="External"/><Relationship Id="rId58" Type="http://schemas.openxmlformats.org/officeDocument/2006/relationships/hyperlink" Target="https://iriss.stanford.edu/sites/g/files/sbiybj6196/f/singer_slides.pdf" TargetMode="External"/><Relationship Id="rId17" Type="http://schemas.openxmlformats.org/officeDocument/2006/relationships/hyperlink" Target="http://doi.org/10.1136/bmjgh-2019-001604" TargetMode="External"/><Relationship Id="rId16" Type="http://schemas.openxmlformats.org/officeDocument/2006/relationships/hyperlink" Target="https://doi.org/10.1371/journal.pone.0214450" TargetMode="External"/><Relationship Id="rId19" Type="http://schemas.openxmlformats.org/officeDocument/2006/relationships/hyperlink" Target="https://doi.org/10.29115/SP-2018-0020" TargetMode="External"/><Relationship Id="rId18" Type="http://schemas.openxmlformats.org/officeDocument/2006/relationships/hyperlink" Target="https://papers.ssrn.com/sol3/papers.cfm?abstract_id=284101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6.38"/>
    <col customWidth="1" hidden="1" min="2" max="2" width="7.88"/>
    <col customWidth="1" min="3" max="3" width="44.63"/>
    <col customWidth="1" min="4" max="4" width="40.88"/>
    <col customWidth="1" min="5" max="5" width="46.63"/>
    <col customWidth="1" min="6" max="6" width="8.63"/>
    <col customWidth="1" min="7" max="7" width="14.5"/>
    <col customWidth="1" min="8" max="8" width="26.5"/>
    <col customWidth="1" min="9" max="13" width="10.63"/>
    <col customWidth="1" min="14" max="14" width="17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/>
      <c r="Q1" s="6"/>
      <c r="R1" s="6"/>
      <c r="S1" s="6"/>
      <c r="T1" s="6"/>
      <c r="U1" s="6"/>
    </row>
    <row r="2">
      <c r="A2" s="7">
        <v>3.0</v>
      </c>
      <c r="B2" s="8">
        <v>1.0</v>
      </c>
      <c r="C2" s="9" t="s">
        <v>15</v>
      </c>
      <c r="D2" s="10" t="s">
        <v>16</v>
      </c>
      <c r="E2" s="11" t="s">
        <v>17</v>
      </c>
      <c r="F2" s="12">
        <v>2019.0</v>
      </c>
      <c r="G2" s="12">
        <v>2014.0</v>
      </c>
      <c r="H2" s="13" t="s">
        <v>18</v>
      </c>
      <c r="I2" s="14"/>
      <c r="J2" s="14" t="s">
        <v>19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>
      <c r="A3" s="15">
        <v>4.0</v>
      </c>
      <c r="B3" s="16">
        <v>1.0</v>
      </c>
      <c r="C3" s="17" t="s">
        <v>20</v>
      </c>
      <c r="D3" s="18" t="s">
        <v>21</v>
      </c>
      <c r="E3" s="19" t="s">
        <v>22</v>
      </c>
      <c r="F3" s="18">
        <v>2017.0</v>
      </c>
      <c r="G3" s="18">
        <v>2013.0</v>
      </c>
      <c r="H3" s="20" t="s">
        <v>23</v>
      </c>
      <c r="I3" s="21"/>
      <c r="J3" s="21" t="s">
        <v>19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>
      <c r="A4" s="7">
        <v>7.0</v>
      </c>
      <c r="B4" s="8">
        <v>1.0</v>
      </c>
      <c r="C4" s="9" t="s">
        <v>24</v>
      </c>
      <c r="D4" s="12" t="s">
        <v>25</v>
      </c>
      <c r="E4" s="11" t="s">
        <v>22</v>
      </c>
      <c r="F4" s="12">
        <v>2015.0</v>
      </c>
      <c r="G4" s="12">
        <v>2014.0</v>
      </c>
      <c r="H4" s="13" t="s">
        <v>26</v>
      </c>
      <c r="I4" s="14"/>
      <c r="J4" s="14" t="s">
        <v>19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>
      <c r="A5" s="15">
        <v>8.0</v>
      </c>
      <c r="B5" s="16">
        <v>1.0</v>
      </c>
      <c r="C5" s="17" t="s">
        <v>27</v>
      </c>
      <c r="D5" s="18" t="s">
        <v>28</v>
      </c>
      <c r="E5" s="19" t="s">
        <v>22</v>
      </c>
      <c r="F5" s="18">
        <v>2019.0</v>
      </c>
      <c r="G5" s="18">
        <v>2019.0</v>
      </c>
      <c r="H5" s="20" t="s">
        <v>29</v>
      </c>
      <c r="I5" s="21"/>
      <c r="J5" s="21" t="s">
        <v>19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>
      <c r="A6" s="7">
        <v>9.0</v>
      </c>
      <c r="B6" s="8">
        <v>1.0</v>
      </c>
      <c r="C6" s="9" t="s">
        <v>30</v>
      </c>
      <c r="D6" s="12" t="s">
        <v>31</v>
      </c>
      <c r="E6" s="11" t="s">
        <v>32</v>
      </c>
      <c r="F6" s="12">
        <v>2019.0</v>
      </c>
      <c r="G6" s="12">
        <v>2017.0</v>
      </c>
      <c r="H6" s="13" t="s">
        <v>33</v>
      </c>
      <c r="I6" s="14"/>
      <c r="J6" s="14" t="s">
        <v>19</v>
      </c>
      <c r="K6" s="14" t="s">
        <v>19</v>
      </c>
      <c r="L6" s="14" t="s">
        <v>19</v>
      </c>
      <c r="M6" s="14"/>
      <c r="N6" s="14"/>
      <c r="O6" s="14"/>
      <c r="P6" s="14"/>
      <c r="Q6" s="14"/>
      <c r="R6" s="14"/>
      <c r="S6" s="14"/>
      <c r="T6" s="14"/>
      <c r="U6" s="14"/>
    </row>
    <row r="7">
      <c r="A7" s="15">
        <v>10.0</v>
      </c>
      <c r="B7" s="16">
        <v>1.0</v>
      </c>
      <c r="C7" s="17" t="s">
        <v>34</v>
      </c>
      <c r="D7" s="18" t="s">
        <v>35</v>
      </c>
      <c r="E7" s="19" t="s">
        <v>36</v>
      </c>
      <c r="F7" s="18">
        <v>2018.0</v>
      </c>
      <c r="G7" s="18">
        <v>2016.0</v>
      </c>
      <c r="H7" s="20" t="s">
        <v>37</v>
      </c>
      <c r="I7" s="21"/>
      <c r="J7" s="21"/>
      <c r="K7" s="21"/>
      <c r="L7" s="21" t="s">
        <v>19</v>
      </c>
      <c r="M7" s="21"/>
      <c r="N7" s="21"/>
      <c r="O7" s="21"/>
      <c r="P7" s="21"/>
      <c r="Q7" s="21"/>
      <c r="R7" s="21"/>
      <c r="S7" s="21"/>
      <c r="T7" s="21"/>
      <c r="U7" s="21"/>
    </row>
    <row r="8">
      <c r="A8" s="7">
        <v>11.0</v>
      </c>
      <c r="B8" s="8">
        <v>1.0</v>
      </c>
      <c r="C8" s="9" t="s">
        <v>38</v>
      </c>
      <c r="D8" s="12" t="s">
        <v>39</v>
      </c>
      <c r="E8" s="11" t="s">
        <v>22</v>
      </c>
      <c r="F8" s="12">
        <v>2015.0</v>
      </c>
      <c r="G8" s="12">
        <v>2014.0</v>
      </c>
      <c r="H8" s="13" t="s">
        <v>40</v>
      </c>
      <c r="I8" s="14"/>
      <c r="J8" s="14"/>
      <c r="K8" s="14"/>
      <c r="L8" s="14" t="s">
        <v>19</v>
      </c>
      <c r="M8" s="14"/>
      <c r="N8" s="14"/>
      <c r="O8" s="14"/>
      <c r="P8" s="14"/>
      <c r="Q8" s="14"/>
      <c r="R8" s="14"/>
      <c r="S8" s="14"/>
      <c r="T8" s="14"/>
      <c r="U8" s="14"/>
    </row>
    <row r="9">
      <c r="A9" s="15">
        <v>13.0</v>
      </c>
      <c r="B9" s="16">
        <v>1.0</v>
      </c>
      <c r="C9" s="17" t="s">
        <v>41</v>
      </c>
      <c r="D9" s="18" t="s">
        <v>42</v>
      </c>
      <c r="E9" s="19" t="s">
        <v>43</v>
      </c>
      <c r="F9" s="18">
        <v>2016.0</v>
      </c>
      <c r="G9" s="18">
        <v>2015.0</v>
      </c>
      <c r="H9" s="20" t="s">
        <v>44</v>
      </c>
      <c r="I9" s="21"/>
      <c r="J9" s="21" t="s">
        <v>19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>
      <c r="A10" s="7">
        <v>14.0</v>
      </c>
      <c r="B10" s="8">
        <v>1.0</v>
      </c>
      <c r="C10" s="9" t="s">
        <v>45</v>
      </c>
      <c r="D10" s="12" t="s">
        <v>46</v>
      </c>
      <c r="E10" s="11" t="s">
        <v>22</v>
      </c>
      <c r="F10" s="12">
        <v>2015.0</v>
      </c>
      <c r="G10" s="12">
        <v>2014.0</v>
      </c>
      <c r="H10" s="13" t="s">
        <v>47</v>
      </c>
      <c r="I10" s="14"/>
      <c r="J10" s="14" t="s">
        <v>19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>
      <c r="A11" s="15">
        <v>16.0</v>
      </c>
      <c r="B11" s="16">
        <v>1.0</v>
      </c>
      <c r="C11" s="17" t="s">
        <v>48</v>
      </c>
      <c r="D11" s="18" t="s">
        <v>49</v>
      </c>
      <c r="E11" s="19" t="s">
        <v>22</v>
      </c>
      <c r="F11" s="18">
        <v>2016.0</v>
      </c>
      <c r="G11" s="18">
        <v>2014.0</v>
      </c>
      <c r="H11" s="20" t="s">
        <v>50</v>
      </c>
      <c r="I11" s="21"/>
      <c r="J11" s="21" t="s">
        <v>19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>
      <c r="A12" s="7">
        <v>17.0</v>
      </c>
      <c r="B12" s="8">
        <v>1.0</v>
      </c>
      <c r="C12" s="9" t="s">
        <v>51</v>
      </c>
      <c r="D12" s="12" t="s">
        <v>52</v>
      </c>
      <c r="E12" s="11" t="s">
        <v>53</v>
      </c>
      <c r="F12" s="12">
        <v>2018.0</v>
      </c>
      <c r="G12" s="12">
        <v>2015.0</v>
      </c>
      <c r="H12" s="13" t="s">
        <v>54</v>
      </c>
      <c r="I12" s="14"/>
      <c r="J12" s="14"/>
      <c r="K12" s="14" t="s">
        <v>19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>
      <c r="A13" s="15">
        <v>18.0</v>
      </c>
      <c r="B13" s="16">
        <v>1.0</v>
      </c>
      <c r="C13" s="17" t="s">
        <v>55</v>
      </c>
      <c r="D13" s="18" t="s">
        <v>56</v>
      </c>
      <c r="E13" s="19" t="s">
        <v>57</v>
      </c>
      <c r="F13" s="18">
        <v>2018.0</v>
      </c>
      <c r="G13" s="18">
        <v>2017.0</v>
      </c>
      <c r="H13" s="20" t="s">
        <v>58</v>
      </c>
      <c r="I13" s="21"/>
      <c r="J13" s="21"/>
      <c r="K13" s="21" t="s">
        <v>19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>
      <c r="A14" s="7">
        <v>19.0</v>
      </c>
      <c r="B14" s="8">
        <v>1.0</v>
      </c>
      <c r="C14" s="9" t="s">
        <v>59</v>
      </c>
      <c r="D14" s="12" t="s">
        <v>60</v>
      </c>
      <c r="E14" s="11" t="s">
        <v>57</v>
      </c>
      <c r="F14" s="12">
        <v>2018.0</v>
      </c>
      <c r="G14" s="12">
        <v>2018.0</v>
      </c>
      <c r="H14" s="13" t="s">
        <v>61</v>
      </c>
      <c r="I14" s="14"/>
      <c r="J14" s="14"/>
      <c r="K14" s="14" t="s">
        <v>19</v>
      </c>
      <c r="L14" s="14"/>
      <c r="M14" s="14" t="s">
        <v>19</v>
      </c>
      <c r="N14" s="14"/>
      <c r="O14" s="14"/>
      <c r="P14" s="14"/>
      <c r="Q14" s="14"/>
      <c r="R14" s="14"/>
      <c r="S14" s="14"/>
      <c r="T14" s="14"/>
      <c r="U14" s="14"/>
    </row>
    <row r="15">
      <c r="A15" s="15">
        <v>20.0</v>
      </c>
      <c r="B15" s="16">
        <v>1.0</v>
      </c>
      <c r="C15" s="17" t="s">
        <v>62</v>
      </c>
      <c r="D15" s="18" t="s">
        <v>63</v>
      </c>
      <c r="E15" s="19" t="s">
        <v>64</v>
      </c>
      <c r="F15" s="18">
        <v>2019.0</v>
      </c>
      <c r="G15" s="18">
        <v>2015.0</v>
      </c>
      <c r="H15" s="20" t="s">
        <v>65</v>
      </c>
      <c r="I15" s="21"/>
      <c r="J15" s="21"/>
      <c r="K15" s="21" t="s">
        <v>19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>
      <c r="A16" s="7">
        <v>21.0</v>
      </c>
      <c r="B16" s="8">
        <v>1.0</v>
      </c>
      <c r="C16" s="9" t="s">
        <v>66</v>
      </c>
      <c r="D16" s="12" t="s">
        <v>67</v>
      </c>
      <c r="E16" s="11" t="s">
        <v>68</v>
      </c>
      <c r="F16" s="12">
        <v>2019.0</v>
      </c>
      <c r="G16" s="12">
        <v>2015.0</v>
      </c>
      <c r="H16" s="13" t="s">
        <v>69</v>
      </c>
      <c r="I16" s="14"/>
      <c r="J16" s="14"/>
      <c r="K16" s="14" t="s">
        <v>19</v>
      </c>
      <c r="L16" s="14"/>
      <c r="M16" s="14"/>
      <c r="N16" s="14" t="s">
        <v>19</v>
      </c>
      <c r="O16" s="14"/>
      <c r="P16" s="14"/>
      <c r="Q16" s="14"/>
      <c r="R16" s="14"/>
      <c r="S16" s="14"/>
      <c r="T16" s="14"/>
      <c r="U16" s="14"/>
    </row>
    <row r="17">
      <c r="A17" s="15">
        <v>25.0</v>
      </c>
      <c r="B17" s="16">
        <v>1.0</v>
      </c>
      <c r="C17" s="17" t="s">
        <v>70</v>
      </c>
      <c r="D17" s="18" t="s">
        <v>71</v>
      </c>
      <c r="E17" s="19" t="s">
        <v>36</v>
      </c>
      <c r="F17" s="18">
        <v>2019.0</v>
      </c>
      <c r="G17" s="18">
        <v>2017.0</v>
      </c>
      <c r="H17" s="20" t="s">
        <v>72</v>
      </c>
      <c r="I17" s="21"/>
      <c r="J17" s="21" t="s">
        <v>19</v>
      </c>
      <c r="K17" s="21"/>
      <c r="L17" s="21" t="s">
        <v>19</v>
      </c>
      <c r="M17" s="21"/>
      <c r="N17" s="21"/>
      <c r="O17" s="21"/>
      <c r="P17" s="21"/>
      <c r="Q17" s="21"/>
      <c r="R17" s="21"/>
      <c r="S17" s="21"/>
      <c r="T17" s="21"/>
      <c r="U17" s="21"/>
    </row>
    <row r="18">
      <c r="A18" s="7">
        <v>26.0</v>
      </c>
      <c r="B18" s="8">
        <v>1.0</v>
      </c>
      <c r="C18" s="9" t="s">
        <v>73</v>
      </c>
      <c r="D18" s="12" t="s">
        <v>74</v>
      </c>
      <c r="E18" s="11" t="s">
        <v>43</v>
      </c>
      <c r="F18" s="12">
        <v>2019.0</v>
      </c>
      <c r="G18" s="12">
        <v>2017.0</v>
      </c>
      <c r="H18" s="13" t="s">
        <v>75</v>
      </c>
      <c r="I18" s="14"/>
      <c r="J18" s="14"/>
      <c r="K18" s="14"/>
      <c r="L18" s="14" t="s">
        <v>19</v>
      </c>
      <c r="M18" s="14"/>
      <c r="N18" s="14"/>
      <c r="O18" s="14" t="s">
        <v>19</v>
      </c>
      <c r="P18" s="14"/>
      <c r="Q18" s="14"/>
      <c r="R18" s="14"/>
      <c r="S18" s="14"/>
      <c r="T18" s="14"/>
      <c r="U18" s="14"/>
    </row>
    <row r="19">
      <c r="A19" s="15">
        <v>27.0</v>
      </c>
      <c r="B19" s="16">
        <v>1.0</v>
      </c>
      <c r="C19" s="17" t="s">
        <v>76</v>
      </c>
      <c r="D19" s="22" t="s">
        <v>77</v>
      </c>
      <c r="E19" s="19" t="s">
        <v>22</v>
      </c>
      <c r="F19" s="18">
        <v>2016.0</v>
      </c>
      <c r="G19" s="18">
        <v>2015.0</v>
      </c>
      <c r="H19" s="20" t="s">
        <v>78</v>
      </c>
      <c r="I19" s="21"/>
      <c r="J19" s="21" t="s">
        <v>19</v>
      </c>
      <c r="K19" s="21"/>
      <c r="L19" s="21"/>
      <c r="M19" s="21"/>
      <c r="N19" s="21"/>
      <c r="O19" s="21" t="s">
        <v>19</v>
      </c>
      <c r="P19" s="21"/>
      <c r="Q19" s="21"/>
      <c r="R19" s="21"/>
      <c r="S19" s="21"/>
      <c r="T19" s="21"/>
      <c r="U19" s="21"/>
    </row>
    <row r="20">
      <c r="A20" s="7">
        <v>29.0</v>
      </c>
      <c r="B20" s="8">
        <v>1.0</v>
      </c>
      <c r="C20" s="12" t="s">
        <v>79</v>
      </c>
      <c r="D20" s="12" t="s">
        <v>80</v>
      </c>
      <c r="E20" s="11" t="s">
        <v>81</v>
      </c>
      <c r="F20" s="23">
        <v>2018.0</v>
      </c>
      <c r="G20" s="23">
        <v>2017.0</v>
      </c>
      <c r="H20" s="13" t="s">
        <v>82</v>
      </c>
      <c r="I20" s="14"/>
      <c r="J20" s="24" t="s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>
      <c r="A21" s="15">
        <v>30.0</v>
      </c>
      <c r="B21" s="16">
        <v>1.0</v>
      </c>
      <c r="C21" s="18" t="s">
        <v>83</v>
      </c>
      <c r="D21" s="18" t="s">
        <v>84</v>
      </c>
      <c r="E21" s="25" t="s">
        <v>85</v>
      </c>
      <c r="F21" s="18">
        <v>2007.0</v>
      </c>
      <c r="G21" s="26" t="s">
        <v>86</v>
      </c>
      <c r="H21" s="20" t="s">
        <v>87</v>
      </c>
      <c r="I21" s="21"/>
      <c r="J21" s="27" t="s">
        <v>19</v>
      </c>
      <c r="K21" s="21"/>
      <c r="L21" s="21"/>
      <c r="M21" s="21"/>
      <c r="N21" s="21"/>
      <c r="O21" s="21" t="s">
        <v>19</v>
      </c>
      <c r="P21" s="21"/>
      <c r="Q21" s="21"/>
      <c r="R21" s="21"/>
      <c r="S21" s="21"/>
      <c r="T21" s="21"/>
      <c r="U21" s="21"/>
    </row>
    <row r="22">
      <c r="A22" s="7">
        <v>31.0</v>
      </c>
      <c r="B22" s="8">
        <v>1.0</v>
      </c>
      <c r="C22" s="12" t="s">
        <v>88</v>
      </c>
      <c r="D22" s="12" t="s">
        <v>89</v>
      </c>
      <c r="E22" s="11" t="s">
        <v>90</v>
      </c>
      <c r="F22" s="23">
        <v>2013.0</v>
      </c>
      <c r="G22" s="23" t="s">
        <v>86</v>
      </c>
      <c r="H22" s="13" t="s">
        <v>91</v>
      </c>
      <c r="I22" s="14"/>
      <c r="J22" s="14"/>
      <c r="K22" s="14"/>
      <c r="L22" s="14"/>
      <c r="M22" s="14"/>
      <c r="N22" s="14"/>
      <c r="O22" s="14" t="s">
        <v>19</v>
      </c>
      <c r="P22" s="14"/>
      <c r="Q22" s="14"/>
      <c r="R22" s="14"/>
      <c r="S22" s="14"/>
      <c r="T22" s="14"/>
      <c r="U22" s="14"/>
    </row>
    <row r="23">
      <c r="A23" s="15">
        <v>33.0</v>
      </c>
      <c r="B23" s="16">
        <v>1.0</v>
      </c>
      <c r="C23" s="18" t="s">
        <v>92</v>
      </c>
      <c r="D23" s="18" t="s">
        <v>93</v>
      </c>
      <c r="E23" s="19" t="s">
        <v>94</v>
      </c>
      <c r="F23" s="18">
        <v>1992.0</v>
      </c>
      <c r="G23" s="26">
        <v>1991.0</v>
      </c>
      <c r="H23" s="20" t="s">
        <v>95</v>
      </c>
      <c r="I23" s="21"/>
      <c r="J23" s="21"/>
      <c r="K23" s="21"/>
      <c r="L23" s="21"/>
      <c r="M23" s="21"/>
      <c r="N23" s="21"/>
      <c r="O23" s="21" t="s">
        <v>19</v>
      </c>
      <c r="P23" s="21"/>
      <c r="Q23" s="21"/>
      <c r="R23" s="21"/>
      <c r="S23" s="21"/>
      <c r="T23" s="21"/>
      <c r="U23" s="21"/>
    </row>
    <row r="24">
      <c r="A24" s="7">
        <v>35.0</v>
      </c>
      <c r="B24" s="8">
        <v>1.0</v>
      </c>
      <c r="C24" s="12" t="s">
        <v>96</v>
      </c>
      <c r="D24" s="12" t="s">
        <v>97</v>
      </c>
      <c r="E24" s="11" t="s">
        <v>94</v>
      </c>
      <c r="F24" s="23">
        <v>2014.0</v>
      </c>
      <c r="G24" s="23">
        <v>2012.0</v>
      </c>
      <c r="H24" s="13" t="s">
        <v>98</v>
      </c>
      <c r="I24" s="14"/>
      <c r="J24" s="14"/>
      <c r="K24" s="14"/>
      <c r="L24" s="14"/>
      <c r="M24" s="14"/>
      <c r="N24" s="14"/>
      <c r="O24" s="14" t="s">
        <v>19</v>
      </c>
      <c r="P24" s="14"/>
      <c r="Q24" s="14"/>
      <c r="R24" s="14"/>
      <c r="S24" s="14"/>
      <c r="T24" s="14"/>
      <c r="U24" s="14"/>
    </row>
    <row r="25">
      <c r="A25" s="15">
        <v>39.0</v>
      </c>
      <c r="B25" s="16">
        <v>1.0</v>
      </c>
      <c r="C25" s="18" t="s">
        <v>99</v>
      </c>
      <c r="D25" s="18" t="s">
        <v>100</v>
      </c>
      <c r="E25" s="25" t="s">
        <v>101</v>
      </c>
      <c r="F25" s="26">
        <v>2019.0</v>
      </c>
      <c r="G25" s="28">
        <v>2017.0</v>
      </c>
      <c r="H25" s="20" t="s">
        <v>102</v>
      </c>
      <c r="I25" s="21"/>
      <c r="J25" s="27" t="s">
        <v>19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>
      <c r="A26" s="7">
        <v>42.0</v>
      </c>
      <c r="B26" s="8">
        <v>1.0</v>
      </c>
      <c r="C26" s="12" t="s">
        <v>103</v>
      </c>
      <c r="D26" s="12" t="s">
        <v>104</v>
      </c>
      <c r="E26" s="11" t="s">
        <v>105</v>
      </c>
      <c r="F26" s="23">
        <v>2017.0</v>
      </c>
      <c r="G26" s="23">
        <v>2014.0</v>
      </c>
      <c r="H26" s="13" t="s">
        <v>106</v>
      </c>
      <c r="I26" s="14"/>
      <c r="J26" s="14"/>
      <c r="K26" s="14"/>
      <c r="L26" s="24" t="s">
        <v>19</v>
      </c>
      <c r="M26" s="14"/>
      <c r="N26" s="14"/>
      <c r="O26" s="14"/>
      <c r="P26" s="14"/>
      <c r="Q26" s="14"/>
      <c r="R26" s="14"/>
      <c r="S26" s="14"/>
      <c r="T26" s="14"/>
      <c r="U26" s="14"/>
    </row>
    <row r="27">
      <c r="A27" s="15">
        <v>43.0</v>
      </c>
      <c r="B27" s="16">
        <v>1.0</v>
      </c>
      <c r="C27" s="18" t="s">
        <v>107</v>
      </c>
      <c r="D27" s="18" t="s">
        <v>108</v>
      </c>
      <c r="E27" s="19" t="s">
        <v>36</v>
      </c>
      <c r="F27" s="26">
        <v>2019.0</v>
      </c>
      <c r="G27" s="26">
        <v>2016.0</v>
      </c>
      <c r="H27" s="20" t="s">
        <v>109</v>
      </c>
      <c r="I27" s="21"/>
      <c r="J27" s="27" t="s">
        <v>19</v>
      </c>
      <c r="K27" s="27"/>
      <c r="L27" s="27"/>
      <c r="M27" s="27"/>
      <c r="N27" s="21"/>
      <c r="O27" s="21"/>
      <c r="P27" s="21"/>
      <c r="Q27" s="21"/>
      <c r="R27" s="21"/>
      <c r="S27" s="21"/>
      <c r="T27" s="21"/>
      <c r="U27" s="21"/>
    </row>
    <row r="28">
      <c r="A28" s="7">
        <v>44.0</v>
      </c>
      <c r="B28" s="8">
        <v>1.0</v>
      </c>
      <c r="C28" s="12" t="s">
        <v>110</v>
      </c>
      <c r="D28" s="12" t="s">
        <v>111</v>
      </c>
      <c r="E28" s="23"/>
      <c r="F28" s="23">
        <v>2020.0</v>
      </c>
      <c r="G28" s="23">
        <v>2018.0</v>
      </c>
      <c r="H28" s="13" t="s">
        <v>112</v>
      </c>
      <c r="I28" s="14"/>
      <c r="J28" s="14"/>
      <c r="K28" s="24" t="s">
        <v>19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>
      <c r="A29" s="15">
        <v>45.0</v>
      </c>
      <c r="B29" s="16">
        <v>1.0</v>
      </c>
      <c r="C29" s="18" t="s">
        <v>113</v>
      </c>
      <c r="D29" s="18" t="s">
        <v>114</v>
      </c>
      <c r="E29" s="19" t="s">
        <v>115</v>
      </c>
      <c r="F29" s="26">
        <v>2016.0</v>
      </c>
      <c r="G29" s="26">
        <v>2014.0</v>
      </c>
      <c r="H29" s="20" t="s">
        <v>116</v>
      </c>
      <c r="I29" s="21"/>
      <c r="J29" s="21"/>
      <c r="K29" s="21"/>
      <c r="L29" s="27" t="s">
        <v>19</v>
      </c>
      <c r="M29" s="21"/>
      <c r="N29" s="21"/>
      <c r="O29" s="21"/>
      <c r="P29" s="21"/>
      <c r="Q29" s="21"/>
      <c r="R29" s="21"/>
      <c r="S29" s="21"/>
      <c r="T29" s="21"/>
      <c r="U29" s="21"/>
    </row>
    <row r="30">
      <c r="A30" s="29">
        <v>46.0</v>
      </c>
      <c r="B30" s="8">
        <v>1.0</v>
      </c>
      <c r="C30" s="12" t="s">
        <v>117</v>
      </c>
      <c r="D30" s="12" t="s">
        <v>118</v>
      </c>
      <c r="E30" s="11" t="s">
        <v>119</v>
      </c>
      <c r="F30" s="23">
        <v>2017.0</v>
      </c>
      <c r="G30" s="23" t="s">
        <v>86</v>
      </c>
      <c r="H30" s="13" t="s">
        <v>120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>
      <c r="A31" s="30">
        <v>47.0</v>
      </c>
      <c r="B31" s="16">
        <v>1.0</v>
      </c>
      <c r="C31" s="18" t="s">
        <v>121</v>
      </c>
      <c r="D31" s="18" t="s">
        <v>122</v>
      </c>
      <c r="E31" s="25" t="s">
        <v>22</v>
      </c>
      <c r="F31" s="26">
        <v>2017.0</v>
      </c>
      <c r="G31" s="26">
        <v>2015.0</v>
      </c>
      <c r="H31" s="20" t="s">
        <v>123</v>
      </c>
      <c r="I31" s="21"/>
      <c r="J31" s="27" t="s">
        <v>19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>
      <c r="A32" s="29">
        <v>48.0</v>
      </c>
      <c r="B32" s="8">
        <v>1.0</v>
      </c>
      <c r="C32" s="12" t="s">
        <v>124</v>
      </c>
      <c r="D32" s="12" t="s">
        <v>125</v>
      </c>
      <c r="E32" s="11" t="s">
        <v>36</v>
      </c>
      <c r="F32" s="23">
        <v>2016.0</v>
      </c>
      <c r="G32" s="23">
        <v>2014.0</v>
      </c>
      <c r="H32" s="13" t="s">
        <v>126</v>
      </c>
      <c r="I32" s="14"/>
      <c r="J32" s="14"/>
      <c r="K32" s="14"/>
      <c r="L32" s="14"/>
      <c r="M32" s="14"/>
      <c r="N32" s="14" t="s">
        <v>19</v>
      </c>
      <c r="O32" s="14"/>
      <c r="P32" s="14"/>
      <c r="Q32" s="14"/>
      <c r="R32" s="14"/>
      <c r="S32" s="14"/>
      <c r="T32" s="14"/>
      <c r="U32" s="14"/>
    </row>
    <row r="33">
      <c r="A33" s="30">
        <v>49.0</v>
      </c>
      <c r="B33" s="16">
        <v>1.0</v>
      </c>
      <c r="C33" s="18" t="s">
        <v>127</v>
      </c>
      <c r="D33" s="18" t="s">
        <v>128</v>
      </c>
      <c r="E33" s="19" t="s">
        <v>129</v>
      </c>
      <c r="F33" s="26">
        <v>2018.0</v>
      </c>
      <c r="G33" s="26">
        <v>2015.0</v>
      </c>
      <c r="H33" s="20" t="s">
        <v>130</v>
      </c>
      <c r="I33" s="21"/>
      <c r="J33" s="21"/>
      <c r="K33" s="21"/>
      <c r="L33" s="27" t="s">
        <v>19</v>
      </c>
      <c r="M33" s="21"/>
      <c r="N33" s="21"/>
      <c r="O33" s="21"/>
      <c r="P33" s="21"/>
      <c r="Q33" s="21"/>
      <c r="R33" s="21"/>
      <c r="S33" s="21"/>
      <c r="T33" s="21"/>
      <c r="U33" s="21"/>
    </row>
    <row r="34">
      <c r="A34" s="29">
        <v>50.0</v>
      </c>
      <c r="B34" s="8">
        <v>1.0</v>
      </c>
      <c r="C34" s="12" t="s">
        <v>131</v>
      </c>
      <c r="D34" s="12" t="s">
        <v>132</v>
      </c>
      <c r="E34" s="11" t="s">
        <v>32</v>
      </c>
      <c r="F34" s="23">
        <v>2015.0</v>
      </c>
      <c r="G34" s="23">
        <v>2014.0</v>
      </c>
      <c r="H34" s="13" t="s">
        <v>133</v>
      </c>
      <c r="I34" s="14"/>
      <c r="J34" s="14"/>
      <c r="K34" s="14"/>
      <c r="L34" s="14"/>
      <c r="M34" s="14"/>
      <c r="N34" s="14" t="s">
        <v>19</v>
      </c>
      <c r="O34" s="14"/>
      <c r="P34" s="14"/>
      <c r="Q34" s="14"/>
      <c r="R34" s="14"/>
      <c r="S34" s="14"/>
      <c r="T34" s="14"/>
      <c r="U34" s="14"/>
    </row>
    <row r="35">
      <c r="A35" s="30">
        <v>51.0</v>
      </c>
      <c r="B35" s="16">
        <v>1.0</v>
      </c>
      <c r="C35" s="18" t="s">
        <v>134</v>
      </c>
      <c r="D35" s="18" t="s">
        <v>111</v>
      </c>
      <c r="E35" s="26"/>
      <c r="F35" s="26">
        <v>2020.0</v>
      </c>
      <c r="G35" s="26">
        <v>2017.0</v>
      </c>
      <c r="H35" s="20" t="s">
        <v>135</v>
      </c>
      <c r="I35" s="21"/>
      <c r="J35" s="21"/>
      <c r="K35" s="27" t="s">
        <v>19</v>
      </c>
      <c r="L35" s="27" t="s">
        <v>19</v>
      </c>
      <c r="M35" s="21"/>
      <c r="N35" s="21"/>
      <c r="O35" s="21"/>
      <c r="P35" s="21"/>
      <c r="Q35" s="21"/>
      <c r="R35" s="21"/>
      <c r="S35" s="21"/>
      <c r="T35" s="21"/>
      <c r="U35" s="21"/>
    </row>
    <row r="36">
      <c r="A36" s="29">
        <v>52.0</v>
      </c>
      <c r="B36" s="8">
        <v>1.0</v>
      </c>
      <c r="C36" s="12" t="s">
        <v>136</v>
      </c>
      <c r="D36" s="12" t="s">
        <v>137</v>
      </c>
      <c r="E36" s="11" t="s">
        <v>22</v>
      </c>
      <c r="F36" s="23">
        <v>2019.0</v>
      </c>
      <c r="G36" s="23">
        <v>2015.0</v>
      </c>
      <c r="H36" s="13" t="s">
        <v>138</v>
      </c>
      <c r="I36" s="14"/>
      <c r="J36" s="24" t="s">
        <v>19</v>
      </c>
      <c r="K36" s="14"/>
      <c r="L36" s="24" t="s">
        <v>19</v>
      </c>
      <c r="M36" s="14"/>
      <c r="N36" s="14"/>
      <c r="O36" s="14" t="s">
        <v>19</v>
      </c>
      <c r="P36" s="14"/>
      <c r="Q36" s="14"/>
      <c r="R36" s="14"/>
      <c r="S36" s="14"/>
      <c r="T36" s="14"/>
      <c r="U36" s="14"/>
    </row>
    <row r="37">
      <c r="A37" s="30">
        <v>53.0</v>
      </c>
      <c r="B37" s="16">
        <v>1.0</v>
      </c>
      <c r="C37" s="18" t="s">
        <v>139</v>
      </c>
      <c r="D37" s="18" t="s">
        <v>140</v>
      </c>
      <c r="E37" s="19" t="s">
        <v>22</v>
      </c>
      <c r="F37" s="26">
        <v>2016.0</v>
      </c>
      <c r="G37" s="26">
        <v>2016.0</v>
      </c>
      <c r="H37" s="20" t="s">
        <v>141</v>
      </c>
      <c r="I37" s="21"/>
      <c r="J37" s="27" t="s">
        <v>19</v>
      </c>
      <c r="K37" s="21"/>
      <c r="L37" s="21"/>
      <c r="M37" s="21"/>
      <c r="N37" s="21"/>
      <c r="O37" s="21" t="s">
        <v>19</v>
      </c>
      <c r="P37" s="21"/>
      <c r="Q37" s="21"/>
      <c r="R37" s="21"/>
      <c r="S37" s="21"/>
      <c r="T37" s="21"/>
      <c r="U37" s="21"/>
    </row>
    <row r="38">
      <c r="A38" s="29">
        <v>55.0</v>
      </c>
      <c r="B38" s="8">
        <v>1.0</v>
      </c>
      <c r="C38" s="12" t="s">
        <v>142</v>
      </c>
      <c r="D38" s="12" t="s">
        <v>143</v>
      </c>
      <c r="E38" s="11" t="s">
        <v>144</v>
      </c>
      <c r="F38" s="23">
        <v>2016.0</v>
      </c>
      <c r="G38" s="23">
        <v>2014.0</v>
      </c>
      <c r="H38" s="13" t="s">
        <v>145</v>
      </c>
      <c r="I38" s="14"/>
      <c r="J38" s="14"/>
      <c r="K38" s="14"/>
      <c r="L38" s="24" t="s">
        <v>19</v>
      </c>
      <c r="M38" s="14"/>
      <c r="N38" s="14"/>
      <c r="O38" s="14"/>
      <c r="P38" s="14"/>
      <c r="Q38" s="14"/>
      <c r="R38" s="14"/>
      <c r="S38" s="14"/>
      <c r="T38" s="14"/>
      <c r="U38" s="14"/>
    </row>
    <row r="39">
      <c r="A39" s="30">
        <v>56.0</v>
      </c>
      <c r="B39" s="16">
        <v>1.0</v>
      </c>
      <c r="C39" s="18" t="s">
        <v>146</v>
      </c>
      <c r="D39" s="18" t="s">
        <v>147</v>
      </c>
      <c r="E39" s="19" t="s">
        <v>148</v>
      </c>
      <c r="F39" s="26">
        <v>2018.0</v>
      </c>
      <c r="G39" s="26">
        <v>2014.0</v>
      </c>
      <c r="H39" s="20" t="s">
        <v>149</v>
      </c>
      <c r="I39" s="21"/>
      <c r="J39" s="21"/>
      <c r="K39" s="21"/>
      <c r="L39" s="21"/>
      <c r="M39" s="27" t="s">
        <v>19</v>
      </c>
      <c r="N39" s="21"/>
      <c r="O39" s="21"/>
      <c r="P39" s="21"/>
      <c r="Q39" s="21"/>
      <c r="R39" s="21"/>
      <c r="S39" s="21"/>
      <c r="T39" s="21"/>
      <c r="U39" s="21"/>
    </row>
    <row r="40">
      <c r="A40" s="29">
        <v>57.0</v>
      </c>
      <c r="B40" s="8">
        <v>1.0</v>
      </c>
      <c r="C40" s="12" t="s">
        <v>150</v>
      </c>
      <c r="D40" s="12" t="s">
        <v>151</v>
      </c>
      <c r="E40" s="23"/>
      <c r="F40" s="23">
        <v>2018.0</v>
      </c>
      <c r="G40" s="23">
        <v>2017.0</v>
      </c>
      <c r="H40" s="13" t="s">
        <v>152</v>
      </c>
      <c r="I40" s="14"/>
      <c r="J40" s="24"/>
      <c r="K40" s="14"/>
      <c r="L40" s="24" t="s">
        <v>19</v>
      </c>
      <c r="M40" s="14"/>
      <c r="N40" s="14" t="s">
        <v>19</v>
      </c>
      <c r="O40" s="14"/>
      <c r="P40" s="14"/>
      <c r="Q40" s="14"/>
      <c r="R40" s="14"/>
      <c r="S40" s="14"/>
      <c r="T40" s="14"/>
      <c r="U40" s="14"/>
    </row>
    <row r="41">
      <c r="A41" s="30">
        <v>58.0</v>
      </c>
      <c r="B41" s="16">
        <v>1.0</v>
      </c>
      <c r="C41" s="18" t="s">
        <v>153</v>
      </c>
      <c r="D41" s="18" t="s">
        <v>154</v>
      </c>
      <c r="E41" s="19" t="s">
        <v>155</v>
      </c>
      <c r="F41" s="26">
        <v>2020.0</v>
      </c>
      <c r="G41" s="26">
        <v>2017.0</v>
      </c>
      <c r="H41" s="20" t="s">
        <v>156</v>
      </c>
      <c r="I41" s="21"/>
      <c r="J41" s="27" t="s">
        <v>19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>
      <c r="A42" s="31">
        <v>59.0</v>
      </c>
      <c r="B42" s="8">
        <v>1.0</v>
      </c>
      <c r="C42" s="12" t="s">
        <v>157</v>
      </c>
      <c r="D42" s="12" t="s">
        <v>158</v>
      </c>
      <c r="E42" s="11" t="s">
        <v>57</v>
      </c>
      <c r="F42" s="23">
        <v>2012.0</v>
      </c>
      <c r="G42" s="23">
        <v>2009.0</v>
      </c>
      <c r="H42" s="13" t="s">
        <v>159</v>
      </c>
      <c r="I42" s="14"/>
      <c r="J42" s="24" t="s">
        <v>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>
      <c r="A43" s="32">
        <v>60.0</v>
      </c>
      <c r="B43" s="16">
        <v>1.0</v>
      </c>
      <c r="C43" s="18" t="s">
        <v>160</v>
      </c>
      <c r="D43" s="18" t="s">
        <v>161</v>
      </c>
      <c r="E43" s="17" t="s">
        <v>162</v>
      </c>
      <c r="F43" s="26">
        <v>2018.0</v>
      </c>
      <c r="G43" s="26">
        <v>2014.0</v>
      </c>
      <c r="H43" s="20" t="s">
        <v>163</v>
      </c>
      <c r="I43" s="21"/>
      <c r="J43" s="27" t="s">
        <v>19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>
      <c r="A44" s="31">
        <v>61.0</v>
      </c>
      <c r="B44" s="8">
        <v>1.0</v>
      </c>
      <c r="C44" s="12" t="s">
        <v>164</v>
      </c>
      <c r="D44" s="12" t="s">
        <v>165</v>
      </c>
      <c r="E44" s="23"/>
      <c r="F44" s="12">
        <v>2015.0</v>
      </c>
      <c r="G44" s="23">
        <v>2012.0</v>
      </c>
      <c r="H44" s="13" t="s">
        <v>166</v>
      </c>
      <c r="I44" s="14"/>
      <c r="J44" s="24" t="s">
        <v>19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>
      <c r="A45" s="32">
        <v>62.0</v>
      </c>
      <c r="B45" s="16">
        <v>1.0</v>
      </c>
      <c r="C45" s="18" t="s">
        <v>167</v>
      </c>
      <c r="D45" s="18" t="s">
        <v>168</v>
      </c>
      <c r="E45" s="19" t="s">
        <v>68</v>
      </c>
      <c r="F45" s="18">
        <v>2014.0</v>
      </c>
      <c r="G45" s="26">
        <v>2010.0</v>
      </c>
      <c r="H45" s="20" t="s">
        <v>169</v>
      </c>
      <c r="I45" s="21"/>
      <c r="J45" s="27" t="s">
        <v>19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>
      <c r="A46" s="31">
        <v>64.0</v>
      </c>
      <c r="B46" s="8">
        <v>1.0</v>
      </c>
      <c r="C46" s="12" t="s">
        <v>170</v>
      </c>
      <c r="D46" s="12" t="s">
        <v>171</v>
      </c>
      <c r="E46" s="11" t="s">
        <v>172</v>
      </c>
      <c r="F46" s="12">
        <v>2011.0</v>
      </c>
      <c r="G46" s="12">
        <v>2008.0</v>
      </c>
      <c r="H46" s="13" t="s">
        <v>173</v>
      </c>
      <c r="I46" s="14"/>
      <c r="J46" s="24" t="s">
        <v>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>
      <c r="A47" s="33">
        <v>65.0</v>
      </c>
      <c r="B47" s="16">
        <v>1.0</v>
      </c>
      <c r="C47" s="18" t="s">
        <v>174</v>
      </c>
      <c r="D47" s="18" t="s">
        <v>175</v>
      </c>
      <c r="E47" s="19" t="s">
        <v>81</v>
      </c>
      <c r="F47" s="26">
        <v>2016.0</v>
      </c>
      <c r="G47" s="26">
        <v>2013.0</v>
      </c>
      <c r="H47" s="20" t="s">
        <v>176</v>
      </c>
      <c r="I47" s="21"/>
      <c r="J47" s="21"/>
      <c r="K47" s="21" t="s">
        <v>19</v>
      </c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>
      <c r="A48" s="34">
        <v>66.0</v>
      </c>
      <c r="B48" s="8">
        <v>1.0</v>
      </c>
      <c r="C48" s="12" t="s">
        <v>177</v>
      </c>
      <c r="D48" s="10" t="s">
        <v>178</v>
      </c>
      <c r="E48" s="11" t="s">
        <v>179</v>
      </c>
      <c r="F48" s="23">
        <v>2017.0</v>
      </c>
      <c r="G48" s="23" t="s">
        <v>86</v>
      </c>
      <c r="H48" s="35" t="s">
        <v>180</v>
      </c>
      <c r="I48" s="14"/>
      <c r="J48" s="14"/>
      <c r="K48" s="14" t="s">
        <v>19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>
      <c r="A49" s="36">
        <v>67.0</v>
      </c>
      <c r="B49" s="16">
        <v>1.0</v>
      </c>
      <c r="C49" s="37" t="s">
        <v>181</v>
      </c>
      <c r="D49" s="38" t="s">
        <v>182</v>
      </c>
      <c r="E49" s="39" t="s">
        <v>22</v>
      </c>
      <c r="F49" s="25">
        <v>2012.0</v>
      </c>
      <c r="G49" s="26">
        <v>2011.0</v>
      </c>
      <c r="H49" s="40" t="s">
        <v>183</v>
      </c>
      <c r="I49" s="21"/>
      <c r="J49" s="21"/>
      <c r="K49" s="21"/>
      <c r="L49" s="21"/>
      <c r="M49" s="41"/>
      <c r="N49" s="41" t="s">
        <v>19</v>
      </c>
      <c r="O49" s="41" t="s">
        <v>19</v>
      </c>
      <c r="P49" s="41"/>
      <c r="Q49" s="41"/>
      <c r="R49" s="41"/>
      <c r="S49" s="41"/>
      <c r="T49" s="41"/>
      <c r="U49" s="41"/>
    </row>
    <row r="50">
      <c r="A50" s="42">
        <v>68.0</v>
      </c>
      <c r="B50" s="8">
        <v>1.0</v>
      </c>
      <c r="C50" s="43" t="s">
        <v>184</v>
      </c>
      <c r="D50" s="43" t="s">
        <v>185</v>
      </c>
      <c r="E50" s="44" t="s">
        <v>186</v>
      </c>
      <c r="F50" s="45">
        <v>2017.0</v>
      </c>
      <c r="G50" s="23">
        <v>2011.0</v>
      </c>
      <c r="H50" s="46" t="s">
        <v>187</v>
      </c>
      <c r="I50" s="47" t="s">
        <v>19</v>
      </c>
      <c r="J50" s="14"/>
      <c r="K50" s="14"/>
      <c r="L50" s="14"/>
      <c r="M50" s="14"/>
      <c r="N50" s="14"/>
      <c r="O50" s="47" t="s">
        <v>19</v>
      </c>
      <c r="P50" s="47"/>
      <c r="Q50" s="47"/>
      <c r="R50" s="47"/>
      <c r="S50" s="47"/>
      <c r="T50" s="47"/>
      <c r="U50" s="47"/>
    </row>
    <row r="51" hidden="1">
      <c r="A51" s="48">
        <v>1.0</v>
      </c>
      <c r="B51" s="49">
        <v>0.0</v>
      </c>
      <c r="C51" s="15" t="s">
        <v>188</v>
      </c>
      <c r="D51" s="50" t="s">
        <v>189</v>
      </c>
      <c r="E51" s="39" t="s">
        <v>85</v>
      </c>
      <c r="F51" s="51">
        <v>2004.0</v>
      </c>
      <c r="G51" s="51">
        <v>2007.0</v>
      </c>
      <c r="H51" s="52" t="s">
        <v>190</v>
      </c>
      <c r="J51" s="21" t="s">
        <v>19</v>
      </c>
      <c r="K51" s="21"/>
      <c r="L51" s="21"/>
      <c r="M51" s="21"/>
      <c r="N51" s="53"/>
      <c r="O51" s="53"/>
    </row>
    <row r="52" hidden="1">
      <c r="A52" s="54">
        <v>2.0</v>
      </c>
      <c r="B52" s="55">
        <v>0.0</v>
      </c>
      <c r="C52" s="7" t="s">
        <v>191</v>
      </c>
      <c r="D52" s="56" t="s">
        <v>192</v>
      </c>
      <c r="E52" s="44" t="s">
        <v>85</v>
      </c>
      <c r="F52" s="57">
        <v>2014.0</v>
      </c>
      <c r="G52" s="57">
        <v>2020.0</v>
      </c>
      <c r="H52" s="58" t="s">
        <v>193</v>
      </c>
      <c r="J52" s="14" t="s">
        <v>19</v>
      </c>
      <c r="K52" s="14"/>
      <c r="L52" s="14"/>
      <c r="M52" s="14"/>
      <c r="N52" s="59"/>
      <c r="O52" s="59"/>
    </row>
    <row r="53" hidden="1">
      <c r="A53" s="48">
        <v>5.0</v>
      </c>
      <c r="B53" s="49">
        <v>0.0</v>
      </c>
      <c r="C53" s="60" t="s">
        <v>194</v>
      </c>
      <c r="D53" s="38" t="s">
        <v>195</v>
      </c>
      <c r="E53" s="61" t="s">
        <v>196</v>
      </c>
      <c r="F53" s="51">
        <v>2010.0</v>
      </c>
      <c r="G53" s="51">
        <v>2014.0</v>
      </c>
      <c r="H53" s="40" t="s">
        <v>197</v>
      </c>
      <c r="J53" s="21" t="s">
        <v>19</v>
      </c>
      <c r="K53" s="21"/>
      <c r="L53" s="21"/>
      <c r="M53" s="21"/>
      <c r="N53" s="53"/>
      <c r="O53" s="53"/>
    </row>
    <row r="54" hidden="1">
      <c r="A54" s="54">
        <v>6.0</v>
      </c>
      <c r="B54" s="55">
        <v>0.0</v>
      </c>
      <c r="C54" s="62" t="s">
        <v>198</v>
      </c>
      <c r="D54" s="43" t="s">
        <v>199</v>
      </c>
      <c r="E54" s="44" t="s">
        <v>85</v>
      </c>
      <c r="F54" s="57"/>
      <c r="G54" s="57">
        <v>2003.0</v>
      </c>
      <c r="H54" s="63" t="s">
        <v>200</v>
      </c>
      <c r="J54" s="14" t="s">
        <v>19</v>
      </c>
      <c r="K54" s="14"/>
      <c r="L54" s="14"/>
      <c r="M54" s="14"/>
      <c r="N54" s="59"/>
      <c r="O54" s="59"/>
    </row>
    <row r="55" hidden="1">
      <c r="A55" s="48">
        <v>12.0</v>
      </c>
      <c r="B55" s="49">
        <v>0.0</v>
      </c>
      <c r="C55" s="60" t="s">
        <v>201</v>
      </c>
      <c r="D55" s="38" t="s">
        <v>202</v>
      </c>
      <c r="E55" s="39" t="s">
        <v>68</v>
      </c>
      <c r="F55" s="51">
        <v>2009.0</v>
      </c>
      <c r="G55" s="51">
        <v>2015.0</v>
      </c>
      <c r="H55" s="40" t="s">
        <v>169</v>
      </c>
      <c r="J55" s="21" t="s">
        <v>19</v>
      </c>
      <c r="K55" s="21"/>
      <c r="L55" s="21"/>
      <c r="M55" s="21"/>
      <c r="N55" s="53"/>
      <c r="O55" s="53"/>
    </row>
    <row r="56" hidden="1">
      <c r="A56" s="54">
        <v>15.0</v>
      </c>
      <c r="B56" s="55">
        <v>0.0</v>
      </c>
      <c r="C56" s="62" t="s">
        <v>203</v>
      </c>
      <c r="D56" s="43" t="s">
        <v>204</v>
      </c>
      <c r="E56" s="64" t="s">
        <v>205</v>
      </c>
      <c r="F56" s="57"/>
      <c r="G56" s="57">
        <v>2013.0</v>
      </c>
      <c r="H56" s="63" t="s">
        <v>206</v>
      </c>
      <c r="J56" s="14" t="s">
        <v>19</v>
      </c>
      <c r="K56" s="14"/>
      <c r="L56" s="14"/>
      <c r="M56" s="14"/>
      <c r="N56" s="59"/>
      <c r="O56" s="59"/>
    </row>
    <row r="57" hidden="1">
      <c r="A57" s="48">
        <v>28.0</v>
      </c>
      <c r="B57" s="49">
        <v>0.0</v>
      </c>
      <c r="C57" s="37" t="s">
        <v>207</v>
      </c>
      <c r="D57" s="37" t="s">
        <v>208</v>
      </c>
      <c r="E57" s="39" t="s">
        <v>22</v>
      </c>
      <c r="F57" s="51">
        <v>2007.0</v>
      </c>
      <c r="G57" s="51">
        <v>2018.0</v>
      </c>
      <c r="H57" s="65" t="s">
        <v>209</v>
      </c>
      <c r="J57" s="66" t="s">
        <v>19</v>
      </c>
      <c r="K57" s="53"/>
      <c r="L57" s="53"/>
      <c r="M57" s="53"/>
      <c r="N57" s="53"/>
      <c r="O57" s="53"/>
    </row>
    <row r="58" hidden="1">
      <c r="A58" s="54">
        <v>32.0</v>
      </c>
      <c r="B58" s="55">
        <v>0.0</v>
      </c>
      <c r="C58" s="43" t="s">
        <v>210</v>
      </c>
      <c r="D58" s="43" t="s">
        <v>211</v>
      </c>
      <c r="E58" s="44" t="s">
        <v>148</v>
      </c>
      <c r="F58" s="67"/>
      <c r="G58" s="57">
        <v>2004.0</v>
      </c>
      <c r="H58" s="63" t="s">
        <v>212</v>
      </c>
      <c r="J58" s="59"/>
      <c r="K58" s="59"/>
      <c r="L58" s="59"/>
      <c r="M58" s="68" t="s">
        <v>19</v>
      </c>
      <c r="N58" s="59"/>
      <c r="O58" s="59" t="s">
        <v>19</v>
      </c>
    </row>
    <row r="59" hidden="1">
      <c r="A59" s="48">
        <v>36.0</v>
      </c>
      <c r="B59" s="49">
        <v>0.0</v>
      </c>
      <c r="C59" s="37" t="s">
        <v>213</v>
      </c>
      <c r="D59" s="37" t="s">
        <v>214</v>
      </c>
      <c r="E59" s="39" t="s">
        <v>215</v>
      </c>
      <c r="F59" s="51"/>
      <c r="G59" s="51">
        <v>2014.0</v>
      </c>
      <c r="H59" s="40" t="s">
        <v>216</v>
      </c>
      <c r="J59" s="53"/>
      <c r="K59" s="53"/>
      <c r="L59" s="53"/>
      <c r="M59" s="53"/>
      <c r="N59" s="53"/>
      <c r="O59" s="53" t="s">
        <v>19</v>
      </c>
    </row>
    <row r="60" hidden="1">
      <c r="A60" s="54">
        <v>37.0</v>
      </c>
      <c r="B60" s="55">
        <v>0.0</v>
      </c>
      <c r="C60" s="43" t="s">
        <v>88</v>
      </c>
      <c r="D60" s="43" t="s">
        <v>217</v>
      </c>
      <c r="E60" s="44" t="s">
        <v>215</v>
      </c>
      <c r="F60" s="67"/>
      <c r="G60" s="67">
        <v>2012.0</v>
      </c>
      <c r="H60" s="63" t="s">
        <v>218</v>
      </c>
      <c r="J60" s="59"/>
      <c r="K60" s="59"/>
      <c r="L60" s="59"/>
      <c r="M60" s="59"/>
      <c r="N60" s="59"/>
      <c r="O60" s="59" t="s">
        <v>19</v>
      </c>
    </row>
    <row r="61" hidden="1">
      <c r="A61" s="48">
        <v>38.0</v>
      </c>
      <c r="B61" s="49">
        <v>0.0</v>
      </c>
      <c r="C61" s="37" t="s">
        <v>219</v>
      </c>
      <c r="D61" s="37" t="s">
        <v>220</v>
      </c>
      <c r="E61" s="39" t="s">
        <v>101</v>
      </c>
      <c r="F61" s="69"/>
      <c r="G61" s="51">
        <v>2020.0</v>
      </c>
      <c r="H61" s="40" t="s">
        <v>221</v>
      </c>
      <c r="J61" s="66" t="s">
        <v>19</v>
      </c>
      <c r="K61" s="53"/>
      <c r="L61" s="53"/>
      <c r="M61" s="53"/>
      <c r="N61" s="53"/>
      <c r="O61" s="53"/>
    </row>
    <row r="62" hidden="1">
      <c r="A62" s="54">
        <v>40.0</v>
      </c>
      <c r="B62" s="55">
        <v>0.0</v>
      </c>
      <c r="C62" s="43" t="s">
        <v>222</v>
      </c>
      <c r="D62" s="43" t="s">
        <v>223</v>
      </c>
      <c r="E62" s="44" t="s">
        <v>101</v>
      </c>
      <c r="F62" s="67"/>
      <c r="G62" s="67">
        <v>2016.0</v>
      </c>
      <c r="H62" s="63" t="s">
        <v>224</v>
      </c>
      <c r="J62" s="68" t="s">
        <v>19</v>
      </c>
      <c r="K62" s="59"/>
      <c r="L62" s="59"/>
      <c r="M62" s="59"/>
      <c r="N62" s="59"/>
      <c r="O62" s="59"/>
    </row>
    <row r="63" hidden="1">
      <c r="A63" s="48">
        <v>41.0</v>
      </c>
      <c r="B63" s="49">
        <v>0.0</v>
      </c>
      <c r="C63" s="37" t="s">
        <v>225</v>
      </c>
      <c r="D63" s="37" t="s">
        <v>226</v>
      </c>
      <c r="E63" s="39" t="s">
        <v>101</v>
      </c>
      <c r="F63" s="69"/>
      <c r="G63" s="51">
        <v>2020.0</v>
      </c>
      <c r="H63" s="40" t="s">
        <v>227</v>
      </c>
      <c r="J63" s="66" t="s">
        <v>19</v>
      </c>
      <c r="K63" s="53"/>
      <c r="L63" s="66" t="s">
        <v>19</v>
      </c>
      <c r="M63" s="53"/>
      <c r="N63" s="53" t="s">
        <v>19</v>
      </c>
      <c r="O63" s="53" t="s">
        <v>19</v>
      </c>
    </row>
    <row r="64" hidden="1">
      <c r="A64" s="70">
        <v>54.0</v>
      </c>
      <c r="B64" s="55">
        <v>0.0</v>
      </c>
      <c r="C64" s="43" t="s">
        <v>207</v>
      </c>
      <c r="D64" s="43" t="s">
        <v>228</v>
      </c>
      <c r="E64" s="44" t="s">
        <v>22</v>
      </c>
      <c r="F64" s="67"/>
      <c r="G64" s="67">
        <v>2018.0</v>
      </c>
      <c r="H64" s="63" t="s">
        <v>209</v>
      </c>
      <c r="J64" s="68" t="s">
        <v>19</v>
      </c>
      <c r="K64" s="59"/>
      <c r="L64" s="59"/>
      <c r="M64" s="59"/>
      <c r="N64" s="59"/>
      <c r="O64" s="59"/>
    </row>
    <row r="65" hidden="1">
      <c r="A65" s="71">
        <v>69.0</v>
      </c>
      <c r="B65" s="49">
        <v>0.0</v>
      </c>
      <c r="C65" s="37" t="s">
        <v>229</v>
      </c>
      <c r="D65" s="37" t="s">
        <v>230</v>
      </c>
      <c r="E65" s="39" t="s">
        <v>231</v>
      </c>
      <c r="F65" s="69"/>
      <c r="G65" s="51">
        <v>2020.0</v>
      </c>
      <c r="H65" s="40" t="s">
        <v>232</v>
      </c>
      <c r="J65" s="53"/>
      <c r="K65" s="53"/>
      <c r="L65" s="53"/>
      <c r="M65" s="53"/>
      <c r="N65" s="53" t="s">
        <v>19</v>
      </c>
      <c r="O65" s="53"/>
    </row>
    <row r="66">
      <c r="B66" s="72"/>
    </row>
    <row r="67">
      <c r="B67" s="72"/>
    </row>
    <row r="68">
      <c r="B68" s="72"/>
    </row>
    <row r="69">
      <c r="B69" s="72"/>
    </row>
    <row r="70">
      <c r="B70" s="72"/>
    </row>
    <row r="71">
      <c r="B71" s="72"/>
    </row>
    <row r="72">
      <c r="B72" s="72"/>
    </row>
    <row r="73">
      <c r="B73" s="72"/>
    </row>
    <row r="74">
      <c r="B74" s="72"/>
    </row>
    <row r="75">
      <c r="B75" s="72"/>
    </row>
    <row r="76">
      <c r="B76" s="72"/>
    </row>
    <row r="77">
      <c r="B77" s="72"/>
    </row>
    <row r="78">
      <c r="B78" s="72"/>
    </row>
    <row r="79">
      <c r="B79" s="72"/>
    </row>
    <row r="80">
      <c r="B80" s="72"/>
    </row>
    <row r="81">
      <c r="B81" s="72"/>
    </row>
    <row r="82">
      <c r="B82" s="72"/>
    </row>
    <row r="83">
      <c r="B83" s="72"/>
    </row>
    <row r="84">
      <c r="B84" s="72"/>
    </row>
    <row r="85">
      <c r="B85" s="72"/>
    </row>
    <row r="86">
      <c r="B86" s="72"/>
    </row>
    <row r="87">
      <c r="B87" s="72"/>
    </row>
    <row r="88">
      <c r="B88" s="72"/>
    </row>
    <row r="89">
      <c r="B89" s="72"/>
    </row>
    <row r="90">
      <c r="B90" s="72"/>
    </row>
    <row r="91">
      <c r="B91" s="72"/>
    </row>
    <row r="92">
      <c r="B92" s="72"/>
    </row>
    <row r="93">
      <c r="B93" s="72"/>
    </row>
    <row r="94">
      <c r="B94" s="72"/>
    </row>
    <row r="95">
      <c r="B95" s="72"/>
    </row>
    <row r="96">
      <c r="B96" s="72"/>
    </row>
    <row r="97">
      <c r="B97" s="72"/>
    </row>
    <row r="98">
      <c r="B98" s="72"/>
    </row>
    <row r="99">
      <c r="B99" s="72"/>
    </row>
    <row r="100">
      <c r="B100" s="72"/>
    </row>
    <row r="101">
      <c r="B101" s="72"/>
    </row>
    <row r="102">
      <c r="B102" s="72"/>
    </row>
    <row r="103">
      <c r="B103" s="72"/>
    </row>
    <row r="104">
      <c r="B104" s="72"/>
    </row>
    <row r="105">
      <c r="B105" s="72"/>
    </row>
    <row r="106">
      <c r="B106" s="72"/>
    </row>
    <row r="107">
      <c r="B107" s="72"/>
    </row>
    <row r="108">
      <c r="B108" s="72"/>
    </row>
    <row r="109">
      <c r="B109" s="72"/>
    </row>
    <row r="110">
      <c r="B110" s="72"/>
    </row>
    <row r="111">
      <c r="B111" s="72"/>
    </row>
    <row r="112">
      <c r="B112" s="72"/>
    </row>
    <row r="113">
      <c r="B113" s="72"/>
    </row>
    <row r="114">
      <c r="B114" s="72"/>
    </row>
    <row r="115">
      <c r="B115" s="72"/>
    </row>
    <row r="116">
      <c r="B116" s="72"/>
    </row>
    <row r="117">
      <c r="B117" s="72"/>
    </row>
    <row r="118">
      <c r="B118" s="72"/>
    </row>
    <row r="119">
      <c r="B119" s="72"/>
    </row>
    <row r="120">
      <c r="B120" s="72"/>
    </row>
    <row r="121">
      <c r="B121" s="72"/>
    </row>
    <row r="122">
      <c r="B122" s="72"/>
    </row>
    <row r="123">
      <c r="B123" s="72"/>
    </row>
    <row r="124">
      <c r="B124" s="72"/>
    </row>
    <row r="125">
      <c r="B125" s="72"/>
    </row>
    <row r="126">
      <c r="B126" s="72"/>
    </row>
    <row r="127">
      <c r="B127" s="72"/>
    </row>
    <row r="128">
      <c r="B128" s="72"/>
    </row>
    <row r="129">
      <c r="B129" s="72"/>
    </row>
    <row r="130">
      <c r="B130" s="72"/>
    </row>
    <row r="131">
      <c r="B131" s="72"/>
    </row>
    <row r="132">
      <c r="B132" s="72"/>
    </row>
    <row r="133">
      <c r="B133" s="72"/>
    </row>
    <row r="134">
      <c r="B134" s="72"/>
    </row>
    <row r="135">
      <c r="B135" s="72"/>
    </row>
    <row r="136">
      <c r="B136" s="72"/>
    </row>
    <row r="137">
      <c r="B137" s="72"/>
    </row>
    <row r="138">
      <c r="B138" s="72"/>
    </row>
    <row r="139">
      <c r="B139" s="72"/>
    </row>
    <row r="140">
      <c r="B140" s="72"/>
    </row>
    <row r="141">
      <c r="B141" s="72"/>
    </row>
    <row r="142">
      <c r="B142" s="72"/>
    </row>
    <row r="143">
      <c r="B143" s="72"/>
    </row>
    <row r="144">
      <c r="B144" s="72"/>
    </row>
    <row r="145">
      <c r="B145" s="72"/>
    </row>
    <row r="146">
      <c r="B146" s="72"/>
    </row>
    <row r="147">
      <c r="B147" s="72"/>
    </row>
    <row r="148">
      <c r="B148" s="72"/>
    </row>
    <row r="149">
      <c r="B149" s="72"/>
    </row>
    <row r="150">
      <c r="B150" s="72"/>
    </row>
    <row r="151">
      <c r="B151" s="72"/>
    </row>
    <row r="152">
      <c r="B152" s="72"/>
    </row>
    <row r="153">
      <c r="B153" s="72"/>
    </row>
    <row r="154">
      <c r="B154" s="72"/>
    </row>
    <row r="155">
      <c r="B155" s="72"/>
    </row>
    <row r="156">
      <c r="B156" s="72"/>
    </row>
    <row r="157">
      <c r="B157" s="72"/>
    </row>
    <row r="158">
      <c r="B158" s="72"/>
    </row>
    <row r="159">
      <c r="B159" s="72"/>
    </row>
    <row r="160">
      <c r="B160" s="72"/>
    </row>
    <row r="161">
      <c r="B161" s="72"/>
    </row>
    <row r="162">
      <c r="B162" s="72"/>
    </row>
    <row r="163">
      <c r="B163" s="72"/>
    </row>
    <row r="164">
      <c r="B164" s="72"/>
    </row>
    <row r="165">
      <c r="B165" s="72"/>
    </row>
    <row r="166">
      <c r="B166" s="72"/>
    </row>
    <row r="167">
      <c r="B167" s="72"/>
    </row>
    <row r="168">
      <c r="B168" s="72"/>
    </row>
    <row r="169">
      <c r="B169" s="72"/>
    </row>
    <row r="170">
      <c r="B170" s="72"/>
    </row>
    <row r="171">
      <c r="B171" s="72"/>
    </row>
    <row r="172">
      <c r="B172" s="72"/>
    </row>
    <row r="173">
      <c r="B173" s="72"/>
    </row>
    <row r="174">
      <c r="B174" s="72"/>
    </row>
    <row r="175">
      <c r="B175" s="72"/>
    </row>
    <row r="176">
      <c r="B176" s="72"/>
    </row>
    <row r="177">
      <c r="B177" s="72"/>
    </row>
    <row r="178">
      <c r="B178" s="72"/>
    </row>
    <row r="179">
      <c r="B179" s="72"/>
    </row>
    <row r="180">
      <c r="B180" s="72"/>
    </row>
    <row r="181">
      <c r="B181" s="72"/>
    </row>
    <row r="182">
      <c r="B182" s="72"/>
    </row>
    <row r="183">
      <c r="B183" s="72"/>
    </row>
    <row r="184">
      <c r="B184" s="72"/>
    </row>
    <row r="185">
      <c r="B185" s="72"/>
    </row>
    <row r="186">
      <c r="B186" s="72"/>
    </row>
    <row r="187">
      <c r="B187" s="72"/>
    </row>
    <row r="188">
      <c r="B188" s="72"/>
    </row>
    <row r="189">
      <c r="B189" s="72"/>
    </row>
    <row r="190">
      <c r="B190" s="72"/>
    </row>
    <row r="191">
      <c r="B191" s="72"/>
    </row>
    <row r="192">
      <c r="B192" s="72"/>
    </row>
    <row r="193">
      <c r="B193" s="72"/>
    </row>
    <row r="194">
      <c r="B194" s="72"/>
    </row>
    <row r="195">
      <c r="B195" s="72"/>
    </row>
    <row r="196">
      <c r="B196" s="72"/>
    </row>
    <row r="197">
      <c r="B197" s="72"/>
    </row>
    <row r="198">
      <c r="B198" s="72"/>
    </row>
    <row r="199">
      <c r="B199" s="72"/>
    </row>
    <row r="200">
      <c r="B200" s="72"/>
    </row>
    <row r="201">
      <c r="B201" s="72"/>
    </row>
    <row r="202">
      <c r="B202" s="72"/>
    </row>
    <row r="203">
      <c r="B203" s="72"/>
    </row>
    <row r="204">
      <c r="B204" s="72"/>
    </row>
    <row r="205">
      <c r="B205" s="72"/>
    </row>
    <row r="206">
      <c r="B206" s="72"/>
    </row>
    <row r="207">
      <c r="B207" s="72"/>
    </row>
    <row r="208">
      <c r="B208" s="72"/>
    </row>
    <row r="209">
      <c r="B209" s="72"/>
    </row>
    <row r="210">
      <c r="B210" s="72"/>
    </row>
    <row r="211">
      <c r="B211" s="72"/>
    </row>
    <row r="212">
      <c r="B212" s="72"/>
    </row>
    <row r="213">
      <c r="B213" s="72"/>
    </row>
    <row r="214">
      <c r="B214" s="72"/>
    </row>
    <row r="215">
      <c r="B215" s="72"/>
    </row>
    <row r="216">
      <c r="B216" s="72"/>
    </row>
    <row r="217">
      <c r="B217" s="72"/>
    </row>
    <row r="218">
      <c r="B218" s="72"/>
    </row>
    <row r="219">
      <c r="B219" s="72"/>
    </row>
    <row r="220">
      <c r="B220" s="72"/>
    </row>
    <row r="221">
      <c r="B221" s="72"/>
    </row>
    <row r="222">
      <c r="B222" s="72"/>
    </row>
    <row r="223">
      <c r="B223" s="72"/>
    </row>
    <row r="224">
      <c r="B224" s="72"/>
    </row>
    <row r="225">
      <c r="B225" s="72"/>
    </row>
    <row r="226">
      <c r="B226" s="72"/>
    </row>
    <row r="227">
      <c r="B227" s="72"/>
    </row>
    <row r="228">
      <c r="B228" s="72"/>
    </row>
    <row r="229">
      <c r="B229" s="72"/>
    </row>
    <row r="230">
      <c r="B230" s="72"/>
    </row>
    <row r="231">
      <c r="B231" s="72"/>
    </row>
    <row r="232">
      <c r="B232" s="72"/>
    </row>
    <row r="233">
      <c r="B233" s="72"/>
    </row>
    <row r="234">
      <c r="B234" s="72"/>
    </row>
    <row r="235">
      <c r="B235" s="72"/>
    </row>
    <row r="236">
      <c r="B236" s="72"/>
    </row>
    <row r="237">
      <c r="B237" s="72"/>
    </row>
    <row r="238">
      <c r="B238" s="72"/>
    </row>
    <row r="239">
      <c r="B239" s="72"/>
    </row>
    <row r="240">
      <c r="B240" s="72"/>
    </row>
    <row r="241">
      <c r="B241" s="72"/>
    </row>
    <row r="242">
      <c r="B242" s="72"/>
    </row>
    <row r="243">
      <c r="B243" s="72"/>
    </row>
    <row r="244">
      <c r="B244" s="72"/>
    </row>
    <row r="245">
      <c r="B245" s="72"/>
    </row>
    <row r="246">
      <c r="B246" s="72"/>
    </row>
    <row r="247">
      <c r="B247" s="72"/>
    </row>
    <row r="248">
      <c r="B248" s="72"/>
    </row>
    <row r="249">
      <c r="B249" s="72"/>
    </row>
    <row r="250">
      <c r="B250" s="72"/>
    </row>
    <row r="251">
      <c r="B251" s="72"/>
    </row>
    <row r="252">
      <c r="B252" s="72"/>
    </row>
    <row r="253">
      <c r="B253" s="72"/>
    </row>
    <row r="254">
      <c r="B254" s="72"/>
    </row>
    <row r="255">
      <c r="B255" s="72"/>
    </row>
    <row r="256">
      <c r="B256" s="72"/>
    </row>
    <row r="257">
      <c r="B257" s="72"/>
    </row>
    <row r="258">
      <c r="B258" s="72"/>
    </row>
    <row r="259">
      <c r="B259" s="72"/>
    </row>
    <row r="260">
      <c r="B260" s="72"/>
    </row>
    <row r="261">
      <c r="B261" s="72"/>
    </row>
    <row r="262">
      <c r="B262" s="72"/>
    </row>
    <row r="263">
      <c r="B263" s="72"/>
    </row>
    <row r="264">
      <c r="B264" s="72"/>
    </row>
    <row r="265">
      <c r="B265" s="72"/>
    </row>
    <row r="266">
      <c r="B266" s="72"/>
    </row>
    <row r="267">
      <c r="B267" s="72"/>
    </row>
    <row r="268">
      <c r="B268" s="72"/>
    </row>
    <row r="269">
      <c r="B269" s="72"/>
    </row>
    <row r="270">
      <c r="B270" s="72"/>
    </row>
    <row r="271">
      <c r="B271" s="72"/>
    </row>
    <row r="272">
      <c r="B272" s="72"/>
    </row>
    <row r="273">
      <c r="B273" s="72"/>
    </row>
    <row r="274">
      <c r="B274" s="72"/>
    </row>
    <row r="275">
      <c r="B275" s="72"/>
    </row>
    <row r="276">
      <c r="B276" s="72"/>
    </row>
    <row r="277">
      <c r="B277" s="72"/>
    </row>
    <row r="278">
      <c r="B278" s="72"/>
    </row>
    <row r="279">
      <c r="B279" s="72"/>
    </row>
    <row r="280">
      <c r="B280" s="72"/>
    </row>
    <row r="281">
      <c r="B281" s="72"/>
    </row>
    <row r="282">
      <c r="B282" s="72"/>
    </row>
    <row r="283">
      <c r="B283" s="72"/>
    </row>
    <row r="284">
      <c r="B284" s="72"/>
    </row>
    <row r="285">
      <c r="B285" s="72"/>
    </row>
    <row r="286">
      <c r="B286" s="72"/>
    </row>
    <row r="287">
      <c r="B287" s="72"/>
    </row>
    <row r="288">
      <c r="B288" s="72"/>
    </row>
    <row r="289">
      <c r="B289" s="72"/>
    </row>
    <row r="290">
      <c r="B290" s="72"/>
    </row>
    <row r="291">
      <c r="B291" s="72"/>
    </row>
    <row r="292">
      <c r="B292" s="72"/>
    </row>
    <row r="293">
      <c r="B293" s="72"/>
    </row>
    <row r="294">
      <c r="B294" s="72"/>
    </row>
    <row r="295">
      <c r="B295" s="72"/>
    </row>
    <row r="296">
      <c r="B296" s="72"/>
    </row>
    <row r="297">
      <c r="B297" s="72"/>
    </row>
    <row r="298">
      <c r="B298" s="72"/>
    </row>
    <row r="299">
      <c r="B299" s="72"/>
    </row>
    <row r="300">
      <c r="B300" s="72"/>
    </row>
    <row r="301">
      <c r="B301" s="72"/>
    </row>
    <row r="302">
      <c r="B302" s="72"/>
    </row>
    <row r="303">
      <c r="B303" s="72"/>
    </row>
    <row r="304">
      <c r="B304" s="72"/>
    </row>
    <row r="305">
      <c r="B305" s="72"/>
    </row>
    <row r="306">
      <c r="B306" s="72"/>
    </row>
    <row r="307">
      <c r="B307" s="72"/>
    </row>
    <row r="308">
      <c r="B308" s="72"/>
    </row>
    <row r="309">
      <c r="B309" s="72"/>
    </row>
    <row r="310">
      <c r="B310" s="72"/>
    </row>
    <row r="311">
      <c r="B311" s="72"/>
    </row>
    <row r="312">
      <c r="B312" s="72"/>
    </row>
    <row r="313">
      <c r="B313" s="72"/>
    </row>
    <row r="314">
      <c r="B314" s="72"/>
    </row>
    <row r="315">
      <c r="B315" s="72"/>
    </row>
    <row r="316">
      <c r="B316" s="72"/>
    </row>
    <row r="317">
      <c r="B317" s="72"/>
    </row>
    <row r="318">
      <c r="B318" s="72"/>
    </row>
    <row r="319">
      <c r="B319" s="72"/>
    </row>
    <row r="320">
      <c r="B320" s="72"/>
    </row>
    <row r="321">
      <c r="B321" s="72"/>
    </row>
    <row r="322">
      <c r="B322" s="72"/>
    </row>
    <row r="323">
      <c r="B323" s="72"/>
    </row>
    <row r="324">
      <c r="B324" s="72"/>
    </row>
    <row r="325">
      <c r="B325" s="72"/>
    </row>
    <row r="326">
      <c r="B326" s="72"/>
    </row>
    <row r="327">
      <c r="B327" s="72"/>
    </row>
    <row r="328">
      <c r="B328" s="72"/>
    </row>
    <row r="329">
      <c r="B329" s="72"/>
    </row>
    <row r="330">
      <c r="B330" s="72"/>
    </row>
    <row r="331">
      <c r="B331" s="72"/>
    </row>
    <row r="332">
      <c r="B332" s="72"/>
    </row>
    <row r="333">
      <c r="B333" s="72"/>
    </row>
    <row r="334">
      <c r="B334" s="72"/>
    </row>
    <row r="335">
      <c r="B335" s="72"/>
    </row>
    <row r="336">
      <c r="B336" s="72"/>
    </row>
    <row r="337">
      <c r="B337" s="72"/>
    </row>
    <row r="338">
      <c r="B338" s="72"/>
    </row>
    <row r="339">
      <c r="B339" s="72"/>
    </row>
    <row r="340">
      <c r="B340" s="72"/>
    </row>
    <row r="341">
      <c r="B341" s="72"/>
    </row>
    <row r="342">
      <c r="B342" s="72"/>
    </row>
    <row r="343">
      <c r="B343" s="72"/>
    </row>
    <row r="344">
      <c r="B344" s="72"/>
    </row>
    <row r="345">
      <c r="B345" s="72"/>
    </row>
    <row r="346">
      <c r="B346" s="72"/>
    </row>
    <row r="347">
      <c r="B347" s="72"/>
    </row>
    <row r="348">
      <c r="B348" s="72"/>
    </row>
    <row r="349">
      <c r="B349" s="72"/>
    </row>
    <row r="350">
      <c r="B350" s="72"/>
    </row>
    <row r="351">
      <c r="B351" s="72"/>
    </row>
    <row r="352">
      <c r="B352" s="72"/>
    </row>
    <row r="353">
      <c r="B353" s="72"/>
    </row>
    <row r="354">
      <c r="B354" s="72"/>
    </row>
    <row r="355">
      <c r="B355" s="72"/>
    </row>
    <row r="356">
      <c r="B356" s="72"/>
    </row>
    <row r="357">
      <c r="B357" s="72"/>
    </row>
    <row r="358">
      <c r="B358" s="72"/>
    </row>
    <row r="359">
      <c r="B359" s="72"/>
    </row>
    <row r="360">
      <c r="B360" s="72"/>
    </row>
    <row r="361">
      <c r="B361" s="72"/>
    </row>
    <row r="362">
      <c r="B362" s="72"/>
    </row>
    <row r="363">
      <c r="B363" s="72"/>
    </row>
    <row r="364">
      <c r="B364" s="72"/>
    </row>
    <row r="365">
      <c r="B365" s="72"/>
    </row>
    <row r="366">
      <c r="B366" s="72"/>
    </row>
    <row r="367">
      <c r="B367" s="72"/>
    </row>
    <row r="368">
      <c r="B368" s="72"/>
    </row>
    <row r="369">
      <c r="B369" s="72"/>
    </row>
    <row r="370">
      <c r="B370" s="72"/>
    </row>
    <row r="371">
      <c r="B371" s="72"/>
    </row>
    <row r="372">
      <c r="B372" s="72"/>
    </row>
    <row r="373">
      <c r="B373" s="72"/>
    </row>
    <row r="374">
      <c r="B374" s="72"/>
    </row>
    <row r="375">
      <c r="B375" s="72"/>
    </row>
    <row r="376">
      <c r="B376" s="72"/>
    </row>
    <row r="377">
      <c r="B377" s="72"/>
    </row>
    <row r="378">
      <c r="B378" s="72"/>
    </row>
    <row r="379">
      <c r="B379" s="72"/>
    </row>
    <row r="380">
      <c r="B380" s="72"/>
    </row>
    <row r="381">
      <c r="B381" s="72"/>
    </row>
    <row r="382">
      <c r="B382" s="72"/>
    </row>
    <row r="383">
      <c r="B383" s="72"/>
    </row>
    <row r="384">
      <c r="B384" s="72"/>
    </row>
    <row r="385">
      <c r="B385" s="72"/>
    </row>
    <row r="386">
      <c r="B386" s="72"/>
    </row>
    <row r="387">
      <c r="B387" s="72"/>
    </row>
    <row r="388">
      <c r="B388" s="72"/>
    </row>
    <row r="389">
      <c r="B389" s="72"/>
    </row>
    <row r="390">
      <c r="B390" s="72"/>
    </row>
    <row r="391">
      <c r="B391" s="72"/>
    </row>
    <row r="392">
      <c r="B392" s="72"/>
    </row>
    <row r="393">
      <c r="B393" s="72"/>
    </row>
    <row r="394">
      <c r="B394" s="72"/>
    </row>
    <row r="395">
      <c r="B395" s="72"/>
    </row>
    <row r="396">
      <c r="B396" s="72"/>
    </row>
    <row r="397">
      <c r="B397" s="72"/>
    </row>
    <row r="398">
      <c r="B398" s="72"/>
    </row>
    <row r="399">
      <c r="B399" s="72"/>
    </row>
    <row r="400">
      <c r="B400" s="72"/>
    </row>
    <row r="401">
      <c r="B401" s="72"/>
    </row>
    <row r="402">
      <c r="B402" s="72"/>
    </row>
    <row r="403">
      <c r="B403" s="72"/>
    </row>
    <row r="404">
      <c r="B404" s="72"/>
    </row>
    <row r="405">
      <c r="B405" s="72"/>
    </row>
    <row r="406">
      <c r="B406" s="72"/>
    </row>
    <row r="407">
      <c r="B407" s="72"/>
    </row>
    <row r="408">
      <c r="B408" s="72"/>
    </row>
    <row r="409">
      <c r="B409" s="72"/>
    </row>
    <row r="410">
      <c r="B410" s="72"/>
    </row>
    <row r="411">
      <c r="B411" s="72"/>
    </row>
    <row r="412">
      <c r="B412" s="72"/>
    </row>
    <row r="413">
      <c r="B413" s="72"/>
    </row>
    <row r="414">
      <c r="B414" s="72"/>
    </row>
    <row r="415">
      <c r="B415" s="72"/>
    </row>
    <row r="416">
      <c r="B416" s="72"/>
    </row>
    <row r="417">
      <c r="B417" s="72"/>
    </row>
    <row r="418">
      <c r="B418" s="72"/>
    </row>
    <row r="419">
      <c r="B419" s="72"/>
    </row>
    <row r="420">
      <c r="B420" s="72"/>
    </row>
    <row r="421">
      <c r="B421" s="72"/>
    </row>
    <row r="422">
      <c r="B422" s="72"/>
    </row>
    <row r="423">
      <c r="B423" s="72"/>
    </row>
    <row r="424">
      <c r="B424" s="72"/>
    </row>
    <row r="425">
      <c r="B425" s="72"/>
    </row>
    <row r="426">
      <c r="B426" s="72"/>
    </row>
    <row r="427">
      <c r="B427" s="72"/>
    </row>
    <row r="428">
      <c r="B428" s="72"/>
    </row>
    <row r="429">
      <c r="B429" s="72"/>
    </row>
    <row r="430">
      <c r="B430" s="72"/>
    </row>
    <row r="431">
      <c r="B431" s="72"/>
    </row>
    <row r="432">
      <c r="B432" s="72"/>
    </row>
    <row r="433">
      <c r="B433" s="72"/>
    </row>
    <row r="434">
      <c r="B434" s="72"/>
    </row>
    <row r="435">
      <c r="B435" s="72"/>
    </row>
    <row r="436">
      <c r="B436" s="72"/>
    </row>
    <row r="437">
      <c r="B437" s="72"/>
    </row>
    <row r="438">
      <c r="B438" s="72"/>
    </row>
    <row r="439">
      <c r="B439" s="72"/>
    </row>
    <row r="440">
      <c r="B440" s="72"/>
    </row>
    <row r="441">
      <c r="B441" s="72"/>
    </row>
    <row r="442">
      <c r="B442" s="72"/>
    </row>
    <row r="443">
      <c r="B443" s="72"/>
    </row>
    <row r="444">
      <c r="B444" s="72"/>
    </row>
    <row r="445">
      <c r="B445" s="72"/>
    </row>
    <row r="446">
      <c r="B446" s="72"/>
    </row>
    <row r="447">
      <c r="B447" s="72"/>
    </row>
    <row r="448">
      <c r="B448" s="72"/>
    </row>
    <row r="449">
      <c r="B449" s="72"/>
    </row>
    <row r="450">
      <c r="B450" s="72"/>
    </row>
    <row r="451">
      <c r="B451" s="72"/>
    </row>
    <row r="452">
      <c r="B452" s="72"/>
    </row>
    <row r="453">
      <c r="B453" s="72"/>
    </row>
    <row r="454">
      <c r="B454" s="72"/>
    </row>
    <row r="455">
      <c r="B455" s="72"/>
    </row>
    <row r="456">
      <c r="B456" s="72"/>
    </row>
    <row r="457">
      <c r="B457" s="72"/>
    </row>
    <row r="458">
      <c r="B458" s="72"/>
    </row>
    <row r="459">
      <c r="B459" s="72"/>
    </row>
    <row r="460">
      <c r="B460" s="72"/>
    </row>
    <row r="461">
      <c r="B461" s="72"/>
    </row>
    <row r="462">
      <c r="B462" s="72"/>
    </row>
    <row r="463">
      <c r="B463" s="72"/>
    </row>
    <row r="464">
      <c r="B464" s="72"/>
    </row>
    <row r="465">
      <c r="B465" s="72"/>
    </row>
    <row r="466">
      <c r="B466" s="72"/>
    </row>
    <row r="467">
      <c r="B467" s="72"/>
    </row>
    <row r="468">
      <c r="B468" s="72"/>
    </row>
    <row r="469">
      <c r="B469" s="72"/>
    </row>
    <row r="470">
      <c r="B470" s="72"/>
    </row>
    <row r="471">
      <c r="B471" s="72"/>
    </row>
    <row r="472">
      <c r="B472" s="72"/>
    </row>
    <row r="473">
      <c r="B473" s="72"/>
    </row>
    <row r="474">
      <c r="B474" s="72"/>
    </row>
    <row r="475">
      <c r="B475" s="72"/>
    </row>
    <row r="476">
      <c r="B476" s="72"/>
    </row>
    <row r="477">
      <c r="B477" s="72"/>
    </row>
    <row r="478">
      <c r="B478" s="72"/>
    </row>
    <row r="479">
      <c r="B479" s="72"/>
    </row>
    <row r="480">
      <c r="B480" s="72"/>
    </row>
    <row r="481">
      <c r="B481" s="72"/>
    </row>
    <row r="482">
      <c r="B482" s="72"/>
    </row>
    <row r="483">
      <c r="B483" s="72"/>
    </row>
    <row r="484">
      <c r="B484" s="72"/>
    </row>
    <row r="485">
      <c r="B485" s="72"/>
    </row>
    <row r="486">
      <c r="B486" s="72"/>
    </row>
    <row r="487">
      <c r="B487" s="72"/>
    </row>
    <row r="488">
      <c r="B488" s="72"/>
    </row>
    <row r="489">
      <c r="B489" s="72"/>
    </row>
    <row r="490">
      <c r="B490" s="72"/>
    </row>
    <row r="491">
      <c r="B491" s="72"/>
    </row>
    <row r="492">
      <c r="B492" s="72"/>
    </row>
    <row r="493">
      <c r="B493" s="72"/>
    </row>
    <row r="494">
      <c r="B494" s="72"/>
    </row>
    <row r="495">
      <c r="B495" s="72"/>
    </row>
    <row r="496">
      <c r="B496" s="72"/>
    </row>
    <row r="497">
      <c r="B497" s="72"/>
    </row>
    <row r="498">
      <c r="B498" s="72"/>
    </row>
    <row r="499">
      <c r="B499" s="72"/>
    </row>
    <row r="500">
      <c r="B500" s="72"/>
    </row>
    <row r="501">
      <c r="B501" s="72"/>
    </row>
    <row r="502">
      <c r="B502" s="72"/>
    </row>
    <row r="503">
      <c r="B503" s="72"/>
    </row>
    <row r="504">
      <c r="B504" s="72"/>
    </row>
    <row r="505">
      <c r="B505" s="72"/>
    </row>
    <row r="506">
      <c r="B506" s="72"/>
    </row>
    <row r="507">
      <c r="B507" s="72"/>
    </row>
    <row r="508">
      <c r="B508" s="72"/>
    </row>
    <row r="509">
      <c r="B509" s="72"/>
    </row>
    <row r="510">
      <c r="B510" s="72"/>
    </row>
    <row r="511">
      <c r="B511" s="72"/>
    </row>
    <row r="512">
      <c r="B512" s="72"/>
    </row>
    <row r="513">
      <c r="B513" s="72"/>
    </row>
    <row r="514">
      <c r="B514" s="72"/>
    </row>
    <row r="515">
      <c r="B515" s="72"/>
    </row>
    <row r="516">
      <c r="B516" s="72"/>
    </row>
    <row r="517">
      <c r="B517" s="72"/>
    </row>
    <row r="518">
      <c r="B518" s="72"/>
    </row>
    <row r="519">
      <c r="B519" s="72"/>
    </row>
    <row r="520">
      <c r="B520" s="72"/>
    </row>
    <row r="521">
      <c r="B521" s="72"/>
    </row>
    <row r="522">
      <c r="B522" s="72"/>
    </row>
    <row r="523">
      <c r="B523" s="72"/>
    </row>
    <row r="524">
      <c r="B524" s="72"/>
    </row>
    <row r="525">
      <c r="B525" s="72"/>
    </row>
    <row r="526">
      <c r="B526" s="72"/>
    </row>
    <row r="527">
      <c r="B527" s="72"/>
    </row>
    <row r="528">
      <c r="B528" s="72"/>
    </row>
    <row r="529">
      <c r="B529" s="72"/>
    </row>
    <row r="530">
      <c r="B530" s="72"/>
    </row>
    <row r="531">
      <c r="B531" s="72"/>
    </row>
    <row r="532">
      <c r="B532" s="72"/>
    </row>
    <row r="533">
      <c r="B533" s="72"/>
    </row>
    <row r="534">
      <c r="B534" s="72"/>
    </row>
    <row r="535">
      <c r="B535" s="72"/>
    </row>
    <row r="536">
      <c r="B536" s="72"/>
    </row>
    <row r="537">
      <c r="B537" s="72"/>
    </row>
    <row r="538">
      <c r="B538" s="72"/>
    </row>
    <row r="539">
      <c r="B539" s="72"/>
    </row>
    <row r="540">
      <c r="B540" s="72"/>
    </row>
    <row r="541">
      <c r="B541" s="72"/>
    </row>
    <row r="542">
      <c r="B542" s="72"/>
    </row>
    <row r="543">
      <c r="B543" s="72"/>
    </row>
    <row r="544">
      <c r="B544" s="72"/>
    </row>
    <row r="545">
      <c r="B545" s="72"/>
    </row>
    <row r="546">
      <c r="B546" s="72"/>
    </row>
    <row r="547">
      <c r="B547" s="72"/>
    </row>
    <row r="548">
      <c r="B548" s="72"/>
    </row>
    <row r="549">
      <c r="B549" s="72"/>
    </row>
    <row r="550">
      <c r="B550" s="72"/>
    </row>
    <row r="551">
      <c r="B551" s="72"/>
    </row>
    <row r="552">
      <c r="B552" s="72"/>
    </row>
    <row r="553">
      <c r="B553" s="72"/>
    </row>
    <row r="554">
      <c r="B554" s="72"/>
    </row>
    <row r="555">
      <c r="B555" s="72"/>
    </row>
    <row r="556">
      <c r="B556" s="72"/>
    </row>
    <row r="557">
      <c r="B557" s="72"/>
    </row>
    <row r="558">
      <c r="B558" s="72"/>
    </row>
    <row r="559">
      <c r="B559" s="72"/>
    </row>
    <row r="560">
      <c r="B560" s="72"/>
    </row>
    <row r="561">
      <c r="B561" s="72"/>
    </row>
    <row r="562">
      <c r="B562" s="72"/>
    </row>
    <row r="563">
      <c r="B563" s="72"/>
    </row>
    <row r="564">
      <c r="B564" s="72"/>
    </row>
    <row r="565">
      <c r="B565" s="72"/>
    </row>
    <row r="566">
      <c r="B566" s="72"/>
    </row>
    <row r="567">
      <c r="B567" s="72"/>
    </row>
    <row r="568">
      <c r="B568" s="72"/>
    </row>
    <row r="569">
      <c r="B569" s="72"/>
    </row>
    <row r="570">
      <c r="B570" s="72"/>
    </row>
    <row r="571">
      <c r="B571" s="72"/>
    </row>
    <row r="572">
      <c r="B572" s="72"/>
    </row>
    <row r="573">
      <c r="B573" s="72"/>
    </row>
    <row r="574">
      <c r="B574" s="72"/>
    </row>
    <row r="575">
      <c r="B575" s="72"/>
    </row>
    <row r="576">
      <c r="B576" s="72"/>
    </row>
    <row r="577">
      <c r="B577" s="72"/>
    </row>
    <row r="578">
      <c r="B578" s="72"/>
    </row>
    <row r="579">
      <c r="B579" s="72"/>
    </row>
    <row r="580">
      <c r="B580" s="72"/>
    </row>
    <row r="581">
      <c r="B581" s="72"/>
    </row>
    <row r="582">
      <c r="B582" s="72"/>
    </row>
    <row r="583">
      <c r="B583" s="72"/>
    </row>
    <row r="584">
      <c r="B584" s="72"/>
    </row>
    <row r="585">
      <c r="B585" s="72"/>
    </row>
    <row r="586">
      <c r="B586" s="72"/>
    </row>
    <row r="587">
      <c r="B587" s="72"/>
    </row>
    <row r="588">
      <c r="B588" s="72"/>
    </row>
    <row r="589">
      <c r="B589" s="72"/>
    </row>
    <row r="590">
      <c r="B590" s="72"/>
    </row>
    <row r="591">
      <c r="B591" s="72"/>
    </row>
    <row r="592">
      <c r="B592" s="72"/>
    </row>
    <row r="593">
      <c r="B593" s="72"/>
    </row>
    <row r="594">
      <c r="B594" s="72"/>
    </row>
    <row r="595">
      <c r="B595" s="72"/>
    </row>
    <row r="596">
      <c r="B596" s="72"/>
    </row>
    <row r="597">
      <c r="B597" s="72"/>
    </row>
    <row r="598">
      <c r="B598" s="72"/>
    </row>
    <row r="599">
      <c r="B599" s="72"/>
    </row>
    <row r="600">
      <c r="B600" s="72"/>
    </row>
    <row r="601">
      <c r="B601" s="72"/>
    </row>
    <row r="602">
      <c r="B602" s="72"/>
    </row>
    <row r="603">
      <c r="B603" s="72"/>
    </row>
    <row r="604">
      <c r="B604" s="72"/>
    </row>
    <row r="605">
      <c r="B605" s="72"/>
    </row>
    <row r="606">
      <c r="B606" s="72"/>
    </row>
    <row r="607">
      <c r="B607" s="72"/>
    </row>
    <row r="608">
      <c r="B608" s="72"/>
    </row>
    <row r="609">
      <c r="B609" s="72"/>
    </row>
    <row r="610">
      <c r="B610" s="72"/>
    </row>
    <row r="611">
      <c r="B611" s="72"/>
    </row>
    <row r="612">
      <c r="B612" s="72"/>
    </row>
    <row r="613">
      <c r="B613" s="72"/>
    </row>
    <row r="614">
      <c r="B614" s="72"/>
    </row>
    <row r="615">
      <c r="B615" s="72"/>
    </row>
    <row r="616">
      <c r="B616" s="72"/>
    </row>
    <row r="617">
      <c r="B617" s="72"/>
    </row>
    <row r="618">
      <c r="B618" s="72"/>
    </row>
    <row r="619">
      <c r="B619" s="72"/>
    </row>
    <row r="620">
      <c r="B620" s="72"/>
    </row>
    <row r="621">
      <c r="B621" s="72"/>
    </row>
    <row r="622">
      <c r="B622" s="72"/>
    </row>
    <row r="623">
      <c r="B623" s="72"/>
    </row>
    <row r="624">
      <c r="B624" s="72"/>
    </row>
    <row r="625">
      <c r="B625" s="72"/>
    </row>
    <row r="626">
      <c r="B626" s="72"/>
    </row>
    <row r="627">
      <c r="B627" s="72"/>
    </row>
    <row r="628">
      <c r="B628" s="72"/>
    </row>
    <row r="629">
      <c r="B629" s="72"/>
    </row>
    <row r="630">
      <c r="B630" s="72"/>
    </row>
    <row r="631">
      <c r="B631" s="72"/>
    </row>
    <row r="632">
      <c r="B632" s="72"/>
    </row>
    <row r="633">
      <c r="B633" s="72"/>
    </row>
    <row r="634">
      <c r="B634" s="72"/>
    </row>
    <row r="635">
      <c r="B635" s="72"/>
    </row>
    <row r="636">
      <c r="B636" s="72"/>
    </row>
    <row r="637">
      <c r="B637" s="72"/>
    </row>
    <row r="638">
      <c r="B638" s="72"/>
    </row>
    <row r="639">
      <c r="B639" s="72"/>
    </row>
    <row r="640">
      <c r="B640" s="72"/>
    </row>
    <row r="641">
      <c r="B641" s="72"/>
    </row>
    <row r="642">
      <c r="B642" s="72"/>
    </row>
    <row r="643">
      <c r="B643" s="72"/>
    </row>
    <row r="644">
      <c r="B644" s="72"/>
    </row>
    <row r="645">
      <c r="B645" s="72"/>
    </row>
    <row r="646">
      <c r="B646" s="72"/>
    </row>
    <row r="647">
      <c r="B647" s="72"/>
    </row>
    <row r="648">
      <c r="B648" s="72"/>
    </row>
    <row r="649">
      <c r="B649" s="72"/>
    </row>
    <row r="650">
      <c r="B650" s="72"/>
    </row>
    <row r="651">
      <c r="B651" s="72"/>
    </row>
    <row r="652">
      <c r="B652" s="72"/>
    </row>
    <row r="653">
      <c r="B653" s="72"/>
    </row>
    <row r="654">
      <c r="B654" s="72"/>
    </row>
    <row r="655">
      <c r="B655" s="72"/>
    </row>
    <row r="656">
      <c r="B656" s="72"/>
    </row>
    <row r="657">
      <c r="B657" s="72"/>
    </row>
    <row r="658">
      <c r="B658" s="72"/>
    </row>
    <row r="659">
      <c r="B659" s="72"/>
    </row>
    <row r="660">
      <c r="B660" s="72"/>
    </row>
    <row r="661">
      <c r="B661" s="72"/>
    </row>
    <row r="662">
      <c r="B662" s="72"/>
    </row>
    <row r="663">
      <c r="B663" s="72"/>
    </row>
    <row r="664">
      <c r="B664" s="72"/>
    </row>
    <row r="665">
      <c r="B665" s="72"/>
    </row>
    <row r="666">
      <c r="B666" s="72"/>
    </row>
    <row r="667">
      <c r="B667" s="72"/>
    </row>
    <row r="668">
      <c r="B668" s="72"/>
    </row>
    <row r="669">
      <c r="B669" s="72"/>
    </row>
    <row r="670">
      <c r="B670" s="72"/>
    </row>
    <row r="671">
      <c r="B671" s="72"/>
    </row>
    <row r="672">
      <c r="B672" s="72"/>
    </row>
    <row r="673">
      <c r="B673" s="72"/>
    </row>
    <row r="674">
      <c r="B674" s="72"/>
    </row>
    <row r="675">
      <c r="B675" s="72"/>
    </row>
    <row r="676">
      <c r="B676" s="72"/>
    </row>
    <row r="677">
      <c r="B677" s="72"/>
    </row>
    <row r="678">
      <c r="B678" s="72"/>
    </row>
    <row r="679">
      <c r="B679" s="72"/>
    </row>
    <row r="680">
      <c r="B680" s="72"/>
    </row>
    <row r="681">
      <c r="B681" s="72"/>
    </row>
    <row r="682">
      <c r="B682" s="72"/>
    </row>
    <row r="683">
      <c r="B683" s="72"/>
    </row>
    <row r="684">
      <c r="B684" s="72"/>
    </row>
    <row r="685">
      <c r="B685" s="72"/>
    </row>
    <row r="686">
      <c r="B686" s="72"/>
    </row>
    <row r="687">
      <c r="B687" s="72"/>
    </row>
    <row r="688">
      <c r="B688" s="72"/>
    </row>
    <row r="689">
      <c r="B689" s="72"/>
    </row>
    <row r="690">
      <c r="B690" s="72"/>
    </row>
    <row r="691">
      <c r="B691" s="72"/>
    </row>
    <row r="692">
      <c r="B692" s="72"/>
    </row>
    <row r="693">
      <c r="B693" s="72"/>
    </row>
    <row r="694">
      <c r="B694" s="72"/>
    </row>
    <row r="695">
      <c r="B695" s="72"/>
    </row>
    <row r="696">
      <c r="B696" s="72"/>
    </row>
    <row r="697">
      <c r="B697" s="72"/>
    </row>
    <row r="698">
      <c r="B698" s="72"/>
    </row>
    <row r="699">
      <c r="B699" s="72"/>
    </row>
    <row r="700">
      <c r="B700" s="72"/>
    </row>
    <row r="701">
      <c r="B701" s="72"/>
    </row>
    <row r="702">
      <c r="B702" s="72"/>
    </row>
    <row r="703">
      <c r="B703" s="72"/>
    </row>
    <row r="704">
      <c r="B704" s="72"/>
    </row>
    <row r="705">
      <c r="B705" s="72"/>
    </row>
    <row r="706">
      <c r="B706" s="72"/>
    </row>
    <row r="707">
      <c r="B707" s="72"/>
    </row>
    <row r="708">
      <c r="B708" s="72"/>
    </row>
    <row r="709">
      <c r="B709" s="72"/>
    </row>
    <row r="710">
      <c r="B710" s="72"/>
    </row>
    <row r="711">
      <c r="B711" s="72"/>
    </row>
    <row r="712">
      <c r="B712" s="72"/>
    </row>
    <row r="713">
      <c r="B713" s="72"/>
    </row>
    <row r="714">
      <c r="B714" s="72"/>
    </row>
    <row r="715">
      <c r="B715" s="72"/>
    </row>
    <row r="716">
      <c r="B716" s="72"/>
    </row>
    <row r="717">
      <c r="B717" s="72"/>
    </row>
    <row r="718">
      <c r="B718" s="72"/>
    </row>
    <row r="719">
      <c r="B719" s="72"/>
    </row>
    <row r="720">
      <c r="B720" s="72"/>
    </row>
    <row r="721">
      <c r="B721" s="72"/>
    </row>
    <row r="722">
      <c r="B722" s="72"/>
    </row>
    <row r="723">
      <c r="B723" s="72"/>
    </row>
    <row r="724">
      <c r="B724" s="72"/>
    </row>
    <row r="725">
      <c r="B725" s="72"/>
    </row>
    <row r="726">
      <c r="B726" s="72"/>
    </row>
    <row r="727">
      <c r="B727" s="72"/>
    </row>
    <row r="728">
      <c r="B728" s="72"/>
    </row>
    <row r="729">
      <c r="B729" s="72"/>
    </row>
    <row r="730">
      <c r="B730" s="72"/>
    </row>
    <row r="731">
      <c r="B731" s="72"/>
    </row>
    <row r="732">
      <c r="B732" s="72"/>
    </row>
    <row r="733">
      <c r="B733" s="72"/>
    </row>
    <row r="734">
      <c r="B734" s="72"/>
    </row>
    <row r="735">
      <c r="B735" s="72"/>
    </row>
    <row r="736">
      <c r="B736" s="72"/>
    </row>
    <row r="737">
      <c r="B737" s="72"/>
    </row>
    <row r="738">
      <c r="B738" s="72"/>
    </row>
    <row r="739">
      <c r="B739" s="72"/>
    </row>
    <row r="740">
      <c r="B740" s="72"/>
    </row>
    <row r="741">
      <c r="B741" s="72"/>
    </row>
    <row r="742">
      <c r="B742" s="72"/>
    </row>
    <row r="743">
      <c r="B743" s="72"/>
    </row>
    <row r="744">
      <c r="B744" s="72"/>
    </row>
    <row r="745">
      <c r="B745" s="72"/>
    </row>
    <row r="746">
      <c r="B746" s="72"/>
    </row>
    <row r="747">
      <c r="B747" s="72"/>
    </row>
    <row r="748">
      <c r="B748" s="72"/>
    </row>
    <row r="749">
      <c r="B749" s="72"/>
    </row>
    <row r="750">
      <c r="B750" s="72"/>
    </row>
    <row r="751">
      <c r="B751" s="72"/>
    </row>
    <row r="752">
      <c r="B752" s="72"/>
    </row>
    <row r="753">
      <c r="B753" s="72"/>
    </row>
    <row r="754">
      <c r="B754" s="72"/>
    </row>
    <row r="755">
      <c r="B755" s="72"/>
    </row>
    <row r="756">
      <c r="B756" s="72"/>
    </row>
    <row r="757">
      <c r="B757" s="72"/>
    </row>
    <row r="758">
      <c r="B758" s="72"/>
    </row>
    <row r="759">
      <c r="B759" s="72"/>
    </row>
    <row r="760">
      <c r="B760" s="72"/>
    </row>
    <row r="761">
      <c r="B761" s="72"/>
    </row>
    <row r="762">
      <c r="B762" s="72"/>
    </row>
    <row r="763">
      <c r="B763" s="72"/>
    </row>
    <row r="764">
      <c r="B764" s="72"/>
    </row>
    <row r="765">
      <c r="B765" s="72"/>
    </row>
    <row r="766">
      <c r="B766" s="72"/>
    </row>
    <row r="767">
      <c r="B767" s="72"/>
    </row>
    <row r="768">
      <c r="B768" s="72"/>
    </row>
    <row r="769">
      <c r="B769" s="72"/>
    </row>
    <row r="770">
      <c r="B770" s="72"/>
    </row>
    <row r="771">
      <c r="B771" s="72"/>
    </row>
    <row r="772">
      <c r="B772" s="72"/>
    </row>
    <row r="773">
      <c r="B773" s="72"/>
    </row>
    <row r="774">
      <c r="B774" s="72"/>
    </row>
    <row r="775">
      <c r="B775" s="72"/>
    </row>
    <row r="776">
      <c r="B776" s="72"/>
    </row>
    <row r="777">
      <c r="B777" s="72"/>
    </row>
    <row r="778">
      <c r="B778" s="72"/>
    </row>
    <row r="779">
      <c r="B779" s="72"/>
    </row>
    <row r="780">
      <c r="B780" s="72"/>
    </row>
    <row r="781">
      <c r="B781" s="72"/>
    </row>
    <row r="782">
      <c r="B782" s="72"/>
    </row>
    <row r="783">
      <c r="B783" s="72"/>
    </row>
    <row r="784">
      <c r="B784" s="72"/>
    </row>
    <row r="785">
      <c r="B785" s="72"/>
    </row>
    <row r="786">
      <c r="B786" s="72"/>
    </row>
    <row r="787">
      <c r="B787" s="72"/>
    </row>
    <row r="788">
      <c r="B788" s="72"/>
    </row>
    <row r="789">
      <c r="B789" s="72"/>
    </row>
    <row r="790">
      <c r="B790" s="72"/>
    </row>
    <row r="791">
      <c r="B791" s="72"/>
    </row>
    <row r="792">
      <c r="B792" s="72"/>
    </row>
    <row r="793">
      <c r="B793" s="72"/>
    </row>
    <row r="794">
      <c r="B794" s="72"/>
    </row>
    <row r="795">
      <c r="B795" s="72"/>
    </row>
    <row r="796">
      <c r="B796" s="72"/>
    </row>
    <row r="797">
      <c r="B797" s="72"/>
    </row>
    <row r="798">
      <c r="B798" s="72"/>
    </row>
    <row r="799">
      <c r="B799" s="72"/>
    </row>
    <row r="800">
      <c r="B800" s="72"/>
    </row>
    <row r="801">
      <c r="B801" s="72"/>
    </row>
    <row r="802">
      <c r="B802" s="72"/>
    </row>
    <row r="803">
      <c r="B803" s="72"/>
    </row>
    <row r="804">
      <c r="B804" s="72"/>
    </row>
    <row r="805">
      <c r="B805" s="72"/>
    </row>
    <row r="806">
      <c r="B806" s="72"/>
    </row>
    <row r="807">
      <c r="B807" s="72"/>
    </row>
    <row r="808">
      <c r="B808" s="72"/>
    </row>
    <row r="809">
      <c r="B809" s="72"/>
    </row>
    <row r="810">
      <c r="B810" s="72"/>
    </row>
    <row r="811">
      <c r="B811" s="72"/>
    </row>
    <row r="812">
      <c r="B812" s="72"/>
    </row>
    <row r="813">
      <c r="B813" s="72"/>
    </row>
    <row r="814">
      <c r="B814" s="72"/>
    </row>
    <row r="815">
      <c r="B815" s="72"/>
    </row>
    <row r="816">
      <c r="B816" s="72"/>
    </row>
    <row r="817">
      <c r="B817" s="72"/>
    </row>
    <row r="818">
      <c r="B818" s="72"/>
    </row>
    <row r="819">
      <c r="B819" s="72"/>
    </row>
    <row r="820">
      <c r="B820" s="72"/>
    </row>
    <row r="821">
      <c r="B821" s="72"/>
    </row>
    <row r="822">
      <c r="B822" s="72"/>
    </row>
    <row r="823">
      <c r="B823" s="72"/>
    </row>
    <row r="824">
      <c r="B824" s="72"/>
    </row>
    <row r="825">
      <c r="B825" s="72"/>
    </row>
    <row r="826">
      <c r="B826" s="72"/>
    </row>
    <row r="827">
      <c r="B827" s="72"/>
    </row>
    <row r="828">
      <c r="B828" s="72"/>
    </row>
    <row r="829">
      <c r="B829" s="72"/>
    </row>
    <row r="830">
      <c r="B830" s="72"/>
    </row>
    <row r="831">
      <c r="B831" s="72"/>
    </row>
    <row r="832">
      <c r="B832" s="72"/>
    </row>
    <row r="833">
      <c r="B833" s="72"/>
    </row>
    <row r="834">
      <c r="B834" s="72"/>
    </row>
    <row r="835">
      <c r="B835" s="72"/>
    </row>
    <row r="836">
      <c r="B836" s="72"/>
    </row>
    <row r="837">
      <c r="B837" s="72"/>
    </row>
    <row r="838">
      <c r="B838" s="72"/>
    </row>
    <row r="839">
      <c r="B839" s="72"/>
    </row>
    <row r="840">
      <c r="B840" s="72"/>
    </row>
    <row r="841">
      <c r="B841" s="72"/>
    </row>
    <row r="842">
      <c r="B842" s="72"/>
    </row>
    <row r="843">
      <c r="B843" s="72"/>
    </row>
    <row r="844">
      <c r="B844" s="72"/>
    </row>
    <row r="845">
      <c r="B845" s="72"/>
    </row>
    <row r="846">
      <c r="B846" s="72"/>
    </row>
    <row r="847">
      <c r="B847" s="72"/>
    </row>
    <row r="848">
      <c r="B848" s="72"/>
    </row>
    <row r="849">
      <c r="B849" s="72"/>
    </row>
    <row r="850">
      <c r="B850" s="72"/>
    </row>
    <row r="851">
      <c r="B851" s="72"/>
    </row>
    <row r="852">
      <c r="B852" s="72"/>
    </row>
    <row r="853">
      <c r="B853" s="72"/>
    </row>
    <row r="854">
      <c r="B854" s="72"/>
    </row>
    <row r="855">
      <c r="B855" s="72"/>
    </row>
    <row r="856">
      <c r="B856" s="72"/>
    </row>
    <row r="857">
      <c r="B857" s="72"/>
    </row>
    <row r="858">
      <c r="B858" s="72"/>
    </row>
    <row r="859">
      <c r="B859" s="72"/>
    </row>
    <row r="860">
      <c r="B860" s="72"/>
    </row>
    <row r="861">
      <c r="B861" s="72"/>
    </row>
    <row r="862">
      <c r="B862" s="72"/>
    </row>
    <row r="863">
      <c r="B863" s="72"/>
    </row>
    <row r="864">
      <c r="B864" s="72"/>
    </row>
    <row r="865">
      <c r="B865" s="72"/>
    </row>
    <row r="866">
      <c r="B866" s="72"/>
    </row>
    <row r="867">
      <c r="B867" s="72"/>
    </row>
    <row r="868">
      <c r="B868" s="72"/>
    </row>
    <row r="869">
      <c r="B869" s="72"/>
    </row>
    <row r="870">
      <c r="B870" s="72"/>
    </row>
    <row r="871">
      <c r="B871" s="72"/>
    </row>
    <row r="872">
      <c r="B872" s="72"/>
    </row>
    <row r="873">
      <c r="B873" s="72"/>
    </row>
    <row r="874">
      <c r="B874" s="72"/>
    </row>
    <row r="875">
      <c r="B875" s="72"/>
    </row>
    <row r="876">
      <c r="B876" s="72"/>
    </row>
    <row r="877">
      <c r="B877" s="72"/>
    </row>
    <row r="878">
      <c r="B878" s="72"/>
    </row>
    <row r="879">
      <c r="B879" s="72"/>
    </row>
    <row r="880">
      <c r="B880" s="72"/>
    </row>
    <row r="881">
      <c r="B881" s="72"/>
    </row>
    <row r="882">
      <c r="B882" s="72"/>
    </row>
    <row r="883">
      <c r="B883" s="72"/>
    </row>
    <row r="884">
      <c r="B884" s="72"/>
    </row>
    <row r="885">
      <c r="B885" s="72"/>
    </row>
    <row r="886">
      <c r="B886" s="72"/>
    </row>
    <row r="887">
      <c r="B887" s="72"/>
    </row>
    <row r="888">
      <c r="B888" s="72"/>
    </row>
    <row r="889">
      <c r="B889" s="72"/>
    </row>
    <row r="890">
      <c r="B890" s="72"/>
    </row>
    <row r="891">
      <c r="B891" s="72"/>
    </row>
    <row r="892">
      <c r="B892" s="72"/>
    </row>
    <row r="893">
      <c r="B893" s="72"/>
    </row>
    <row r="894">
      <c r="B894" s="72"/>
    </row>
    <row r="895">
      <c r="B895" s="72"/>
    </row>
    <row r="896">
      <c r="B896" s="72"/>
    </row>
    <row r="897">
      <c r="B897" s="72"/>
    </row>
    <row r="898">
      <c r="B898" s="72"/>
    </row>
    <row r="899">
      <c r="B899" s="72"/>
    </row>
    <row r="900">
      <c r="B900" s="72"/>
    </row>
    <row r="901">
      <c r="B901" s="72"/>
    </row>
    <row r="902">
      <c r="B902" s="72"/>
    </row>
    <row r="903">
      <c r="B903" s="72"/>
    </row>
    <row r="904">
      <c r="B904" s="72"/>
    </row>
    <row r="905">
      <c r="B905" s="72"/>
    </row>
    <row r="906">
      <c r="B906" s="72"/>
    </row>
    <row r="907">
      <c r="B907" s="72"/>
    </row>
    <row r="908">
      <c r="B908" s="72"/>
    </row>
    <row r="909">
      <c r="B909" s="72"/>
    </row>
    <row r="910">
      <c r="B910" s="72"/>
    </row>
    <row r="911">
      <c r="B911" s="72"/>
    </row>
    <row r="912">
      <c r="B912" s="72"/>
    </row>
    <row r="913">
      <c r="B913" s="72"/>
    </row>
    <row r="914">
      <c r="B914" s="72"/>
    </row>
    <row r="915">
      <c r="B915" s="72"/>
    </row>
    <row r="916">
      <c r="B916" s="72"/>
    </row>
    <row r="917">
      <c r="B917" s="72"/>
    </row>
    <row r="918">
      <c r="B918" s="72"/>
    </row>
    <row r="919">
      <c r="B919" s="72"/>
    </row>
    <row r="920">
      <c r="B920" s="72"/>
    </row>
    <row r="921">
      <c r="B921" s="72"/>
    </row>
    <row r="922">
      <c r="B922" s="72"/>
    </row>
    <row r="923">
      <c r="B923" s="72"/>
    </row>
    <row r="924">
      <c r="B924" s="72"/>
    </row>
    <row r="925">
      <c r="B925" s="72"/>
    </row>
    <row r="926">
      <c r="B926" s="72"/>
    </row>
    <row r="927">
      <c r="B927" s="72"/>
    </row>
    <row r="928">
      <c r="B928" s="72"/>
    </row>
    <row r="929">
      <c r="B929" s="72"/>
    </row>
    <row r="930">
      <c r="B930" s="72"/>
    </row>
    <row r="931">
      <c r="B931" s="72"/>
    </row>
    <row r="932">
      <c r="B932" s="72"/>
    </row>
    <row r="933">
      <c r="B933" s="72"/>
    </row>
    <row r="934">
      <c r="B934" s="72"/>
    </row>
    <row r="935">
      <c r="B935" s="72"/>
    </row>
    <row r="936">
      <c r="B936" s="72"/>
    </row>
    <row r="937">
      <c r="B937" s="72"/>
    </row>
    <row r="938">
      <c r="B938" s="72"/>
    </row>
    <row r="939">
      <c r="B939" s="72"/>
    </row>
    <row r="940">
      <c r="B940" s="72"/>
    </row>
    <row r="941">
      <c r="B941" s="72"/>
    </row>
    <row r="942">
      <c r="B942" s="72"/>
    </row>
    <row r="943">
      <c r="B943" s="72"/>
    </row>
    <row r="944">
      <c r="B944" s="72"/>
    </row>
    <row r="945">
      <c r="B945" s="72"/>
    </row>
    <row r="946">
      <c r="B946" s="72"/>
    </row>
    <row r="947">
      <c r="B947" s="72"/>
    </row>
    <row r="948">
      <c r="B948" s="72"/>
    </row>
    <row r="949">
      <c r="B949" s="72"/>
    </row>
    <row r="950">
      <c r="B950" s="72"/>
    </row>
    <row r="951">
      <c r="B951" s="72"/>
    </row>
    <row r="952">
      <c r="B952" s="72"/>
    </row>
    <row r="953">
      <c r="B953" s="72"/>
    </row>
    <row r="954">
      <c r="B954" s="72"/>
    </row>
    <row r="955">
      <c r="B955" s="72"/>
    </row>
    <row r="956">
      <c r="B956" s="72"/>
    </row>
    <row r="957">
      <c r="B957" s="72"/>
    </row>
    <row r="958">
      <c r="B958" s="72"/>
    </row>
    <row r="959">
      <c r="B959" s="72"/>
    </row>
    <row r="960">
      <c r="B960" s="72"/>
    </row>
    <row r="961">
      <c r="B961" s="72"/>
    </row>
    <row r="962">
      <c r="B962" s="72"/>
    </row>
    <row r="963">
      <c r="B963" s="72"/>
    </row>
    <row r="964">
      <c r="B964" s="72"/>
    </row>
    <row r="965">
      <c r="B965" s="72"/>
    </row>
    <row r="966">
      <c r="B966" s="72"/>
    </row>
    <row r="967">
      <c r="B967" s="72"/>
    </row>
    <row r="968">
      <c r="B968" s="72"/>
    </row>
    <row r="969">
      <c r="B969" s="72"/>
    </row>
    <row r="970">
      <c r="B970" s="72"/>
    </row>
    <row r="971">
      <c r="B971" s="72"/>
    </row>
    <row r="972">
      <c r="B972" s="72"/>
    </row>
    <row r="973">
      <c r="B973" s="72"/>
    </row>
    <row r="974">
      <c r="B974" s="72"/>
    </row>
    <row r="975">
      <c r="B975" s="72"/>
    </row>
    <row r="976">
      <c r="B976" s="72"/>
    </row>
    <row r="977">
      <c r="B977" s="72"/>
    </row>
    <row r="978">
      <c r="B978" s="72"/>
    </row>
    <row r="979">
      <c r="B979" s="72"/>
    </row>
    <row r="980">
      <c r="B980" s="72"/>
    </row>
    <row r="981">
      <c r="B981" s="72"/>
    </row>
    <row r="982">
      <c r="B982" s="72"/>
    </row>
    <row r="983">
      <c r="B983" s="72"/>
    </row>
    <row r="984">
      <c r="B984" s="72"/>
    </row>
    <row r="985">
      <c r="B985" s="72"/>
    </row>
    <row r="986">
      <c r="B986" s="72"/>
    </row>
    <row r="987">
      <c r="B987" s="72"/>
    </row>
    <row r="988">
      <c r="B988" s="72"/>
    </row>
    <row r="989">
      <c r="B989" s="72"/>
    </row>
    <row r="990">
      <c r="B990" s="72"/>
    </row>
    <row r="991">
      <c r="B991" s="72"/>
    </row>
    <row r="992">
      <c r="B992" s="72"/>
    </row>
    <row r="993">
      <c r="B993" s="72"/>
    </row>
    <row r="994">
      <c r="B994" s="72"/>
    </row>
    <row r="995">
      <c r="B995" s="72"/>
    </row>
  </sheetData>
  <autoFilter ref="$A$1:$O$65">
    <filterColumn colId="1">
      <filters>
        <filter val="1"/>
      </filters>
    </filterColumn>
    <sortState ref="A1:O65">
      <sortCondition ref="A1:A65"/>
      <sortCondition descending="1" ref="F1:F65"/>
    </sortState>
  </autoFilter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location="1" ref="H62"/>
    <hyperlink r:id="rId61" ref="H63"/>
    <hyperlink r:id="rId62" ref="H64"/>
    <hyperlink r:id="rId63" ref="H65"/>
  </hyperlinks>
  <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hidden="1" min="1" max="1" width="12.63"/>
    <col customWidth="1" min="2" max="2" width="49.13"/>
    <col customWidth="1" min="3" max="3" width="31.0"/>
    <col customWidth="1" min="4" max="4" width="9.63"/>
    <col customWidth="1" min="5" max="5" width="11.75"/>
    <col customWidth="1" min="6" max="6" width="8.75"/>
    <col customWidth="1" min="7" max="45" width="5.25"/>
  </cols>
  <sheetData>
    <row r="1">
      <c r="A1" s="73" t="s">
        <v>0</v>
      </c>
      <c r="B1" s="74"/>
      <c r="C1" s="75"/>
      <c r="D1" s="73"/>
      <c r="E1" s="73"/>
      <c r="F1" s="73"/>
      <c r="G1" s="76" t="s">
        <v>233</v>
      </c>
      <c r="AB1" s="77" t="s">
        <v>234</v>
      </c>
    </row>
    <row r="2">
      <c r="A2" s="78" t="s">
        <v>0</v>
      </c>
      <c r="B2" s="77" t="s">
        <v>2</v>
      </c>
      <c r="C2" s="79" t="s">
        <v>235</v>
      </c>
      <c r="D2" s="80" t="s">
        <v>5</v>
      </c>
      <c r="E2" s="80" t="s">
        <v>236</v>
      </c>
      <c r="F2" s="80" t="s">
        <v>237</v>
      </c>
      <c r="G2" s="81" t="s">
        <v>238</v>
      </c>
      <c r="H2" s="82" t="s">
        <v>239</v>
      </c>
      <c r="I2" s="82" t="s">
        <v>240</v>
      </c>
      <c r="J2" s="82" t="s">
        <v>241</v>
      </c>
      <c r="K2" s="82" t="s">
        <v>242</v>
      </c>
      <c r="L2" s="82" t="s">
        <v>243</v>
      </c>
      <c r="M2" s="82" t="s">
        <v>244</v>
      </c>
      <c r="N2" s="82" t="s">
        <v>245</v>
      </c>
      <c r="O2" s="82" t="s">
        <v>246</v>
      </c>
      <c r="P2" s="82" t="s">
        <v>247</v>
      </c>
      <c r="Q2" s="82" t="s">
        <v>248</v>
      </c>
      <c r="R2" s="82" t="s">
        <v>249</v>
      </c>
      <c r="S2" s="82" t="s">
        <v>250</v>
      </c>
      <c r="T2" s="82" t="s">
        <v>251</v>
      </c>
      <c r="U2" s="82" t="s">
        <v>252</v>
      </c>
      <c r="V2" s="82" t="s">
        <v>253</v>
      </c>
      <c r="W2" s="82" t="s">
        <v>254</v>
      </c>
      <c r="X2" s="82" t="s">
        <v>255</v>
      </c>
      <c r="Y2" s="82" t="s">
        <v>256</v>
      </c>
      <c r="Z2" s="82" t="s">
        <v>257</v>
      </c>
      <c r="AA2" s="82" t="s">
        <v>258</v>
      </c>
      <c r="AB2" s="82" t="s">
        <v>259</v>
      </c>
      <c r="AC2" s="82" t="s">
        <v>260</v>
      </c>
      <c r="AD2" s="82" t="s">
        <v>261</v>
      </c>
      <c r="AE2" s="82" t="s">
        <v>262</v>
      </c>
      <c r="AF2" s="82" t="s">
        <v>263</v>
      </c>
      <c r="AG2" s="82" t="s">
        <v>264</v>
      </c>
      <c r="AH2" s="82" t="s">
        <v>265</v>
      </c>
      <c r="AI2" s="82" t="s">
        <v>266</v>
      </c>
      <c r="AJ2" s="82" t="s">
        <v>267</v>
      </c>
      <c r="AK2" s="82" t="s">
        <v>268</v>
      </c>
      <c r="AL2" s="83" t="s">
        <v>269</v>
      </c>
      <c r="AM2" s="82" t="s">
        <v>270</v>
      </c>
      <c r="AN2" s="82" t="s">
        <v>271</v>
      </c>
      <c r="AO2" s="82" t="s">
        <v>272</v>
      </c>
      <c r="AP2" s="82" t="s">
        <v>273</v>
      </c>
      <c r="AQ2" s="82" t="s">
        <v>274</v>
      </c>
      <c r="AR2" s="82" t="s">
        <v>275</v>
      </c>
      <c r="AS2" s="82" t="s">
        <v>276</v>
      </c>
    </row>
    <row r="3">
      <c r="A3" s="84">
        <v>3.0</v>
      </c>
      <c r="B3" s="85" t="str">
        <f t="array" ref="B3">IFerror(INDEX(Papers!C$2:C$995,MATCH($A3, Papers!$A$2:$A$995,0)),"")</f>
        <v>Call Me Maybe: Experimental Evidence on Frequency and Medium Effects in Microenterprise Surveys</v>
      </c>
      <c r="C3" s="85" t="str">
        <f t="array" ref="C3">IFerror(INDEX(Papers!D$2:D$995,MATCH($A3, Papers!$A$2:$A$995,0)),"")</f>
        <v>Robert Garlick, Kate Orkin, and Simon Quinn. </v>
      </c>
      <c r="D3" s="86">
        <f t="array" ref="D3">IFerror(INDEX(Papers!F$2:F$995,MATCH($A3, Papers!$A$2:$A$995,0)),"")</f>
        <v>2019</v>
      </c>
      <c r="E3" s="59">
        <f t="array" ref="E3">IFerror(INDEX(Papers!G$2:G$995,MATCH($A3, Papers!$A$2:$A$995,0)),"")</f>
        <v>2014</v>
      </c>
      <c r="F3" s="68" t="s">
        <v>9</v>
      </c>
      <c r="G3" s="87"/>
      <c r="H3" s="88"/>
      <c r="I3" s="87"/>
      <c r="J3" s="88"/>
      <c r="K3" s="87"/>
      <c r="L3" s="88"/>
      <c r="M3" s="87"/>
      <c r="N3" s="88"/>
      <c r="O3" s="87"/>
      <c r="P3" s="88"/>
      <c r="Q3" s="87"/>
      <c r="R3" s="88"/>
      <c r="S3" s="87"/>
      <c r="T3" s="88"/>
      <c r="U3" s="87"/>
      <c r="V3" s="88"/>
      <c r="W3" s="87"/>
      <c r="X3" s="88"/>
      <c r="Y3" s="87"/>
      <c r="Z3" s="88"/>
      <c r="AA3" s="87"/>
      <c r="AB3" s="89"/>
      <c r="AC3" s="90"/>
      <c r="AD3" s="89"/>
      <c r="AE3" s="90"/>
      <c r="AF3" s="89"/>
      <c r="AG3" s="90"/>
      <c r="AH3" s="89"/>
      <c r="AI3" s="90"/>
      <c r="AJ3" s="89"/>
      <c r="AK3" s="90"/>
      <c r="AL3" s="89"/>
      <c r="AM3" s="90" t="s">
        <v>19</v>
      </c>
      <c r="AN3" s="89"/>
      <c r="AO3" s="90"/>
      <c r="AP3" s="89"/>
      <c r="AQ3" s="90"/>
      <c r="AR3" s="89"/>
      <c r="AS3" s="90"/>
    </row>
    <row r="4">
      <c r="A4" s="84">
        <v>4.0</v>
      </c>
      <c r="B4" s="85" t="str">
        <f t="array" ref="B4">IFerror(INDEX(Papers!C$2:C$995,MATCH($A4, Papers!$A$2:$A$995,0)),"")</f>
        <v>Measuring Employment: Experimental Evidence from Ghana</v>
      </c>
      <c r="C4" s="85" t="str">
        <f t="array" ref="C4">IFerror(INDEX(Papers!D$2:D$995,MATCH($A4, Papers!$A$2:$A$995,0)),"")</f>
        <v>Rachel Health, Ghazala Mansuri, Bob Rijkers, William Seitz, and Dhiraj Sharma</v>
      </c>
      <c r="D4" s="86">
        <f t="array" ref="D4">IFerror(INDEX(Papers!F$2:F$995,MATCH($A4, Papers!$A$2:$A$995,0)),"")</f>
        <v>2017</v>
      </c>
      <c r="E4" s="59">
        <f t="array" ref="E4">IFerror(INDEX(Papers!G$2:G$995,MATCH($A4, Papers!$A$2:$A$995,0)),"")</f>
        <v>2013</v>
      </c>
      <c r="F4" s="68" t="s">
        <v>9</v>
      </c>
      <c r="G4" s="87"/>
      <c r="H4" s="88"/>
      <c r="I4" s="87"/>
      <c r="J4" s="88"/>
      <c r="K4" s="87"/>
      <c r="L4" s="88" t="s">
        <v>19</v>
      </c>
      <c r="M4" s="87"/>
      <c r="N4" s="88"/>
      <c r="O4" s="87"/>
      <c r="P4" s="88"/>
      <c r="Q4" s="87"/>
      <c r="R4" s="88"/>
      <c r="S4" s="87"/>
      <c r="T4" s="88"/>
      <c r="U4" s="87"/>
      <c r="V4" s="88"/>
      <c r="W4" s="87"/>
      <c r="X4" s="88"/>
      <c r="Y4" s="87"/>
      <c r="Z4" s="88"/>
      <c r="AA4" s="87"/>
      <c r="AB4" s="89"/>
      <c r="AC4" s="90"/>
      <c r="AD4" s="89"/>
      <c r="AE4" s="90"/>
      <c r="AF4" s="89"/>
      <c r="AG4" s="90"/>
      <c r="AH4" s="89"/>
      <c r="AI4" s="90"/>
      <c r="AJ4" s="89"/>
      <c r="AK4" s="90"/>
      <c r="AL4" s="89"/>
      <c r="AM4" s="90"/>
      <c r="AN4" s="89"/>
      <c r="AO4" s="90"/>
      <c r="AP4" s="89"/>
      <c r="AQ4" s="90"/>
      <c r="AR4" s="89"/>
      <c r="AS4" s="90"/>
    </row>
    <row r="5">
      <c r="A5" s="84">
        <v>7.0</v>
      </c>
      <c r="B5" s="85" t="str">
        <f t="array" ref="B5">IFerror(INDEX(Papers!C$2:C$995,MATCH($A5, Papers!$A$2:$A$995,0)),"")</f>
        <v>The Socio-Economic Impacts of Ebola in Liberia : Results from a High Frequency Cell Phone Survey Round Five.”</v>
      </c>
      <c r="C5" s="85" t="str">
        <f t="array" ref="C5">IFerror(INDEX(Papers!D$2:D$995,MATCH($A5, Papers!$A$2:$A$995,0)),"")</f>
        <v>Kristen Himelein Kastelic and Jonathan Kastelic</v>
      </c>
      <c r="D5" s="86">
        <f t="array" ref="D5">IFerror(INDEX(Papers!F$2:F$995,MATCH($A5, Papers!$A$2:$A$995,0)),"")</f>
        <v>2015</v>
      </c>
      <c r="E5" s="59">
        <f t="array" ref="E5">IFerror(INDEX(Papers!G$2:G$995,MATCH($A5, Papers!$A$2:$A$995,0)),"")</f>
        <v>2014</v>
      </c>
      <c r="F5" s="68" t="s">
        <v>9</v>
      </c>
      <c r="G5" s="87"/>
      <c r="H5" s="88"/>
      <c r="I5" s="87"/>
      <c r="J5" s="88"/>
      <c r="K5" s="87"/>
      <c r="L5" s="88"/>
      <c r="M5" s="87"/>
      <c r="N5" s="88"/>
      <c r="O5" s="87" t="s">
        <v>19</v>
      </c>
      <c r="P5" s="88"/>
      <c r="Q5" s="87"/>
      <c r="R5" s="88"/>
      <c r="S5" s="87"/>
      <c r="T5" s="88"/>
      <c r="U5" s="87"/>
      <c r="V5" s="88"/>
      <c r="W5" s="87"/>
      <c r="X5" s="88"/>
      <c r="Y5" s="87"/>
      <c r="Z5" s="88"/>
      <c r="AA5" s="87"/>
      <c r="AB5" s="89"/>
      <c r="AC5" s="90"/>
      <c r="AD5" s="89"/>
      <c r="AE5" s="90"/>
      <c r="AF5" s="89"/>
      <c r="AG5" s="90"/>
      <c r="AH5" s="89"/>
      <c r="AI5" s="90"/>
      <c r="AJ5" s="89"/>
      <c r="AK5" s="90"/>
      <c r="AL5" s="89"/>
      <c r="AM5" s="90"/>
      <c r="AN5" s="89"/>
      <c r="AO5" s="90"/>
      <c r="AP5" s="89"/>
      <c r="AQ5" s="90"/>
      <c r="AR5" s="89"/>
      <c r="AS5" s="90"/>
    </row>
    <row r="6">
      <c r="A6" s="84">
        <v>8.0</v>
      </c>
      <c r="B6" s="85" t="str">
        <f t="array" ref="B6">IFerror(INDEX(Papers!C$2:C$995,MATCH($A6, Papers!$A$2:$A$995,0)),"")</f>
        <v>Adaptive Treatment Assignment in Experiments for Policy Choice</v>
      </c>
      <c r="C6" s="85" t="str">
        <f t="array" ref="C6">IFerror(INDEX(Papers!D$2:D$995,MATCH($A6, Papers!$A$2:$A$995,0)),"")</f>
        <v>Maximilian Kasy and Anja Sautmann</v>
      </c>
      <c r="D6" s="86">
        <f t="array" ref="D6">IFerror(INDEX(Papers!F$2:F$995,MATCH($A6, Papers!$A$2:$A$995,0)),"")</f>
        <v>2019</v>
      </c>
      <c r="E6" s="59">
        <f t="array" ref="E6">IFerror(INDEX(Papers!G$2:G$995,MATCH($A6, Papers!$A$2:$A$995,0)),"")</f>
        <v>2019</v>
      </c>
      <c r="F6" s="68" t="s">
        <v>9</v>
      </c>
      <c r="G6" s="87"/>
      <c r="H6" s="88"/>
      <c r="I6" s="87"/>
      <c r="J6" s="88"/>
      <c r="K6" s="87"/>
      <c r="L6" s="88"/>
      <c r="M6" s="87"/>
      <c r="N6" s="88"/>
      <c r="O6" s="87"/>
      <c r="P6" s="88"/>
      <c r="Q6" s="87"/>
      <c r="R6" s="88"/>
      <c r="S6" s="87"/>
      <c r="T6" s="88"/>
      <c r="U6" s="87"/>
      <c r="V6" s="88"/>
      <c r="W6" s="87"/>
      <c r="X6" s="88"/>
      <c r="Y6" s="87"/>
      <c r="Z6" s="88"/>
      <c r="AA6" s="87"/>
      <c r="AB6" s="89"/>
      <c r="AC6" s="90"/>
      <c r="AD6" s="89"/>
      <c r="AE6" s="90"/>
      <c r="AF6" s="89"/>
      <c r="AG6" s="90"/>
      <c r="AH6" s="89" t="s">
        <v>19</v>
      </c>
      <c r="AI6" s="90"/>
      <c r="AJ6" s="89"/>
      <c r="AK6" s="90"/>
      <c r="AL6" s="89"/>
      <c r="AM6" s="90"/>
      <c r="AN6" s="89"/>
      <c r="AO6" s="90"/>
      <c r="AP6" s="89"/>
      <c r="AQ6" s="90"/>
      <c r="AR6" s="89"/>
      <c r="AS6" s="90"/>
    </row>
    <row r="7">
      <c r="A7" s="84">
        <v>9.0</v>
      </c>
      <c r="B7" s="85" t="str">
        <f t="array" ref="B7">IFerror(INDEX(Papers!C$2:C$995,MATCH($A7, Papers!$A$2:$A$995,0)),"")</f>
        <v>In Search of the Optimal Mode for Mobile Phone Surveys in Developing Countries. A Comparison of IVR, SMS, and CATI in Nigeria</v>
      </c>
      <c r="C7" s="85" t="str">
        <f t="array" ref="C7">IFerror(INDEX(Papers!D$2:D$995,MATCH($A7, Papers!$A$2:$A$995,0)),"")</f>
        <v>Charles Lau, Alexandra Cronberg, Leenisha Marks, and Ashley Amaya</v>
      </c>
      <c r="D7" s="86">
        <f t="array" ref="D7">IFerror(INDEX(Papers!F$2:F$995,MATCH($A7, Papers!$A$2:$A$995,0)),"")</f>
        <v>2019</v>
      </c>
      <c r="E7" s="59">
        <f t="array" ref="E7">IFerror(INDEX(Papers!G$2:G$995,MATCH($A7, Papers!$A$2:$A$995,0)),"")</f>
        <v>2017</v>
      </c>
      <c r="F7" s="91" t="s">
        <v>9</v>
      </c>
      <c r="G7" s="87"/>
      <c r="H7" s="88"/>
      <c r="I7" s="87"/>
      <c r="J7" s="88"/>
      <c r="K7" s="87"/>
      <c r="L7" s="88"/>
      <c r="M7" s="87"/>
      <c r="N7" s="88"/>
      <c r="O7" s="87"/>
      <c r="P7" s="88"/>
      <c r="Q7" s="87"/>
      <c r="R7" s="88"/>
      <c r="S7" s="87"/>
      <c r="T7" s="88" t="s">
        <v>19</v>
      </c>
      <c r="U7" s="87"/>
      <c r="V7" s="88"/>
      <c r="W7" s="87"/>
      <c r="X7" s="88"/>
      <c r="Y7" s="87"/>
      <c r="Z7" s="88"/>
      <c r="AA7" s="87"/>
      <c r="AB7" s="89"/>
      <c r="AC7" s="90"/>
      <c r="AD7" s="89"/>
      <c r="AE7" s="90"/>
      <c r="AF7" s="89"/>
      <c r="AG7" s="90"/>
      <c r="AH7" s="89"/>
      <c r="AI7" s="90"/>
      <c r="AJ7" s="89"/>
      <c r="AK7" s="90"/>
      <c r="AL7" s="89"/>
      <c r="AM7" s="90"/>
      <c r="AN7" s="89"/>
      <c r="AO7" s="90"/>
      <c r="AP7" s="89"/>
      <c r="AQ7" s="90"/>
      <c r="AR7" s="89"/>
      <c r="AS7" s="90"/>
    </row>
    <row r="8">
      <c r="A8" s="84">
        <v>9.0</v>
      </c>
      <c r="B8" s="85" t="str">
        <f t="array" ref="B8">IFerror(INDEX(Papers!C$2:C$995,MATCH($A8, Papers!$A$2:$A$995,0)),"")</f>
        <v>In Search of the Optimal Mode for Mobile Phone Surveys in Developing Countries. A Comparison of IVR, SMS, and CATI in Nigeria</v>
      </c>
      <c r="C8" s="85" t="str">
        <f t="array" ref="C8">IFerror(INDEX(Papers!D$2:D$995,MATCH($A8, Papers!$A$2:$A$995,0)),"")</f>
        <v>Charles Lau, Alexandra Cronberg, Leenisha Marks, and Ashley Amaya</v>
      </c>
      <c r="D8" s="86">
        <f t="array" ref="D8">IFerror(INDEX(Papers!F$2:F$995,MATCH($A8, Papers!$A$2:$A$995,0)),"")</f>
        <v>2019</v>
      </c>
      <c r="E8" s="59">
        <f t="array" ref="E8">IFerror(INDEX(Papers!G$2:G$995,MATCH($A8, Papers!$A$2:$A$995,0)),"")</f>
        <v>2017</v>
      </c>
      <c r="F8" s="68" t="s">
        <v>11</v>
      </c>
      <c r="G8" s="87"/>
      <c r="H8" s="88"/>
      <c r="I8" s="87"/>
      <c r="J8" s="88"/>
      <c r="K8" s="87"/>
      <c r="L8" s="88"/>
      <c r="M8" s="87"/>
      <c r="N8" s="88"/>
      <c r="O8" s="87"/>
      <c r="P8" s="88"/>
      <c r="Q8" s="87"/>
      <c r="R8" s="88"/>
      <c r="S8" s="87"/>
      <c r="T8" s="88" t="s">
        <v>19</v>
      </c>
      <c r="U8" s="87"/>
      <c r="V8" s="88"/>
      <c r="W8" s="87"/>
      <c r="X8" s="88"/>
      <c r="Y8" s="87"/>
      <c r="Z8" s="88"/>
      <c r="AA8" s="87"/>
      <c r="AB8" s="89"/>
      <c r="AC8" s="90"/>
      <c r="AD8" s="89"/>
      <c r="AE8" s="90"/>
      <c r="AF8" s="89"/>
      <c r="AG8" s="90"/>
      <c r="AH8" s="89"/>
      <c r="AI8" s="90"/>
      <c r="AJ8" s="89"/>
      <c r="AK8" s="90"/>
      <c r="AL8" s="89"/>
      <c r="AM8" s="90"/>
      <c r="AN8" s="89"/>
      <c r="AO8" s="90"/>
      <c r="AP8" s="89"/>
      <c r="AQ8" s="90"/>
      <c r="AR8" s="89"/>
      <c r="AS8" s="90"/>
    </row>
    <row r="9">
      <c r="A9" s="84">
        <v>9.0</v>
      </c>
      <c r="B9" s="85" t="str">
        <f t="array" ref="B9">IFerror(INDEX(Papers!C$2:C$995,MATCH($A9, Papers!$A$2:$A$995,0)),"")</f>
        <v>In Search of the Optimal Mode for Mobile Phone Surveys in Developing Countries. A Comparison of IVR, SMS, and CATI in Nigeria</v>
      </c>
      <c r="C9" s="85" t="str">
        <f t="array" ref="C9">IFerror(INDEX(Papers!D$2:D$995,MATCH($A9, Papers!$A$2:$A$995,0)),"")</f>
        <v>Charles Lau, Alexandra Cronberg, Leenisha Marks, and Ashley Amaya</v>
      </c>
      <c r="D9" s="86">
        <f t="array" ref="D9">IFerror(INDEX(Papers!F$2:F$995,MATCH($A9, Papers!$A$2:$A$995,0)),"")</f>
        <v>2019</v>
      </c>
      <c r="E9" s="59">
        <f t="array" ref="E9">IFerror(INDEX(Papers!G$2:G$995,MATCH($A9, Papers!$A$2:$A$995,0)),"")</f>
        <v>2017</v>
      </c>
      <c r="F9" s="68" t="s">
        <v>10</v>
      </c>
      <c r="G9" s="87"/>
      <c r="H9" s="88"/>
      <c r="I9" s="87"/>
      <c r="J9" s="88"/>
      <c r="K9" s="87"/>
      <c r="L9" s="88"/>
      <c r="M9" s="87"/>
      <c r="N9" s="88"/>
      <c r="O9" s="87"/>
      <c r="P9" s="88"/>
      <c r="Q9" s="87"/>
      <c r="R9" s="88"/>
      <c r="S9" s="87"/>
      <c r="T9" s="88" t="s">
        <v>19</v>
      </c>
      <c r="U9" s="87"/>
      <c r="V9" s="88"/>
      <c r="W9" s="87"/>
      <c r="X9" s="88"/>
      <c r="Y9" s="87"/>
      <c r="Z9" s="88"/>
      <c r="AA9" s="87"/>
      <c r="AB9" s="89"/>
      <c r="AC9" s="90"/>
      <c r="AD9" s="89"/>
      <c r="AE9" s="90"/>
      <c r="AF9" s="89"/>
      <c r="AG9" s="90"/>
      <c r="AH9" s="89"/>
      <c r="AI9" s="90"/>
      <c r="AJ9" s="89"/>
      <c r="AK9" s="90"/>
      <c r="AL9" s="89"/>
      <c r="AM9" s="90"/>
      <c r="AN9" s="89"/>
      <c r="AO9" s="90"/>
      <c r="AP9" s="89"/>
      <c r="AQ9" s="90"/>
      <c r="AR9" s="89"/>
      <c r="AS9" s="90"/>
    </row>
    <row r="10">
      <c r="A10" s="54">
        <v>10.0</v>
      </c>
      <c r="B10" s="85" t="str">
        <f t="array" ref="B10">IFerror(INDEX(Papers!C$2:C$995,MATCH($A10, Papers!$A$2:$A$995,0)),"")</f>
        <v>Survey Research with a Random Digit Dial National Mobile Phone Sample in Ghana: Methods and Sample Quality</v>
      </c>
      <c r="C10" s="85" t="str">
        <f t="array" ref="C10">IFerror(INDEX(Papers!D$2:D$995,MATCH($A10, Papers!$A$2:$A$995,0)),"")</f>
        <v>Kelly L’Engle, Eunice Sefa, Edward Akolgo Adimazoya, Emmanuel Yartey, Rachel Lenzi, Cindy Tarpo, Nii Lante Heward-Mills, Katherine Lew, and Yvonne Ampeh</v>
      </c>
      <c r="D10" s="86">
        <f t="array" ref="D10">IFerror(INDEX(Papers!F$2:F$995,MATCH($A10, Papers!$A$2:$A$995,0)),"")</f>
        <v>2018</v>
      </c>
      <c r="E10" s="59">
        <f t="array" ref="E10">IFerror(INDEX(Papers!G$2:G$995,MATCH($A10, Papers!$A$2:$A$995,0)),"")</f>
        <v>2016</v>
      </c>
      <c r="F10" s="24" t="s">
        <v>11</v>
      </c>
      <c r="G10" s="87"/>
      <c r="H10" s="88"/>
      <c r="I10" s="87"/>
      <c r="J10" s="88"/>
      <c r="K10" s="87"/>
      <c r="L10" s="88" t="s">
        <v>19</v>
      </c>
      <c r="M10" s="87"/>
      <c r="N10" s="88"/>
      <c r="O10" s="87"/>
      <c r="P10" s="88"/>
      <c r="Q10" s="87"/>
      <c r="R10" s="88"/>
      <c r="S10" s="87"/>
      <c r="T10" s="88"/>
      <c r="U10" s="87"/>
      <c r="V10" s="88"/>
      <c r="W10" s="87"/>
      <c r="X10" s="88"/>
      <c r="Y10" s="87"/>
      <c r="Z10" s="88"/>
      <c r="AA10" s="87"/>
      <c r="AB10" s="89"/>
      <c r="AC10" s="90"/>
      <c r="AD10" s="89"/>
      <c r="AE10" s="90"/>
      <c r="AF10" s="89"/>
      <c r="AG10" s="90"/>
      <c r="AH10" s="89"/>
      <c r="AI10" s="90"/>
      <c r="AJ10" s="89"/>
      <c r="AK10" s="90"/>
      <c r="AL10" s="89"/>
      <c r="AM10" s="90"/>
      <c r="AN10" s="89"/>
      <c r="AO10" s="90"/>
      <c r="AP10" s="89"/>
      <c r="AQ10" s="90"/>
      <c r="AR10" s="89"/>
      <c r="AS10" s="90"/>
    </row>
    <row r="11">
      <c r="A11" s="84">
        <v>11.0</v>
      </c>
      <c r="B11" s="85" t="str">
        <f t="array" ref="B11">IFerror(INDEX(Papers!C$2:C$995,MATCH($A11, Papers!$A$2:$A$995,0)),"")</f>
        <v>Do Mobile Phone Surveys Work in Poor Countries?</v>
      </c>
      <c r="C11" s="85" t="str">
        <f t="array" ref="C11">IFerror(INDEX(Papers!D$2:D$995,MATCH($A11, Papers!$A$2:$A$995,0)),"")</f>
        <v>Leo, Benjamin, Robert Morello, Jonathan Mellon, Tiago Peixoto, and Stephen Davenport</v>
      </c>
      <c r="D11" s="86">
        <f t="array" ref="D11">IFerror(INDEX(Papers!F$2:F$995,MATCH($A11, Papers!$A$2:$A$995,0)),"")</f>
        <v>2015</v>
      </c>
      <c r="E11" s="59">
        <f t="array" ref="E11">IFerror(INDEX(Papers!G$2:G$995,MATCH($A11, Papers!$A$2:$A$995,0)),"")</f>
        <v>2014</v>
      </c>
      <c r="F11" s="68" t="s">
        <v>11</v>
      </c>
      <c r="G11" s="87"/>
      <c r="H11" s="88"/>
      <c r="I11" s="87"/>
      <c r="J11" s="88"/>
      <c r="K11" s="87"/>
      <c r="L11" s="88"/>
      <c r="M11" s="87"/>
      <c r="N11" s="88"/>
      <c r="O11" s="87"/>
      <c r="P11" s="88"/>
      <c r="Q11" s="87"/>
      <c r="R11" s="88"/>
      <c r="S11" s="87"/>
      <c r="T11" s="88"/>
      <c r="U11" s="87"/>
      <c r="V11" s="88"/>
      <c r="W11" s="87"/>
      <c r="X11" s="88"/>
      <c r="Y11" s="87"/>
      <c r="Z11" s="88"/>
      <c r="AA11" s="87"/>
      <c r="AB11" s="89"/>
      <c r="AC11" s="90" t="s">
        <v>19</v>
      </c>
      <c r="AD11" s="89"/>
      <c r="AE11" s="90"/>
      <c r="AF11" s="89" t="s">
        <v>19</v>
      </c>
      <c r="AG11" s="90"/>
      <c r="AH11" s="89"/>
      <c r="AI11" s="90"/>
      <c r="AJ11" s="89" t="s">
        <v>19</v>
      </c>
      <c r="AK11" s="90"/>
      <c r="AL11" s="89"/>
      <c r="AM11" s="90"/>
      <c r="AN11" s="89"/>
      <c r="AO11" s="90"/>
      <c r="AP11" s="89"/>
      <c r="AQ11" s="90"/>
      <c r="AR11" s="89"/>
      <c r="AS11" s="90" t="s">
        <v>19</v>
      </c>
    </row>
    <row r="12">
      <c r="A12" s="84">
        <v>13.0</v>
      </c>
      <c r="B12" s="85" t="str">
        <f t="array" ref="B12">IFerror(INDEX(Papers!C$2:C$995,MATCH($A12, Papers!$A$2:$A$995,0)),"")</f>
        <v>Patterns of Demand for Non-Ebola Health Services during and after the Ebola Outbreak: Panel Survey Evidence from Monrovia, Liberia</v>
      </c>
      <c r="C12" s="85" t="str">
        <f t="array" ref="C12">IFerror(INDEX(Papers!D$2:D$995,MATCH($A12, Papers!$A$2:$A$995,0)),"")</f>
        <v>Ben Morse, Karen Grépin, Robert Blair, and Lily Tsai</v>
      </c>
      <c r="D12" s="86">
        <f t="array" ref="D12">IFerror(INDEX(Papers!F$2:F$995,MATCH($A12, Papers!$A$2:$A$995,0)),"")</f>
        <v>2016</v>
      </c>
      <c r="E12" s="59">
        <f t="array" ref="E12">IFerror(INDEX(Papers!G$2:G$995,MATCH($A12, Papers!$A$2:$A$995,0)),"")</f>
        <v>2015</v>
      </c>
      <c r="F12" s="68" t="s">
        <v>9</v>
      </c>
      <c r="G12" s="87"/>
      <c r="H12" s="88"/>
      <c r="I12" s="87"/>
      <c r="J12" s="88"/>
      <c r="K12" s="87"/>
      <c r="L12" s="88"/>
      <c r="M12" s="87"/>
      <c r="N12" s="88"/>
      <c r="O12" s="87" t="s">
        <v>19</v>
      </c>
      <c r="P12" s="88"/>
      <c r="Q12" s="87"/>
      <c r="R12" s="88"/>
      <c r="S12" s="87"/>
      <c r="T12" s="88"/>
      <c r="U12" s="87"/>
      <c r="V12" s="88"/>
      <c r="W12" s="87"/>
      <c r="X12" s="88"/>
      <c r="Y12" s="87"/>
      <c r="Z12" s="88"/>
      <c r="AA12" s="87"/>
      <c r="AB12" s="89"/>
      <c r="AC12" s="90"/>
      <c r="AD12" s="89"/>
      <c r="AE12" s="90"/>
      <c r="AF12" s="89"/>
      <c r="AG12" s="90"/>
      <c r="AH12" s="89"/>
      <c r="AI12" s="90"/>
      <c r="AJ12" s="89"/>
      <c r="AK12" s="90"/>
      <c r="AL12" s="89"/>
      <c r="AM12" s="90"/>
      <c r="AN12" s="89"/>
      <c r="AO12" s="90"/>
      <c r="AP12" s="89"/>
      <c r="AQ12" s="90"/>
      <c r="AR12" s="89"/>
      <c r="AS12" s="90"/>
    </row>
    <row r="13">
      <c r="A13" s="84">
        <v>14.0</v>
      </c>
      <c r="B13" s="85" t="str">
        <f t="array" ref="B13">IFerror(INDEX(Papers!C$2:C$995,MATCH($A13, Papers!$A$2:$A$995,0)),"")</f>
        <v>The Socio-Economic Impacts of Ebola in Sierra Leone : Results from a High Frequency Cell Phone Survey - Round Three</v>
      </c>
      <c r="C13" s="85" t="str">
        <f t="array" ref="C13">IFerror(INDEX(Papers!D$2:D$995,MATCH($A13, Papers!$A$2:$A$995,0)),"")</f>
        <v>Kristen Himelein Kastelic, Mauro Testaverde, Akubakarr Turay, and Samuel Turay</v>
      </c>
      <c r="D13" s="86">
        <f t="array" ref="D13">IFerror(INDEX(Papers!F$2:F$995,MATCH($A13, Papers!$A$2:$A$995,0)),"")</f>
        <v>2015</v>
      </c>
      <c r="E13" s="59">
        <f t="array" ref="E13">IFerror(INDEX(Papers!G$2:G$995,MATCH($A13, Papers!$A$2:$A$995,0)),"")</f>
        <v>2014</v>
      </c>
      <c r="F13" s="68" t="s">
        <v>9</v>
      </c>
      <c r="G13" s="87"/>
      <c r="H13" s="88"/>
      <c r="I13" s="87"/>
      <c r="J13" s="88"/>
      <c r="K13" s="87"/>
      <c r="L13" s="88"/>
      <c r="M13" s="87"/>
      <c r="N13" s="88"/>
      <c r="O13" s="87"/>
      <c r="P13" s="88"/>
      <c r="Q13" s="87"/>
      <c r="R13" s="88"/>
      <c r="S13" s="87"/>
      <c r="T13" s="88"/>
      <c r="U13" s="87"/>
      <c r="V13" s="88"/>
      <c r="W13" s="87"/>
      <c r="X13" s="88"/>
      <c r="Y13" s="87" t="s">
        <v>19</v>
      </c>
      <c r="Z13" s="88"/>
      <c r="AA13" s="87"/>
      <c r="AB13" s="89"/>
      <c r="AC13" s="90"/>
      <c r="AD13" s="89"/>
      <c r="AE13" s="90"/>
      <c r="AF13" s="89"/>
      <c r="AG13" s="90"/>
      <c r="AH13" s="89"/>
      <c r="AI13" s="90"/>
      <c r="AJ13" s="89"/>
      <c r="AK13" s="90"/>
      <c r="AL13" s="89"/>
      <c r="AM13" s="90"/>
      <c r="AN13" s="89"/>
      <c r="AO13" s="90"/>
      <c r="AP13" s="89"/>
      <c r="AQ13" s="90"/>
      <c r="AR13" s="89"/>
      <c r="AS13" s="90"/>
    </row>
    <row r="14">
      <c r="A14" s="84">
        <v>16.0</v>
      </c>
      <c r="B14" s="85" t="str">
        <f t="array" ref="B14">IFerror(INDEX(Papers!C$2:C$995,MATCH($A14, Papers!$A$2:$A$995,0)),"")</f>
        <v>Mobile Phone Panel Surveys in Developing Countries : A Practical Guide for Microdata Collection</v>
      </c>
      <c r="C14" s="85" t="str">
        <f t="array" ref="C14">IFerror(INDEX(Papers!D$2:D$995,MATCH($A14, Papers!$A$2:$A$995,0)),"")</f>
        <v>Andrew Dabalen, Alvin Etang Ndip, Johannes Hoogeveen, Elvis Mushi, Youdi Schipper, and Johannes von Engelhardt</v>
      </c>
      <c r="D14" s="86">
        <f t="array" ref="D14">IFerror(INDEX(Papers!F$2:F$995,MATCH($A14, Papers!$A$2:$A$995,0)),"")</f>
        <v>2016</v>
      </c>
      <c r="E14" s="59">
        <f t="array" ref="E14">IFerror(INDEX(Papers!G$2:G$995,MATCH($A14, Papers!$A$2:$A$995,0)),"")</f>
        <v>2014</v>
      </c>
      <c r="F14" s="68" t="s">
        <v>9</v>
      </c>
      <c r="G14" s="87"/>
      <c r="H14" s="88"/>
      <c r="I14" s="87"/>
      <c r="J14" s="88"/>
      <c r="K14" s="87"/>
      <c r="L14" s="88"/>
      <c r="M14" s="87"/>
      <c r="N14" s="88"/>
      <c r="O14" s="87"/>
      <c r="P14" s="88" t="s">
        <v>19</v>
      </c>
      <c r="Q14" s="87" t="s">
        <v>19</v>
      </c>
      <c r="R14" s="88"/>
      <c r="S14" s="87"/>
      <c r="T14" s="88"/>
      <c r="U14" s="87"/>
      <c r="V14" s="88"/>
      <c r="W14" s="87"/>
      <c r="X14" s="88"/>
      <c r="Y14" s="87"/>
      <c r="Z14" s="88" t="s">
        <v>19</v>
      </c>
      <c r="AA14" s="87"/>
      <c r="AB14" s="89"/>
      <c r="AC14" s="90"/>
      <c r="AD14" s="89"/>
      <c r="AE14" s="90"/>
      <c r="AF14" s="89"/>
      <c r="AG14" s="90"/>
      <c r="AH14" s="89"/>
      <c r="AI14" s="90" t="s">
        <v>19</v>
      </c>
      <c r="AJ14" s="89"/>
      <c r="AK14" s="90"/>
      <c r="AL14" s="89" t="s">
        <v>19</v>
      </c>
      <c r="AM14" s="90"/>
      <c r="AN14" s="89"/>
      <c r="AO14" s="90"/>
      <c r="AP14" s="89" t="s">
        <v>19</v>
      </c>
      <c r="AQ14" s="90"/>
      <c r="AR14" s="89"/>
      <c r="AS14" s="90"/>
    </row>
    <row r="15">
      <c r="A15" s="84">
        <v>17.0</v>
      </c>
      <c r="B15" s="85" t="str">
        <f t="array" ref="B15">IFerror(INDEX(Papers!C$2:C$995,MATCH($A15, Papers!$A$2:$A$995,0)),"")</f>
        <v>Tracking Health Seeking Behavior during an Ebola Outbreak via Mobile Phones and SMS</v>
      </c>
      <c r="C15" s="85" t="str">
        <f t="array" ref="C15">IFerror(INDEX(Papers!D$2:D$995,MATCH($A15, Papers!$A$2:$A$995,0)),"")</f>
        <v>Shuo Feng, Karen Grépin, and Rumi Chunara</v>
      </c>
      <c r="D15" s="86">
        <f t="array" ref="D15">IFerror(INDEX(Papers!F$2:F$995,MATCH($A15, Papers!$A$2:$A$995,0)),"")</f>
        <v>2018</v>
      </c>
      <c r="E15" s="59">
        <f t="array" ref="E15">IFerror(INDEX(Papers!G$2:G$995,MATCH($A15, Papers!$A$2:$A$995,0)),"")</f>
        <v>2015</v>
      </c>
      <c r="F15" s="68" t="s">
        <v>10</v>
      </c>
      <c r="G15" s="87"/>
      <c r="H15" s="88"/>
      <c r="I15" s="87"/>
      <c r="J15" s="88"/>
      <c r="K15" s="87"/>
      <c r="L15" s="88"/>
      <c r="M15" s="87"/>
      <c r="N15" s="88"/>
      <c r="O15" s="87" t="s">
        <v>19</v>
      </c>
      <c r="P15" s="88"/>
      <c r="Q15" s="87"/>
      <c r="R15" s="88"/>
      <c r="S15" s="87"/>
      <c r="T15" s="88"/>
      <c r="U15" s="87"/>
      <c r="V15" s="88"/>
      <c r="W15" s="87"/>
      <c r="X15" s="88"/>
      <c r="Y15" s="87"/>
      <c r="Z15" s="88"/>
      <c r="AA15" s="87"/>
      <c r="AB15" s="89"/>
      <c r="AC15" s="90"/>
      <c r="AD15" s="89"/>
      <c r="AE15" s="90"/>
      <c r="AF15" s="89"/>
      <c r="AG15" s="90"/>
      <c r="AH15" s="89"/>
      <c r="AI15" s="90"/>
      <c r="AJ15" s="89"/>
      <c r="AK15" s="90"/>
      <c r="AL15" s="89"/>
      <c r="AM15" s="90"/>
      <c r="AN15" s="89"/>
      <c r="AO15" s="90"/>
      <c r="AP15" s="89"/>
      <c r="AQ15" s="90"/>
      <c r="AR15" s="89"/>
      <c r="AS15" s="90"/>
    </row>
    <row r="16">
      <c r="A16" s="84">
        <v>18.0</v>
      </c>
      <c r="B16" s="85" t="str">
        <f t="array" ref="B16">IFerror(INDEX(Papers!C$2:C$995,MATCH($A16, Papers!$A$2:$A$995,0)),"")</f>
        <v>Using SMS Technology to Survey Low-Income Youth: Lessons from a Vocational Education Tracking Study in Kenya</v>
      </c>
      <c r="C16" s="85" t="str">
        <f t="array" ref="C16">IFerror(INDEX(Papers!D$2:D$995,MATCH($A16, Papers!$A$2:$A$995,0)),"")</f>
        <v>Charles Lau, Ehud Gachugu, Eric Johnson, and Leenisha Marks</v>
      </c>
      <c r="D16" s="86">
        <f t="array" ref="D16">IFerror(INDEX(Papers!F$2:F$995,MATCH($A16, Papers!$A$2:$A$995,0)),"")</f>
        <v>2018</v>
      </c>
      <c r="E16" s="59">
        <f t="array" ref="E16">IFerror(INDEX(Papers!G$2:G$995,MATCH($A16, Papers!$A$2:$A$995,0)),"")</f>
        <v>2017</v>
      </c>
      <c r="F16" s="68" t="s">
        <v>10</v>
      </c>
      <c r="G16" s="87"/>
      <c r="H16" s="88"/>
      <c r="I16" s="87"/>
      <c r="J16" s="88"/>
      <c r="K16" s="87"/>
      <c r="L16" s="88"/>
      <c r="M16" s="87"/>
      <c r="N16" s="88" t="s">
        <v>19</v>
      </c>
      <c r="O16" s="87"/>
      <c r="P16" s="88"/>
      <c r="Q16" s="87"/>
      <c r="R16" s="88"/>
      <c r="S16" s="87"/>
      <c r="T16" s="88"/>
      <c r="U16" s="87"/>
      <c r="V16" s="88"/>
      <c r="W16" s="87"/>
      <c r="X16" s="88"/>
      <c r="Y16" s="87"/>
      <c r="Z16" s="88"/>
      <c r="AA16" s="87"/>
      <c r="AB16" s="89"/>
      <c r="AC16" s="90"/>
      <c r="AD16" s="89"/>
      <c r="AE16" s="90"/>
      <c r="AF16" s="89"/>
      <c r="AG16" s="90"/>
      <c r="AH16" s="89"/>
      <c r="AI16" s="90"/>
      <c r="AJ16" s="89"/>
      <c r="AK16" s="90"/>
      <c r="AL16" s="89"/>
      <c r="AM16" s="90"/>
      <c r="AN16" s="89"/>
      <c r="AO16" s="90"/>
      <c r="AP16" s="89"/>
      <c r="AQ16" s="90"/>
      <c r="AR16" s="89"/>
      <c r="AS16" s="90"/>
    </row>
    <row r="17">
      <c r="A17" s="84">
        <v>19.0</v>
      </c>
      <c r="B17" s="85" t="str">
        <f t="array" ref="B17">IFerror(INDEX(Papers!C$2:C$995,MATCH($A17, Papers!$A$2:$A$995,0)),"")</f>
        <v>High Stakes, Low Resources: What Mode(s) Should Youth Employment Training Programs Use to Track Alumni? Evidence From South Africa</v>
      </c>
      <c r="C17" s="85" t="str">
        <f t="array" ref="C17">IFerror(INDEX(Papers!D$2:D$995,MATCH($A17, Papers!$A$2:$A$995,0)),"")</f>
        <v>Charles Lau, Eric Johnson, Ashley Amaya, Patricia LeBaron, and Herschel Sanders</v>
      </c>
      <c r="D17" s="86">
        <f t="array" ref="D17">IFerror(INDEX(Papers!F$2:F$995,MATCH($A17, Papers!$A$2:$A$995,0)),"")</f>
        <v>2018</v>
      </c>
      <c r="E17" s="59">
        <f t="array" ref="E17">IFerror(INDEX(Papers!G$2:G$995,MATCH($A17, Papers!$A$2:$A$995,0)),"")</f>
        <v>2018</v>
      </c>
      <c r="F17" s="68" t="s">
        <v>10</v>
      </c>
      <c r="G17" s="87"/>
      <c r="H17" s="88"/>
      <c r="I17" s="87"/>
      <c r="J17" s="88"/>
      <c r="K17" s="87"/>
      <c r="L17" s="88"/>
      <c r="M17" s="87"/>
      <c r="N17" s="88"/>
      <c r="O17" s="87"/>
      <c r="P17" s="88"/>
      <c r="Q17" s="87"/>
      <c r="R17" s="88"/>
      <c r="S17" s="87"/>
      <c r="T17" s="88"/>
      <c r="U17" s="87"/>
      <c r="V17" s="88"/>
      <c r="W17" s="87"/>
      <c r="X17" s="88"/>
      <c r="Y17" s="87"/>
      <c r="Z17" s="88"/>
      <c r="AA17" s="87"/>
      <c r="AB17" s="89"/>
      <c r="AC17" s="90"/>
      <c r="AD17" s="89"/>
      <c r="AE17" s="90"/>
      <c r="AF17" s="89"/>
      <c r="AG17" s="90"/>
      <c r="AH17" s="89"/>
      <c r="AI17" s="90"/>
      <c r="AJ17" s="89"/>
      <c r="AK17" s="90"/>
      <c r="AL17" s="89"/>
      <c r="AM17" s="90" t="s">
        <v>19</v>
      </c>
      <c r="AN17" s="89"/>
      <c r="AO17" s="90"/>
      <c r="AP17" s="89"/>
      <c r="AQ17" s="90"/>
      <c r="AR17" s="89"/>
      <c r="AS17" s="90"/>
    </row>
    <row r="18">
      <c r="A18" s="54">
        <v>19.0</v>
      </c>
      <c r="B18" s="85" t="str">
        <f t="array" ref="B18">IFerror(INDEX(Papers!C$2:C$995,MATCH($A18, Papers!$A$2:$A$995,0)),"")</f>
        <v>High Stakes, Low Resources: What Mode(s) Should Youth Employment Training Programs Use to Track Alumni? Evidence From South Africa</v>
      </c>
      <c r="C18" s="85" t="str">
        <f t="array" ref="C18">IFerror(INDEX(Papers!D$2:D$995,MATCH($A18, Papers!$A$2:$A$995,0)),"")</f>
        <v>Charles Lau, Eric Johnson, Ashley Amaya, Patricia LeBaron, and Herschel Sanders</v>
      </c>
      <c r="D18" s="86">
        <f t="array" ref="D18">IFerror(INDEX(Papers!F$2:F$995,MATCH($A18, Papers!$A$2:$A$995,0)),"")</f>
        <v>2018</v>
      </c>
      <c r="E18" s="59">
        <f t="array" ref="E18">IFerror(INDEX(Papers!G$2:G$995,MATCH($A18, Papers!$A$2:$A$995,0)),"")</f>
        <v>2018</v>
      </c>
      <c r="F18" s="24" t="s">
        <v>12</v>
      </c>
      <c r="G18" s="87"/>
      <c r="H18" s="88"/>
      <c r="I18" s="87"/>
      <c r="J18" s="88"/>
      <c r="K18" s="87"/>
      <c r="L18" s="88"/>
      <c r="M18" s="87"/>
      <c r="N18" s="88"/>
      <c r="O18" s="87"/>
      <c r="P18" s="88"/>
      <c r="Q18" s="87"/>
      <c r="R18" s="88"/>
      <c r="S18" s="87"/>
      <c r="T18" s="88"/>
      <c r="U18" s="87"/>
      <c r="V18" s="88"/>
      <c r="W18" s="87"/>
      <c r="X18" s="88"/>
      <c r="Y18" s="87"/>
      <c r="Z18" s="88"/>
      <c r="AA18" s="87"/>
      <c r="AB18" s="89"/>
      <c r="AC18" s="90"/>
      <c r="AD18" s="89"/>
      <c r="AE18" s="90"/>
      <c r="AF18" s="89"/>
      <c r="AG18" s="90"/>
      <c r="AH18" s="89"/>
      <c r="AI18" s="90"/>
      <c r="AJ18" s="89"/>
      <c r="AK18" s="90"/>
      <c r="AL18" s="89"/>
      <c r="AM18" s="90" t="s">
        <v>19</v>
      </c>
      <c r="AN18" s="89"/>
      <c r="AO18" s="90"/>
      <c r="AP18" s="89"/>
      <c r="AQ18" s="90"/>
      <c r="AR18" s="89"/>
      <c r="AS18" s="90"/>
    </row>
    <row r="19">
      <c r="A19" s="84">
        <v>20.0</v>
      </c>
      <c r="B19" s="85" t="str">
        <f t="array" ref="B19">IFerror(INDEX(Papers!C$2:C$995,MATCH($A19, Papers!$A$2:$A$995,0)),"")</f>
        <v>How Representative Are SMS Surveys in Africa? Experimental Evidence From Four Countries</v>
      </c>
      <c r="C19" s="85" t="str">
        <f t="array" ref="C19">IFerror(INDEX(Papers!D$2:D$995,MATCH($A19, Papers!$A$2:$A$995,0)),"")</f>
        <v>Charles Lau, Ansie Lombaard, Melissa Baker, Joe Eyerman, and Lisa Thalji</v>
      </c>
      <c r="D19" s="86">
        <f t="array" ref="D19">IFerror(INDEX(Papers!F$2:F$995,MATCH($A19, Papers!$A$2:$A$995,0)),"")</f>
        <v>2019</v>
      </c>
      <c r="E19" s="59">
        <f t="array" ref="E19">IFerror(INDEX(Papers!G$2:G$995,MATCH($A19, Papers!$A$2:$A$995,0)),"")</f>
        <v>2015</v>
      </c>
      <c r="F19" s="68" t="s">
        <v>10</v>
      </c>
      <c r="G19" s="87"/>
      <c r="H19" s="88"/>
      <c r="I19" s="87"/>
      <c r="J19" s="88"/>
      <c r="K19" s="87"/>
      <c r="L19" s="88" t="s">
        <v>19</v>
      </c>
      <c r="M19" s="87"/>
      <c r="N19" s="88" t="s">
        <v>19</v>
      </c>
      <c r="O19" s="87"/>
      <c r="P19" s="88"/>
      <c r="Q19" s="87"/>
      <c r="R19" s="88"/>
      <c r="S19" s="87"/>
      <c r="T19" s="88" t="s">
        <v>19</v>
      </c>
      <c r="U19" s="87"/>
      <c r="V19" s="88"/>
      <c r="W19" s="87"/>
      <c r="X19" s="88"/>
      <c r="Y19" s="87"/>
      <c r="Z19" s="88"/>
      <c r="AA19" s="87" t="s">
        <v>19</v>
      </c>
      <c r="AB19" s="89"/>
      <c r="AC19" s="90"/>
      <c r="AD19" s="89"/>
      <c r="AE19" s="90"/>
      <c r="AF19" s="89"/>
      <c r="AG19" s="90"/>
      <c r="AH19" s="89"/>
      <c r="AI19" s="90"/>
      <c r="AJ19" s="89"/>
      <c r="AK19" s="90"/>
      <c r="AL19" s="89"/>
      <c r="AM19" s="90"/>
      <c r="AN19" s="89"/>
      <c r="AO19" s="90"/>
      <c r="AP19" s="89"/>
      <c r="AQ19" s="90"/>
      <c r="AR19" s="89"/>
      <c r="AS19" s="90"/>
    </row>
    <row r="20">
      <c r="A20" s="84">
        <v>21.0</v>
      </c>
      <c r="B20" s="85" t="str">
        <f t="array" ref="B20">IFerror(INDEX(Papers!C$2:C$995,MATCH($A20, Papers!$A$2:$A$995,0)),"")</f>
        <v>Questionnaire Design in Short Message Service (SMS) Surveys</v>
      </c>
      <c r="C20" s="85" t="str">
        <f t="array" ref="C20">IFerror(INDEX(Papers!D$2:D$995,MATCH($A20, Papers!$A$2:$A$995,0)),"")</f>
        <v>Charles Lau, Herschel Sanders, and Ansie Lombaard</v>
      </c>
      <c r="D20" s="86">
        <f t="array" ref="D20">IFerror(INDEX(Papers!F$2:F$995,MATCH($A20, Papers!$A$2:$A$995,0)),"")</f>
        <v>2019</v>
      </c>
      <c r="E20" s="59">
        <f t="array" ref="E20">IFerror(INDEX(Papers!G$2:G$995,MATCH($A20, Papers!$A$2:$A$995,0)),"")</f>
        <v>2015</v>
      </c>
      <c r="F20" s="68" t="s">
        <v>10</v>
      </c>
      <c r="G20" s="87"/>
      <c r="H20" s="88"/>
      <c r="I20" s="87"/>
      <c r="J20" s="88"/>
      <c r="K20" s="87"/>
      <c r="L20" s="88"/>
      <c r="M20" s="87"/>
      <c r="N20" s="88"/>
      <c r="O20" s="87"/>
      <c r="P20" s="88"/>
      <c r="Q20" s="87"/>
      <c r="R20" s="88"/>
      <c r="S20" s="87"/>
      <c r="T20" s="88"/>
      <c r="U20" s="87"/>
      <c r="V20" s="88"/>
      <c r="W20" s="87"/>
      <c r="X20" s="88"/>
      <c r="Y20" s="87"/>
      <c r="Z20" s="88"/>
      <c r="AA20" s="87"/>
      <c r="AB20" s="89"/>
      <c r="AC20" s="90"/>
      <c r="AD20" s="89"/>
      <c r="AE20" s="90"/>
      <c r="AF20" s="89"/>
      <c r="AG20" s="90"/>
      <c r="AH20" s="89"/>
      <c r="AI20" s="90"/>
      <c r="AJ20" s="89"/>
      <c r="AK20" s="90"/>
      <c r="AL20" s="89"/>
      <c r="AM20" s="90"/>
      <c r="AN20" s="89"/>
      <c r="AO20" s="90"/>
      <c r="AP20" s="89"/>
      <c r="AQ20" s="90"/>
      <c r="AR20" s="89"/>
      <c r="AS20" s="90"/>
    </row>
    <row r="21">
      <c r="A21" s="84">
        <v>25.0</v>
      </c>
      <c r="B21" s="85" t="str">
        <f t="array" ref="B21">IFerror(INDEX(Papers!C$2:C$995,MATCH($A21, Papers!$A$2:$A$995,0)),"")</f>
        <v>Does mobile phone survey method matter? Reliability of computer-assisted telephone interviews and interactive voice response non-communicable diseases risk factor surveys in low and middle income countries</v>
      </c>
      <c r="C21" s="85" t="str">
        <f t="array" ref="C21">IFerror(INDEX(Papers!D$2:D$995,MATCH($A21, Papers!$A$2:$A$995,0)),"")</f>
        <v>George Pariyo, Abigail Greenleaf, Dustin Gibson, Joseph Ali, Hannah Selig, Alain Labrique, Ghlam Muhammed Al Kibria, Iqbal Ansary Khan, Honorati Masanja,Meerjady Sabrina Flora, Saifuddin Ahmed, Adnan Hyder</v>
      </c>
      <c r="D21" s="86">
        <f t="array" ref="D21">IFerror(INDEX(Papers!F$2:F$995,MATCH($A21, Papers!$A$2:$A$995,0)),"")</f>
        <v>2019</v>
      </c>
      <c r="E21" s="59">
        <f t="array" ref="E21">IFerror(INDEX(Papers!G$2:G$995,MATCH($A21, Papers!$A$2:$A$995,0)),"")</f>
        <v>2017</v>
      </c>
      <c r="F21" s="68" t="s">
        <v>11</v>
      </c>
      <c r="G21" s="87" t="s">
        <v>19</v>
      </c>
      <c r="H21" s="88"/>
      <c r="I21" s="87"/>
      <c r="J21" s="88"/>
      <c r="K21" s="87"/>
      <c r="L21" s="88"/>
      <c r="M21" s="87"/>
      <c r="N21" s="88"/>
      <c r="O21" s="87"/>
      <c r="P21" s="88"/>
      <c r="Q21" s="87"/>
      <c r="R21" s="88"/>
      <c r="S21" s="87"/>
      <c r="T21" s="88"/>
      <c r="U21" s="87"/>
      <c r="V21" s="88"/>
      <c r="W21" s="87"/>
      <c r="X21" s="88"/>
      <c r="Y21" s="87"/>
      <c r="Z21" s="88" t="s">
        <v>19</v>
      </c>
      <c r="AA21" s="87"/>
      <c r="AB21" s="89"/>
      <c r="AC21" s="90"/>
      <c r="AD21" s="89"/>
      <c r="AE21" s="90"/>
      <c r="AF21" s="89"/>
      <c r="AG21" s="90"/>
      <c r="AH21" s="89"/>
      <c r="AI21" s="90"/>
      <c r="AJ21" s="89"/>
      <c r="AK21" s="90"/>
      <c r="AL21" s="89"/>
      <c r="AM21" s="90"/>
      <c r="AN21" s="89"/>
      <c r="AO21" s="90"/>
      <c r="AP21" s="89"/>
      <c r="AQ21" s="90"/>
      <c r="AR21" s="89"/>
      <c r="AS21" s="90"/>
    </row>
    <row r="22">
      <c r="A22" s="84">
        <v>25.0</v>
      </c>
      <c r="B22" s="85" t="str">
        <f t="array" ref="B22">IFerror(INDEX(Papers!C$2:C$995,MATCH($A22, Papers!$A$2:$A$995,0)),"")</f>
        <v>Does mobile phone survey method matter? Reliability of computer-assisted telephone interviews and interactive voice response non-communicable diseases risk factor surveys in low and middle income countries</v>
      </c>
      <c r="C22" s="85" t="str">
        <f t="array" ref="C22">IFerror(INDEX(Papers!D$2:D$995,MATCH($A22, Papers!$A$2:$A$995,0)),"")</f>
        <v>George Pariyo, Abigail Greenleaf, Dustin Gibson, Joseph Ali, Hannah Selig, Alain Labrique, Ghlam Muhammed Al Kibria, Iqbal Ansary Khan, Honorati Masanja,Meerjady Sabrina Flora, Saifuddin Ahmed, Adnan Hyder</v>
      </c>
      <c r="D22" s="86">
        <f t="array" ref="D22">IFerror(INDEX(Papers!F$2:F$995,MATCH($A22, Papers!$A$2:$A$995,0)),"")</f>
        <v>2019</v>
      </c>
      <c r="E22" s="59">
        <f t="array" ref="E22">IFerror(INDEX(Papers!G$2:G$995,MATCH($A22, Papers!$A$2:$A$995,0)),"")</f>
        <v>2017</v>
      </c>
      <c r="F22" s="68" t="s">
        <v>9</v>
      </c>
      <c r="G22" s="87" t="s">
        <v>19</v>
      </c>
      <c r="H22" s="88"/>
      <c r="I22" s="87"/>
      <c r="J22" s="88"/>
      <c r="K22" s="87"/>
      <c r="L22" s="88"/>
      <c r="M22" s="87"/>
      <c r="N22" s="88"/>
      <c r="O22" s="87"/>
      <c r="P22" s="88"/>
      <c r="Q22" s="87"/>
      <c r="R22" s="88"/>
      <c r="S22" s="87"/>
      <c r="T22" s="88"/>
      <c r="U22" s="87"/>
      <c r="V22" s="88"/>
      <c r="W22" s="87"/>
      <c r="X22" s="88"/>
      <c r="Y22" s="87"/>
      <c r="Z22" s="88" t="s">
        <v>19</v>
      </c>
      <c r="AA22" s="87"/>
      <c r="AB22" s="89"/>
      <c r="AC22" s="90"/>
      <c r="AD22" s="89"/>
      <c r="AE22" s="90"/>
      <c r="AF22" s="89"/>
      <c r="AG22" s="90"/>
      <c r="AH22" s="89"/>
      <c r="AI22" s="90"/>
      <c r="AJ22" s="89"/>
      <c r="AK22" s="90"/>
      <c r="AL22" s="89"/>
      <c r="AM22" s="90"/>
      <c r="AN22" s="89"/>
      <c r="AO22" s="90"/>
      <c r="AP22" s="89"/>
      <c r="AQ22" s="90"/>
      <c r="AR22" s="89"/>
      <c r="AS22" s="90"/>
    </row>
    <row r="23">
      <c r="A23" s="84">
        <v>26.0</v>
      </c>
      <c r="B23" s="85" t="str">
        <f t="array" ref="B23">IFerror(INDEX(Papers!C$2:C$995,MATCH($A23, Papers!$A$2:$A$995,0)),"")</f>
        <v>Effect of airtime incentives on response and cooperation rates in non-communicable disease interactive voice response surveys: randomised controlled trials in Bangladesh and Uganda</v>
      </c>
      <c r="C23" s="85" t="str">
        <f t="array" ref="C23">IFerror(INDEX(Papers!D$2:D$995,MATCH($A23, Papers!$A$2:$A$995,0)),"")</f>
        <v>Dustin Gibson, Adaeze Wosu, George Pariyo, Saifuddin Ahmed, Joseph Ali, Alain Labrique, Iqbal Khan, Elizeus Rutebemberwa, Meerjady Flora, and Adnan Hyder. </v>
      </c>
      <c r="D23" s="86">
        <f t="array" ref="D23">IFerror(INDEX(Papers!F$2:F$995,MATCH($A23, Papers!$A$2:$A$995,0)),"")</f>
        <v>2019</v>
      </c>
      <c r="E23" s="59">
        <f t="array" ref="E23">IFerror(INDEX(Papers!G$2:G$995,MATCH($A23, Papers!$A$2:$A$995,0)),"")</f>
        <v>2017</v>
      </c>
      <c r="F23" s="68" t="s">
        <v>11</v>
      </c>
      <c r="G23" s="87" t="s">
        <v>19</v>
      </c>
      <c r="H23" s="88"/>
      <c r="I23" s="87"/>
      <c r="J23" s="88"/>
      <c r="K23" s="87"/>
      <c r="L23" s="88"/>
      <c r="M23" s="87"/>
      <c r="N23" s="88"/>
      <c r="O23" s="87"/>
      <c r="P23" s="88"/>
      <c r="Q23" s="87"/>
      <c r="R23" s="88"/>
      <c r="S23" s="87"/>
      <c r="T23" s="88"/>
      <c r="U23" s="87"/>
      <c r="V23" s="88"/>
      <c r="W23" s="87"/>
      <c r="X23" s="88"/>
      <c r="Y23" s="87"/>
      <c r="Z23" s="88"/>
      <c r="AA23" s="87" t="s">
        <v>19</v>
      </c>
      <c r="AB23" s="89"/>
      <c r="AC23" s="90"/>
      <c r="AD23" s="89"/>
      <c r="AE23" s="90"/>
      <c r="AF23" s="89"/>
      <c r="AG23" s="90"/>
      <c r="AH23" s="89"/>
      <c r="AI23" s="90"/>
      <c r="AJ23" s="89"/>
      <c r="AK23" s="90"/>
      <c r="AL23" s="89"/>
      <c r="AM23" s="90"/>
      <c r="AN23" s="89"/>
      <c r="AO23" s="90"/>
      <c r="AP23" s="89"/>
      <c r="AQ23" s="90"/>
      <c r="AR23" s="89"/>
      <c r="AS23" s="90"/>
    </row>
    <row r="24">
      <c r="A24" s="54">
        <v>27.0</v>
      </c>
      <c r="B24" s="85" t="str">
        <f t="array" ref="B24">IFerror(INDEX(Papers!C$2:C$995,MATCH($A24, Papers!$A$2:$A$995,0)),"")</f>
        <v>Practical Considerations with Using Mobile Phone Survey Incentives: Experiences in Ghana and Tanzania</v>
      </c>
      <c r="C24" s="85" t="str">
        <f t="array" ref="C24">IFerror(INDEX(Papers!D$2:D$995,MATCH($A24, Papers!$A$2:$A$995,0)),"")</f>
        <v>Brian Leo and Robert Morello</v>
      </c>
      <c r="D24" s="86">
        <f t="array" ref="D24">IFerror(INDEX(Papers!F$2:F$995,MATCH($A24, Papers!$A$2:$A$995,0)),"")</f>
        <v>2016</v>
      </c>
      <c r="E24" s="59">
        <f t="array" ref="E24">IFerror(INDEX(Papers!G$2:G$995,MATCH($A24, Papers!$A$2:$A$995,0)),"")</f>
        <v>2015</v>
      </c>
      <c r="F24" s="24" t="s">
        <v>10</v>
      </c>
      <c r="G24" s="87"/>
      <c r="H24" s="88"/>
      <c r="I24" s="87"/>
      <c r="J24" s="88"/>
      <c r="K24" s="87"/>
      <c r="L24" s="88" t="s">
        <v>19</v>
      </c>
      <c r="M24" s="87"/>
      <c r="N24" s="88"/>
      <c r="O24" s="87"/>
      <c r="P24" s="88"/>
      <c r="Q24" s="87"/>
      <c r="R24" s="88"/>
      <c r="S24" s="87"/>
      <c r="T24" s="88"/>
      <c r="U24" s="87"/>
      <c r="V24" s="88"/>
      <c r="W24" s="87"/>
      <c r="X24" s="88"/>
      <c r="Y24" s="87"/>
      <c r="Z24" s="88" t="s">
        <v>19</v>
      </c>
      <c r="AA24" s="87"/>
      <c r="AB24" s="89"/>
      <c r="AC24" s="90"/>
      <c r="AD24" s="89"/>
      <c r="AE24" s="90"/>
      <c r="AF24" s="89"/>
      <c r="AG24" s="90"/>
      <c r="AH24" s="89"/>
      <c r="AI24" s="90"/>
      <c r="AJ24" s="89"/>
      <c r="AK24" s="90"/>
      <c r="AL24" s="89"/>
      <c r="AM24" s="90"/>
      <c r="AN24" s="89"/>
      <c r="AO24" s="90"/>
      <c r="AP24" s="89"/>
      <c r="AQ24" s="90"/>
      <c r="AR24" s="89"/>
      <c r="AS24" s="90"/>
    </row>
    <row r="25">
      <c r="A25" s="92">
        <v>29.0</v>
      </c>
      <c r="B25" s="85" t="str">
        <f t="array" ref="B25">IFerror(INDEX(Papers!C$2:C$995,MATCH($A25, Papers!$A$2:$A$995,0)),"")</f>
        <v>Identifying Non-Working Phone Numbers for Response Rate Calculations in Africa</v>
      </c>
      <c r="C25" s="85" t="str">
        <f t="array" ref="C25">IFerror(INDEX(Papers!D$2:D$995,MATCH($A25, Papers!$A$2:$A$995,0)),"")</f>
        <v>Charles Lau and Nicolas di Tada</v>
      </c>
      <c r="D25" s="86">
        <f t="array" ref="D25">IFerror(INDEX(Papers!F$2:F$995,MATCH($A25, Papers!$A$2:$A$995,0)),"")</f>
        <v>2018</v>
      </c>
      <c r="E25" s="59">
        <f t="array" ref="E25">IFerror(INDEX(Papers!G$2:G$995,MATCH($A25, Papers!$A$2:$A$995,0)),"")</f>
        <v>2017</v>
      </c>
      <c r="F25" s="93" t="s">
        <v>9</v>
      </c>
      <c r="G25" s="87"/>
      <c r="H25" s="88"/>
      <c r="I25" s="87"/>
      <c r="J25" s="88"/>
      <c r="K25" s="87"/>
      <c r="L25" s="88" t="s">
        <v>19</v>
      </c>
      <c r="M25" s="87"/>
      <c r="N25" s="88"/>
      <c r="O25" s="87"/>
      <c r="P25" s="88"/>
      <c r="Q25" s="87"/>
      <c r="R25" s="88"/>
      <c r="S25" s="87"/>
      <c r="T25" s="88"/>
      <c r="U25" s="87"/>
      <c r="V25" s="88"/>
      <c r="W25" s="87"/>
      <c r="X25" s="88"/>
      <c r="Y25" s="87"/>
      <c r="Z25" s="88"/>
      <c r="AA25" s="87"/>
      <c r="AB25" s="89"/>
      <c r="AC25" s="90"/>
      <c r="AD25" s="89"/>
      <c r="AE25" s="90"/>
      <c r="AF25" s="89"/>
      <c r="AG25" s="90"/>
      <c r="AH25" s="89"/>
      <c r="AI25" s="90"/>
      <c r="AJ25" s="89"/>
      <c r="AK25" s="90"/>
      <c r="AL25" s="94"/>
      <c r="AM25" s="90"/>
      <c r="AN25" s="89"/>
      <c r="AO25" s="90"/>
      <c r="AP25" s="89"/>
      <c r="AQ25" s="90"/>
      <c r="AR25" s="89"/>
      <c r="AS25" s="90"/>
    </row>
    <row r="26">
      <c r="A26" s="84">
        <v>29.0</v>
      </c>
      <c r="B26" s="85" t="str">
        <f t="array" ref="B26">IFerror(INDEX(Papers!C$2:C$995,MATCH($A26, Papers!$A$2:$A$995,0)),"")</f>
        <v>Identifying Non-Working Phone Numbers for Response Rate Calculations in Africa</v>
      </c>
      <c r="C26" s="85" t="str">
        <f t="array" ref="C26">IFerror(INDEX(Papers!D$2:D$995,MATCH($A26, Papers!$A$2:$A$995,0)),"")</f>
        <v>Charles Lau and Nicolas di Tada</v>
      </c>
      <c r="D26" s="86">
        <f t="array" ref="D26">IFerror(INDEX(Papers!F$2:F$995,MATCH($A26, Papers!$A$2:$A$995,0)),"")</f>
        <v>2018</v>
      </c>
      <c r="E26" s="59">
        <f t="array" ref="E26">IFerror(INDEX(Papers!G$2:G$995,MATCH($A26, Papers!$A$2:$A$995,0)),"")</f>
        <v>2017</v>
      </c>
      <c r="F26" s="24" t="s">
        <v>11</v>
      </c>
      <c r="G26" s="87"/>
      <c r="H26" s="88"/>
      <c r="I26" s="87"/>
      <c r="J26" s="88"/>
      <c r="K26" s="87"/>
      <c r="L26" s="88"/>
      <c r="M26" s="87"/>
      <c r="N26" s="88"/>
      <c r="O26" s="87"/>
      <c r="P26" s="88"/>
      <c r="Q26" s="87"/>
      <c r="R26" s="88"/>
      <c r="S26" s="87"/>
      <c r="T26" s="88" t="s">
        <v>19</v>
      </c>
      <c r="U26" s="87"/>
      <c r="V26" s="88"/>
      <c r="W26" s="87"/>
      <c r="X26" s="88"/>
      <c r="Y26" s="87"/>
      <c r="Z26" s="88"/>
      <c r="AA26" s="87"/>
      <c r="AB26" s="89"/>
      <c r="AC26" s="90"/>
      <c r="AD26" s="89"/>
      <c r="AE26" s="90"/>
      <c r="AF26" s="89"/>
      <c r="AG26" s="90"/>
      <c r="AH26" s="89"/>
      <c r="AI26" s="90"/>
      <c r="AJ26" s="89"/>
      <c r="AK26" s="90"/>
      <c r="AL26" s="89"/>
      <c r="AM26" s="90"/>
      <c r="AN26" s="89"/>
      <c r="AO26" s="90"/>
      <c r="AP26" s="89"/>
      <c r="AQ26" s="90"/>
      <c r="AR26" s="89"/>
      <c r="AS26" s="90"/>
    </row>
    <row r="27">
      <c r="A27" s="84">
        <v>30.0</v>
      </c>
      <c r="B27" s="85" t="str">
        <f t="array" ref="B27">IFerror(INDEX(Papers!C$2:C$995,MATCH($A27, Papers!$A$2:$A$995,0)),"")</f>
        <v>The Use of Monetary Incentives to Reduce Nonresponse in Random Digit Dial Telephone Surveys</v>
      </c>
      <c r="C27" s="85" t="str">
        <f t="array" ref="C27">IFerror(INDEX(Papers!D$2:D$995,MATCH($A27, Papers!$A$2:$A$995,0)),"")</f>
        <v>David Cantor, Barbar O'Hare, and Kathleen O'Conner</v>
      </c>
      <c r="D27" s="86">
        <f t="array" ref="D27">IFerror(INDEX(Papers!F$2:F$995,MATCH($A27, Papers!$A$2:$A$995,0)),"")</f>
        <v>2007</v>
      </c>
      <c r="E27" s="59" t="str">
        <f t="array" ref="E27">IFerror(INDEX(Papers!G$2:G$995,MATCH($A27, Papers!$A$2:$A$995,0)),"")</f>
        <v>N/A</v>
      </c>
      <c r="F27" s="24" t="s">
        <v>9</v>
      </c>
      <c r="G27" s="87"/>
      <c r="H27" s="88"/>
      <c r="I27" s="87"/>
      <c r="J27" s="88"/>
      <c r="K27" s="87"/>
      <c r="L27" s="88"/>
      <c r="M27" s="87"/>
      <c r="N27" s="88"/>
      <c r="O27" s="87"/>
      <c r="P27" s="88"/>
      <c r="Q27" s="87"/>
      <c r="R27" s="88"/>
      <c r="S27" s="87"/>
      <c r="T27" s="88"/>
      <c r="U27" s="87"/>
      <c r="V27" s="88"/>
      <c r="W27" s="87"/>
      <c r="X27" s="88"/>
      <c r="Y27" s="87"/>
      <c r="Z27" s="88"/>
      <c r="AA27" s="87"/>
      <c r="AB27" s="89"/>
      <c r="AC27" s="90"/>
      <c r="AD27" s="89"/>
      <c r="AE27" s="90"/>
      <c r="AF27" s="89"/>
      <c r="AG27" s="90"/>
      <c r="AH27" s="89"/>
      <c r="AI27" s="90"/>
      <c r="AJ27" s="89"/>
      <c r="AK27" s="90"/>
      <c r="AL27" s="89"/>
      <c r="AM27" s="90"/>
      <c r="AN27" s="89"/>
      <c r="AO27" s="90"/>
      <c r="AP27" s="89"/>
      <c r="AQ27" s="90"/>
      <c r="AR27" s="89" t="s">
        <v>19</v>
      </c>
      <c r="AS27" s="90"/>
    </row>
    <row r="28">
      <c r="A28" s="84">
        <v>31.0</v>
      </c>
      <c r="B28" s="85" t="str">
        <f t="array" ref="B28">IFerror(INDEX(Papers!C$2:C$995,MATCH($A28, Papers!$A$2:$A$995,0)),"")</f>
        <v>The Use and Effects of Incentives in Surveys</v>
      </c>
      <c r="C28" s="85" t="str">
        <f t="array" ref="C28">IFerror(INDEX(Papers!D$2:D$995,MATCH($A28, Papers!$A$2:$A$995,0)),"")</f>
        <v>Eleanor Singer and Cong Ye</v>
      </c>
      <c r="D28" s="86">
        <f t="array" ref="D28">IFerror(INDEX(Papers!F$2:F$995,MATCH($A28, Papers!$A$2:$A$995,0)),"")</f>
        <v>2013</v>
      </c>
      <c r="E28" s="59" t="str">
        <f t="array" ref="E28">IFerror(INDEX(Papers!G$2:G$995,MATCH($A28, Papers!$A$2:$A$995,0)),"")</f>
        <v>N/A</v>
      </c>
      <c r="F28" s="95" t="s">
        <v>86</v>
      </c>
      <c r="G28" s="87"/>
      <c r="H28" s="88"/>
      <c r="I28" s="87"/>
      <c r="J28" s="88"/>
      <c r="K28" s="87"/>
      <c r="L28" s="88"/>
      <c r="M28" s="87"/>
      <c r="N28" s="88"/>
      <c r="O28" s="87"/>
      <c r="P28" s="88"/>
      <c r="Q28" s="87"/>
      <c r="R28" s="88"/>
      <c r="S28" s="87"/>
      <c r="T28" s="88"/>
      <c r="U28" s="87"/>
      <c r="V28" s="88"/>
      <c r="W28" s="87"/>
      <c r="X28" s="88"/>
      <c r="Y28" s="87"/>
      <c r="Z28" s="88"/>
      <c r="AA28" s="87"/>
      <c r="AB28" s="89"/>
      <c r="AC28" s="90"/>
      <c r="AD28" s="89"/>
      <c r="AE28" s="90"/>
      <c r="AF28" s="89"/>
      <c r="AG28" s="90"/>
      <c r="AH28" s="89"/>
      <c r="AI28" s="90"/>
      <c r="AJ28" s="89"/>
      <c r="AK28" s="90"/>
      <c r="AL28" s="89"/>
      <c r="AM28" s="90"/>
      <c r="AN28" s="89"/>
      <c r="AO28" s="90"/>
      <c r="AP28" s="89"/>
      <c r="AQ28" s="90"/>
      <c r="AR28" s="89"/>
      <c r="AS28" s="90"/>
    </row>
    <row r="29">
      <c r="A29" s="84">
        <v>33.0</v>
      </c>
      <c r="B29" s="85" t="str">
        <f t="array" ref="B29">IFerror(INDEX(Papers!C$2:C$995,MATCH($A29, Papers!$A$2:$A$995,0)),"")</f>
        <v>Large Monetary Incentives and their Effect on Mail Survey Response Rates</v>
      </c>
      <c r="C29" s="85" t="str">
        <f t="array" ref="C29">IFerror(INDEX(Papers!D$2:D$995,MATCH($A29, Papers!$A$2:$A$995,0)),"")</f>
        <v>Jeannine James and Richard Bolstein</v>
      </c>
      <c r="D29" s="86">
        <f t="array" ref="D29">IFerror(INDEX(Papers!F$2:F$995,MATCH($A29, Papers!$A$2:$A$995,0)),"")</f>
        <v>1992</v>
      </c>
      <c r="E29" s="59">
        <f t="array" ref="E29">IFerror(INDEX(Papers!G$2:G$995,MATCH($A29, Papers!$A$2:$A$995,0)),"")</f>
        <v>1991</v>
      </c>
      <c r="F29" s="24" t="s">
        <v>277</v>
      </c>
      <c r="G29" s="87"/>
      <c r="H29" s="88"/>
      <c r="I29" s="87"/>
      <c r="J29" s="88"/>
      <c r="K29" s="87"/>
      <c r="L29" s="88"/>
      <c r="M29" s="87"/>
      <c r="N29" s="88"/>
      <c r="O29" s="87"/>
      <c r="P29" s="88"/>
      <c r="Q29" s="87"/>
      <c r="R29" s="88"/>
      <c r="S29" s="87"/>
      <c r="T29" s="88"/>
      <c r="U29" s="87"/>
      <c r="V29" s="88"/>
      <c r="W29" s="87"/>
      <c r="X29" s="88"/>
      <c r="Y29" s="87"/>
      <c r="Z29" s="88"/>
      <c r="AA29" s="87"/>
      <c r="AB29" s="89"/>
      <c r="AC29" s="90"/>
      <c r="AD29" s="89"/>
      <c r="AE29" s="90"/>
      <c r="AF29" s="89"/>
      <c r="AG29" s="90"/>
      <c r="AH29" s="89"/>
      <c r="AI29" s="90"/>
      <c r="AJ29" s="89"/>
      <c r="AK29" s="90"/>
      <c r="AL29" s="89"/>
      <c r="AM29" s="90"/>
      <c r="AN29" s="89"/>
      <c r="AO29" s="90"/>
      <c r="AP29" s="89"/>
      <c r="AQ29" s="90"/>
      <c r="AR29" s="89" t="s">
        <v>19</v>
      </c>
      <c r="AS29" s="90"/>
    </row>
    <row r="30">
      <c r="A30" s="84">
        <v>35.0</v>
      </c>
      <c r="B30" s="85" t="str">
        <f t="array" ref="B30">IFerror(INDEX(Papers!C$2:C$995,MATCH($A30, Papers!$A$2:$A$995,0)),"")</f>
        <v>An Experimental Test of the Effects of Survey Sponsorship on Internet and Mail Survey Response</v>
      </c>
      <c r="C30" s="85" t="str">
        <f t="array" ref="C30">IFerror(INDEX(Papers!D$2:D$995,MATCH($A30, Papers!$A$2:$A$995,0)),"")</f>
        <v>Michelle Edwards, Don Dillman, Jolene Smyth</v>
      </c>
      <c r="D30" s="86">
        <f t="array" ref="D30">IFerror(INDEX(Papers!F$2:F$995,MATCH($A30, Papers!$A$2:$A$995,0)),"")</f>
        <v>2014</v>
      </c>
      <c r="E30" s="59">
        <f t="array" ref="E30">IFerror(INDEX(Papers!G$2:G$995,MATCH($A30, Papers!$A$2:$A$995,0)),"")</f>
        <v>2012</v>
      </c>
      <c r="F30" s="24" t="s">
        <v>277</v>
      </c>
      <c r="G30" s="87"/>
      <c r="H30" s="88"/>
      <c r="I30" s="87"/>
      <c r="J30" s="88"/>
      <c r="K30" s="87"/>
      <c r="L30" s="88"/>
      <c r="M30" s="87"/>
      <c r="N30" s="88"/>
      <c r="O30" s="87"/>
      <c r="P30" s="88"/>
      <c r="Q30" s="87"/>
      <c r="R30" s="88"/>
      <c r="S30" s="87"/>
      <c r="T30" s="88"/>
      <c r="U30" s="87"/>
      <c r="V30" s="88"/>
      <c r="W30" s="87"/>
      <c r="X30" s="88"/>
      <c r="Y30" s="87"/>
      <c r="Z30" s="88"/>
      <c r="AA30" s="87"/>
      <c r="AB30" s="89"/>
      <c r="AC30" s="90"/>
      <c r="AD30" s="89"/>
      <c r="AE30" s="90"/>
      <c r="AF30" s="89"/>
      <c r="AG30" s="90"/>
      <c r="AH30" s="89"/>
      <c r="AI30" s="90"/>
      <c r="AJ30" s="89"/>
      <c r="AK30" s="90"/>
      <c r="AL30" s="89"/>
      <c r="AM30" s="90"/>
      <c r="AN30" s="89"/>
      <c r="AO30" s="90"/>
      <c r="AP30" s="89"/>
      <c r="AQ30" s="90"/>
      <c r="AR30" s="89" t="s">
        <v>19</v>
      </c>
      <c r="AS30" s="90"/>
    </row>
    <row r="31">
      <c r="A31" s="84">
        <v>39.0</v>
      </c>
      <c r="B31" s="85" t="str">
        <f t="array" ref="B31">IFerror(INDEX(Papers!C$2:C$995,MATCH($A31, Papers!$A$2:$A$995,0)),"")</f>
        <v>Reducing Attrition in Phone Surveys</v>
      </c>
      <c r="C31" s="85" t="str">
        <f t="array" ref="C31">IFerror(INDEX(Papers!D$2:D$995,MATCH($A31, Papers!$A$2:$A$995,0)),"")</f>
        <v>Berk Ozler &amp; P. Facundo Cuevas</v>
      </c>
      <c r="D31" s="86">
        <f t="array" ref="D31">IFerror(INDEX(Papers!F$2:F$995,MATCH($A31, Papers!$A$2:$A$995,0)),"")</f>
        <v>2019</v>
      </c>
      <c r="E31" s="59">
        <f t="array" ref="E31">IFerror(INDEX(Papers!G$2:G$995,MATCH($A31, Papers!$A$2:$A$995,0)),"")</f>
        <v>2017</v>
      </c>
      <c r="F31" s="68" t="s">
        <v>278</v>
      </c>
      <c r="G31" s="87"/>
      <c r="H31" s="88"/>
      <c r="I31" s="87"/>
      <c r="J31" s="88"/>
      <c r="K31" s="87"/>
      <c r="L31" s="88"/>
      <c r="M31" s="87"/>
      <c r="N31" s="88"/>
      <c r="O31" s="87"/>
      <c r="P31" s="88"/>
      <c r="Q31" s="87"/>
      <c r="R31" s="88"/>
      <c r="S31" s="87"/>
      <c r="T31" s="88"/>
      <c r="U31" s="87"/>
      <c r="V31" s="88"/>
      <c r="W31" s="87"/>
      <c r="X31" s="88"/>
      <c r="Y31" s="87"/>
      <c r="Z31" s="88"/>
      <c r="AA31" s="87"/>
      <c r="AB31" s="89"/>
      <c r="AC31" s="90"/>
      <c r="AD31" s="89"/>
      <c r="AE31" s="90"/>
      <c r="AF31" s="89"/>
      <c r="AG31" s="90"/>
      <c r="AH31" s="89"/>
      <c r="AI31" s="90"/>
      <c r="AJ31" s="89"/>
      <c r="AK31" s="90"/>
      <c r="AL31" s="89"/>
      <c r="AM31" s="90"/>
      <c r="AN31" s="89"/>
      <c r="AO31" s="90"/>
      <c r="AP31" s="89"/>
      <c r="AQ31" s="90" t="s">
        <v>19</v>
      </c>
      <c r="AR31" s="89"/>
      <c r="AS31" s="90"/>
    </row>
    <row r="32">
      <c r="A32" s="84">
        <v>42.0</v>
      </c>
      <c r="B32" s="85" t="str">
        <f t="array" ref="B32">IFerror(INDEX(Papers!C$2:C$995,MATCH($A32, Papers!$A$2:$A$995,0)),"")</f>
        <v>A Qualitative Evaluation of the Acceptability of an Interactive Voice Response System to Enhance Adherence to Isoniazid Preventive Therapy Among People Living with HIV in Ethiopia</v>
      </c>
      <c r="C32" s="85" t="str">
        <f t="array" ref="C32">IFerror(INDEX(Papers!D$2:D$995,MATCH($A32, Papers!$A$2:$A$995,0)),"")</f>
        <v>Amrita Daftary, Yael Hirsch-Moverman, Getnet Kassie, Zenebe Melaku, Tsigereda Gadisa, Suzue Saito &amp; Andrea Howard </v>
      </c>
      <c r="D32" s="86">
        <f t="array" ref="D32">IFerror(INDEX(Papers!F$2:F$995,MATCH($A32, Papers!$A$2:$A$995,0)),"")</f>
        <v>2017</v>
      </c>
      <c r="E32" s="59">
        <f t="array" ref="E32">IFerror(INDEX(Papers!G$2:G$995,MATCH($A32, Papers!$A$2:$A$995,0)),"")</f>
        <v>2014</v>
      </c>
      <c r="F32" s="68" t="s">
        <v>11</v>
      </c>
      <c r="G32" s="87"/>
      <c r="H32" s="88"/>
      <c r="I32" s="87"/>
      <c r="J32" s="88"/>
      <c r="K32" s="87"/>
      <c r="L32" s="88"/>
      <c r="M32" s="87"/>
      <c r="N32" s="88"/>
      <c r="O32" s="87"/>
      <c r="P32" s="88"/>
      <c r="Q32" s="87"/>
      <c r="R32" s="88"/>
      <c r="S32" s="87"/>
      <c r="T32" s="88"/>
      <c r="U32" s="87"/>
      <c r="V32" s="88"/>
      <c r="W32" s="87"/>
      <c r="X32" s="88"/>
      <c r="Y32" s="87"/>
      <c r="Z32" s="88"/>
      <c r="AA32" s="87"/>
      <c r="AB32" s="89"/>
      <c r="AC32" s="90"/>
      <c r="AD32" s="89"/>
      <c r="AE32" s="90"/>
      <c r="AF32" s="89" t="s">
        <v>19</v>
      </c>
      <c r="AG32" s="90"/>
      <c r="AH32" s="89"/>
      <c r="AI32" s="90"/>
      <c r="AJ32" s="89"/>
      <c r="AK32" s="90"/>
      <c r="AL32" s="89"/>
      <c r="AM32" s="90"/>
      <c r="AN32" s="89"/>
      <c r="AO32" s="90"/>
      <c r="AP32" s="89"/>
      <c r="AQ32" s="90"/>
      <c r="AR32" s="89"/>
      <c r="AS32" s="90"/>
    </row>
    <row r="33">
      <c r="A33" s="84">
        <v>43.0</v>
      </c>
      <c r="B33" s="85" t="str">
        <f t="array" ref="B33">IFerror(INDEX(Papers!C$2:C$995,MATCH($A33, Papers!$A$2:$A$995,0)),"")</f>
        <v>Strengths and limitations of computer assisted telephone interviews (CATI) for nutrition data collection in rural Kenya</v>
      </c>
      <c r="C33" s="85" t="str">
        <f t="array" ref="C33">IFerror(INDEX(Papers!D$2:D$995,MATCH($A33, Papers!$A$2:$A$995,0)),"")</f>
        <v>Christine Lamanna, Kusum Hachhethu, Sabrina Chesterman, Gaurav Singhal, Beatrice Mwongela, Mary Ng’endo, Silvia Passeri et al.</v>
      </c>
      <c r="D33" s="86">
        <f t="array" ref="D33">IFerror(INDEX(Papers!F$2:F$995,MATCH($A33, Papers!$A$2:$A$995,0)),"")</f>
        <v>2019</v>
      </c>
      <c r="E33" s="59">
        <f t="array" ref="E33">IFerror(INDEX(Papers!G$2:G$995,MATCH($A33, Papers!$A$2:$A$995,0)),"")</f>
        <v>2016</v>
      </c>
      <c r="F33" s="68" t="s">
        <v>9</v>
      </c>
      <c r="G33" s="87"/>
      <c r="H33" s="88"/>
      <c r="I33" s="87"/>
      <c r="J33" s="88"/>
      <c r="K33" s="87"/>
      <c r="L33" s="88"/>
      <c r="M33" s="87"/>
      <c r="N33" s="88" t="s">
        <v>19</v>
      </c>
      <c r="O33" s="87"/>
      <c r="P33" s="88"/>
      <c r="Q33" s="87"/>
      <c r="R33" s="88"/>
      <c r="S33" s="87"/>
      <c r="T33" s="88"/>
      <c r="U33" s="87"/>
      <c r="V33" s="88"/>
      <c r="W33" s="87"/>
      <c r="X33" s="88"/>
      <c r="Y33" s="87"/>
      <c r="Z33" s="88"/>
      <c r="AA33" s="87"/>
      <c r="AB33" s="89"/>
      <c r="AC33" s="90"/>
      <c r="AD33" s="89"/>
      <c r="AE33" s="90"/>
      <c r="AF33" s="89"/>
      <c r="AG33" s="90"/>
      <c r="AH33" s="89"/>
      <c r="AI33" s="90"/>
      <c r="AJ33" s="89"/>
      <c r="AK33" s="90"/>
      <c r="AL33" s="89"/>
      <c r="AM33" s="90"/>
      <c r="AN33" s="89"/>
      <c r="AO33" s="90"/>
      <c r="AP33" s="89"/>
      <c r="AQ33" s="90"/>
      <c r="AR33" s="89"/>
      <c r="AS33" s="90"/>
    </row>
    <row r="34">
      <c r="A34" s="84">
        <v>44.0</v>
      </c>
      <c r="B34" s="85" t="str">
        <f t="array" ref="B34">IFerror(INDEX(Papers!C$2:C$995,MATCH($A34, Papers!$A$2:$A$995,0)),"")</f>
        <v>NCD Mobile Phone Survey in the Philippines</v>
      </c>
      <c r="C34" s="85" t="str">
        <f t="array" ref="C34">IFerror(INDEX(Papers!D$2:D$995,MATCH($A34, Papers!$A$2:$A$995,0)),"")</f>
        <v>Bloomberg Philanthropies Data for Health Initiative: NCD Mobile Phone Survey</v>
      </c>
      <c r="D34" s="86">
        <f t="array" ref="D34">IFerror(INDEX(Papers!F$2:F$995,MATCH($A34, Papers!$A$2:$A$995,0)),"")</f>
        <v>2020</v>
      </c>
      <c r="E34" s="59">
        <f t="array" ref="E34">IFerror(INDEX(Papers!G$2:G$995,MATCH($A34, Papers!$A$2:$A$995,0)),"")</f>
        <v>2018</v>
      </c>
      <c r="F34" s="68" t="s">
        <v>10</v>
      </c>
      <c r="G34" s="96"/>
      <c r="H34" s="97"/>
      <c r="I34" s="96"/>
      <c r="J34" s="97"/>
      <c r="K34" s="96"/>
      <c r="L34" s="97"/>
      <c r="M34" s="96"/>
      <c r="N34" s="97"/>
      <c r="O34" s="96"/>
      <c r="P34" s="97"/>
      <c r="Q34" s="96"/>
      <c r="R34" s="97"/>
      <c r="S34" s="96"/>
      <c r="T34" s="97"/>
      <c r="U34" s="96"/>
      <c r="V34" s="97"/>
      <c r="W34" s="96" t="s">
        <v>19</v>
      </c>
      <c r="X34" s="97"/>
      <c r="Y34" s="96"/>
      <c r="Z34" s="97"/>
      <c r="AA34" s="96"/>
      <c r="AB34" s="98"/>
      <c r="AC34" s="99"/>
      <c r="AD34" s="98"/>
      <c r="AE34" s="99"/>
      <c r="AF34" s="98"/>
      <c r="AG34" s="99"/>
      <c r="AH34" s="98"/>
      <c r="AI34" s="99"/>
      <c r="AJ34" s="98"/>
      <c r="AK34" s="99"/>
      <c r="AL34" s="98"/>
      <c r="AM34" s="99"/>
      <c r="AN34" s="98"/>
      <c r="AO34" s="99"/>
      <c r="AP34" s="98"/>
      <c r="AQ34" s="99"/>
      <c r="AR34" s="98"/>
      <c r="AS34" s="99"/>
    </row>
    <row r="35">
      <c r="A35" s="84">
        <v>45.0</v>
      </c>
      <c r="B35" s="85" t="str">
        <f t="array" ref="B35">IFerror(INDEX(Papers!C$2:C$995,MATCH($A35, Papers!$A$2:$A$995,0)),"")</f>
        <v>A mobile-based healthcare utilization assessment in rural Ghana</v>
      </c>
      <c r="C35" s="85" t="str">
        <f t="array" ref="C35">IFerror(INDEX(Papers!D$2:D$995,MATCH($A35, Papers!$A$2:$A$995,0)),"")</f>
        <v>Lara Vogel, Levi Goertz, Suhuyini Shani, Mark Boots, Louis Dorval, and N. Ewen Wang</v>
      </c>
      <c r="D35" s="86">
        <f t="array" ref="D35">IFerror(INDEX(Papers!F$2:F$995,MATCH($A35, Papers!$A$2:$A$995,0)),"")</f>
        <v>2016</v>
      </c>
      <c r="E35" s="59">
        <f t="array" ref="E35">IFerror(INDEX(Papers!G$2:G$995,MATCH($A35, Papers!$A$2:$A$995,0)),"")</f>
        <v>2014</v>
      </c>
      <c r="F35" s="68" t="s">
        <v>11</v>
      </c>
      <c r="G35" s="96"/>
      <c r="H35" s="97"/>
      <c r="I35" s="96"/>
      <c r="J35" s="97"/>
      <c r="K35" s="96"/>
      <c r="L35" s="97" t="s">
        <v>19</v>
      </c>
      <c r="M35" s="96"/>
      <c r="N35" s="97"/>
      <c r="O35" s="96"/>
      <c r="P35" s="97"/>
      <c r="Q35" s="96"/>
      <c r="R35" s="97"/>
      <c r="S35" s="96"/>
      <c r="T35" s="97"/>
      <c r="U35" s="96"/>
      <c r="V35" s="97"/>
      <c r="W35" s="96"/>
      <c r="X35" s="97"/>
      <c r="Y35" s="96"/>
      <c r="Z35" s="97"/>
      <c r="AA35" s="96"/>
      <c r="AB35" s="98"/>
      <c r="AC35" s="99"/>
      <c r="AD35" s="98"/>
      <c r="AE35" s="99"/>
      <c r="AF35" s="98"/>
      <c r="AG35" s="99"/>
      <c r="AH35" s="98"/>
      <c r="AI35" s="99"/>
      <c r="AJ35" s="98"/>
      <c r="AK35" s="99"/>
      <c r="AL35" s="98"/>
      <c r="AM35" s="99"/>
      <c r="AN35" s="98"/>
      <c r="AO35" s="99"/>
      <c r="AP35" s="98"/>
      <c r="AQ35" s="99"/>
      <c r="AR35" s="98"/>
      <c r="AS35" s="99"/>
    </row>
    <row r="36">
      <c r="A36" s="84">
        <v>46.0</v>
      </c>
      <c r="B36" s="85" t="str">
        <f t="array" ref="B36">IFerror(INDEX(Papers!C$2:C$995,MATCH($A36, Papers!$A$2:$A$995,0)),"")</f>
        <v>Building the Evidence Base for Remote Data Collection in Low- and Middle-Income Countries: Comparing Reliability and Accuracy Across Survey Modalities</v>
      </c>
      <c r="C36" s="85" t="str">
        <f t="array" ref="C36">IFerror(INDEX(Papers!D$2:D$995,MATCH($A36, Papers!$A$2:$A$995,0)),"")</f>
        <v>Abigail Greenleaf, Dustin Gibson, Christelle Khattar, Alain Labrique, George Pariyo </v>
      </c>
      <c r="D36" s="86">
        <f t="array" ref="D36">IFerror(INDEX(Papers!F$2:F$995,MATCH($A36, Papers!$A$2:$A$995,0)),"")</f>
        <v>2017</v>
      </c>
      <c r="E36" s="59" t="str">
        <f t="array" ref="E36">IFerror(INDEX(Papers!G$2:G$995,MATCH($A36, Papers!$A$2:$A$995,0)),"")</f>
        <v>N/A</v>
      </c>
      <c r="F36" s="100" t="s">
        <v>86</v>
      </c>
      <c r="G36" s="96"/>
      <c r="H36" s="97"/>
      <c r="I36" s="96"/>
      <c r="J36" s="97"/>
      <c r="K36" s="96"/>
      <c r="L36" s="97"/>
      <c r="M36" s="96"/>
      <c r="N36" s="97"/>
      <c r="O36" s="96"/>
      <c r="P36" s="97"/>
      <c r="Q36" s="96"/>
      <c r="R36" s="97"/>
      <c r="S36" s="96"/>
      <c r="T36" s="97"/>
      <c r="U36" s="96"/>
      <c r="V36" s="97"/>
      <c r="W36" s="96"/>
      <c r="X36" s="97"/>
      <c r="Y36" s="96"/>
      <c r="Z36" s="97"/>
      <c r="AA36" s="96"/>
      <c r="AB36" s="98"/>
      <c r="AC36" s="99"/>
      <c r="AD36" s="98"/>
      <c r="AE36" s="99"/>
      <c r="AF36" s="98"/>
      <c r="AG36" s="99"/>
      <c r="AH36" s="98"/>
      <c r="AI36" s="99"/>
      <c r="AJ36" s="98"/>
      <c r="AK36" s="99"/>
      <c r="AL36" s="98"/>
      <c r="AM36" s="99"/>
      <c r="AN36" s="98"/>
      <c r="AO36" s="99"/>
      <c r="AP36" s="98"/>
      <c r="AQ36" s="99"/>
      <c r="AR36" s="98"/>
      <c r="AS36" s="99"/>
    </row>
    <row r="37">
      <c r="A37" s="84">
        <v>47.0</v>
      </c>
      <c r="B37" s="85" t="str">
        <f t="array" ref="B37">IFerror(INDEX(Papers!C$2:C$995,MATCH($A37, Papers!$A$2:$A$995,0)),"")</f>
        <v>Listening to Tajikistan</v>
      </c>
      <c r="C37" s="85" t="str">
        <f t="array" ref="C37">IFerror(INDEX(Papers!D$2:D$995,MATCH($A37, Papers!$A$2:$A$995,0)),"")</f>
        <v>Chiara Broccolini, William Seitz, and Joao Pedro Azevedo</v>
      </c>
      <c r="D37" s="86">
        <f t="array" ref="D37">IFerror(INDEX(Papers!F$2:F$995,MATCH($A37, Papers!$A$2:$A$995,0)),"")</f>
        <v>2017</v>
      </c>
      <c r="E37" s="59">
        <f t="array" ref="E37">IFerror(INDEX(Papers!G$2:G$995,MATCH($A37, Papers!$A$2:$A$995,0)),"")</f>
        <v>2015</v>
      </c>
      <c r="F37" s="68" t="s">
        <v>9</v>
      </c>
      <c r="G37" s="96"/>
      <c r="H37" s="97"/>
      <c r="I37" s="96"/>
      <c r="J37" s="97"/>
      <c r="K37" s="96"/>
      <c r="L37" s="97"/>
      <c r="M37" s="96"/>
      <c r="N37" s="97"/>
      <c r="O37" s="96"/>
      <c r="P37" s="97"/>
      <c r="Q37" s="96"/>
      <c r="R37" s="97"/>
      <c r="S37" s="96"/>
      <c r="T37" s="97"/>
      <c r="U37" s="96"/>
      <c r="V37" s="97"/>
      <c r="W37" s="96"/>
      <c r="X37" s="97"/>
      <c r="Y37" s="96"/>
      <c r="Z37" s="97"/>
      <c r="AA37" s="96"/>
      <c r="AB37" s="98"/>
      <c r="AC37" s="99"/>
      <c r="AD37" s="98" t="s">
        <v>19</v>
      </c>
      <c r="AE37" s="99"/>
      <c r="AF37" s="98"/>
      <c r="AG37" s="99"/>
      <c r="AH37" s="98"/>
      <c r="AI37" s="99"/>
      <c r="AJ37" s="98"/>
      <c r="AK37" s="99"/>
      <c r="AL37" s="98"/>
      <c r="AM37" s="99"/>
      <c r="AN37" s="98"/>
      <c r="AO37" s="99" t="s">
        <v>19</v>
      </c>
      <c r="AP37" s="98"/>
      <c r="AQ37" s="99"/>
      <c r="AR37" s="98"/>
      <c r="AS37" s="99"/>
    </row>
    <row r="38">
      <c r="A38" s="84">
        <v>48.0</v>
      </c>
      <c r="B38" s="85" t="str">
        <f t="array" ref="B38">IFerror(INDEX(Papers!C$2:C$995,MATCH($A38, Papers!$A$2:$A$995,0)),"")</f>
        <v>Pre-Survey Text Messages (SMS) Improve Participation Rate in an Australian Mobile Telephone Survey: An Experimental Study.</v>
      </c>
      <c r="C38" s="85" t="str">
        <f t="array" ref="C38">IFerror(INDEX(Papers!D$2:D$995,MATCH($A38, Papers!$A$2:$A$995,0)),"")</f>
        <v>Eleanora Dal Grande, Catherine Chittleborough, Stefano Campostrini, Maureen Dollard, and Anne Taylor</v>
      </c>
      <c r="D38" s="86">
        <f t="array" ref="D38">IFerror(INDEX(Papers!F$2:F$995,MATCH($A38, Papers!$A$2:$A$995,0)),"")</f>
        <v>2016</v>
      </c>
      <c r="E38" s="59">
        <f t="array" ref="E38">IFerror(INDEX(Papers!G$2:G$995,MATCH($A38, Papers!$A$2:$A$995,0)),"")</f>
        <v>2014</v>
      </c>
      <c r="F38" s="68" t="s">
        <v>9</v>
      </c>
      <c r="G38" s="96"/>
      <c r="H38" s="97"/>
      <c r="I38" s="96"/>
      <c r="J38" s="97"/>
      <c r="K38" s="96"/>
      <c r="L38" s="97"/>
      <c r="M38" s="96"/>
      <c r="N38" s="97"/>
      <c r="O38" s="96"/>
      <c r="P38" s="97"/>
      <c r="Q38" s="96"/>
      <c r="R38" s="97"/>
      <c r="S38" s="96"/>
      <c r="T38" s="97"/>
      <c r="U38" s="96"/>
      <c r="V38" s="97"/>
      <c r="W38" s="96"/>
      <c r="X38" s="97"/>
      <c r="Y38" s="96"/>
      <c r="Z38" s="97"/>
      <c r="AA38" s="96"/>
      <c r="AB38" s="98"/>
      <c r="AC38" s="99"/>
      <c r="AD38" s="98"/>
      <c r="AE38" s="99"/>
      <c r="AF38" s="98"/>
      <c r="AG38" s="99"/>
      <c r="AH38" s="98"/>
      <c r="AI38" s="99"/>
      <c r="AJ38" s="98"/>
      <c r="AK38" s="99"/>
      <c r="AL38" s="98"/>
      <c r="AM38" s="99"/>
      <c r="AN38" s="98"/>
      <c r="AO38" s="99"/>
      <c r="AP38" s="98"/>
      <c r="AQ38" s="99"/>
      <c r="AR38" s="98"/>
      <c r="AS38" s="99"/>
    </row>
    <row r="39">
      <c r="A39" s="84">
        <v>49.0</v>
      </c>
      <c r="B39" s="85" t="str">
        <f t="array" ref="B39">IFerror(INDEX(Papers!C$2:C$995,MATCH($A39, Papers!$A$2:$A$995,0)),"")</f>
        <v>Evaluation of Gaining Cooperation Methods for IVR Surveys in Low- and Middle-income Countries</v>
      </c>
      <c r="C39" s="85" t="str">
        <f t="array" ref="C39">IFerror(INDEX(Papers!D$2:D$995,MATCH($A39, Papers!$A$2:$A$995,0)),"")</f>
        <v>Ashley Amaya, Charles Lau, Yaa Owusu-Amoah &amp; Jocelyn Light</v>
      </c>
      <c r="D39" s="86">
        <f t="array" ref="D39">IFerror(INDEX(Papers!F$2:F$995,MATCH($A39, Papers!$A$2:$A$995,0)),"")</f>
        <v>2018</v>
      </c>
      <c r="E39" s="59">
        <f t="array" ref="E39">IFerror(INDEX(Papers!G$2:G$995,MATCH($A39, Papers!$A$2:$A$995,0)),"")</f>
        <v>2015</v>
      </c>
      <c r="F39" s="68" t="s">
        <v>11</v>
      </c>
      <c r="G39" s="96"/>
      <c r="H39" s="97"/>
      <c r="I39" s="96"/>
      <c r="J39" s="97"/>
      <c r="K39" s="96"/>
      <c r="L39" s="97" t="s">
        <v>19</v>
      </c>
      <c r="M39" s="96"/>
      <c r="N39" s="97"/>
      <c r="O39" s="96"/>
      <c r="P39" s="97" t="s">
        <v>19</v>
      </c>
      <c r="Q39" s="96"/>
      <c r="R39" s="97"/>
      <c r="S39" s="96"/>
      <c r="T39" s="97" t="s">
        <v>19</v>
      </c>
      <c r="U39" s="96"/>
      <c r="V39" s="97"/>
      <c r="W39" s="96"/>
      <c r="X39" s="97"/>
      <c r="Y39" s="96"/>
      <c r="Z39" s="97"/>
      <c r="AA39" s="96"/>
      <c r="AB39" s="98"/>
      <c r="AC39" s="99"/>
      <c r="AD39" s="98"/>
      <c r="AE39" s="99"/>
      <c r="AF39" s="98"/>
      <c r="AG39" s="99"/>
      <c r="AH39" s="98"/>
      <c r="AI39" s="99"/>
      <c r="AJ39" s="98"/>
      <c r="AK39" s="99"/>
      <c r="AL39" s="98"/>
      <c r="AM39" s="99"/>
      <c r="AN39" s="98"/>
      <c r="AO39" s="99"/>
      <c r="AP39" s="98"/>
      <c r="AQ39" s="99"/>
      <c r="AR39" s="98"/>
      <c r="AS39" s="99"/>
    </row>
    <row r="40">
      <c r="A40" s="84">
        <v>50.0</v>
      </c>
      <c r="B40" s="85" t="str">
        <f t="array" ref="B40">IFerror(INDEX(Papers!C$2:C$995,MATCH($A40, Papers!$A$2:$A$995,0)),"")</f>
        <v>Evaluating a Modular Design Approach to Collecting Survey Data Using Text Messages</v>
      </c>
      <c r="C40" s="85" t="str">
        <f t="array" ref="C40">IFerror(INDEX(Papers!D$2:D$995,MATCH($A40, Papers!$A$2:$A$995,0)),"")</f>
        <v>Brady West, Dirgha Ghimire, and William Axinn</v>
      </c>
      <c r="D40" s="86">
        <f t="array" ref="D40">IFerror(INDEX(Papers!F$2:F$995,MATCH($A40, Papers!$A$2:$A$995,0)),"")</f>
        <v>2015</v>
      </c>
      <c r="E40" s="59">
        <f t="array" ref="E40">IFerror(INDEX(Papers!G$2:G$995,MATCH($A40, Papers!$A$2:$A$995,0)),"")</f>
        <v>2014</v>
      </c>
      <c r="F40" s="68" t="s">
        <v>10</v>
      </c>
      <c r="G40" s="96"/>
      <c r="H40" s="97"/>
      <c r="I40" s="96"/>
      <c r="J40" s="97"/>
      <c r="K40" s="96"/>
      <c r="L40" s="97"/>
      <c r="M40" s="96"/>
      <c r="N40" s="97"/>
      <c r="O40" s="96"/>
      <c r="P40" s="97"/>
      <c r="Q40" s="96"/>
      <c r="R40" s="97"/>
      <c r="S40" s="96"/>
      <c r="T40" s="97"/>
      <c r="U40" s="96"/>
      <c r="V40" s="97"/>
      <c r="W40" s="96"/>
      <c r="X40" s="97"/>
      <c r="Y40" s="96"/>
      <c r="Z40" s="97"/>
      <c r="AA40" s="96"/>
      <c r="AB40" s="98"/>
      <c r="AC40" s="99"/>
      <c r="AD40" s="98"/>
      <c r="AE40" s="99"/>
      <c r="AF40" s="98"/>
      <c r="AG40" s="99"/>
      <c r="AH40" s="98"/>
      <c r="AI40" s="99"/>
      <c r="AJ40" s="98"/>
      <c r="AK40" s="99" t="s">
        <v>19</v>
      </c>
      <c r="AL40" s="98"/>
      <c r="AM40" s="99"/>
      <c r="AN40" s="98"/>
      <c r="AO40" s="99"/>
      <c r="AP40" s="98"/>
      <c r="AQ40" s="99"/>
      <c r="AR40" s="98"/>
      <c r="AS40" s="99"/>
    </row>
    <row r="41">
      <c r="A41" s="84">
        <v>51.0</v>
      </c>
      <c r="B41" s="85" t="str">
        <f t="array" ref="B41">IFerror(INDEX(Papers!C$2:C$995,MATCH($A41, Papers!$A$2:$A$995,0)),"")</f>
        <v>Executive Summary: Zambia NCD Mobile Phone Survey 2017</v>
      </c>
      <c r="C41" s="85" t="str">
        <f t="array" ref="C41">IFerror(INDEX(Papers!D$2:D$995,MATCH($A41, Papers!$A$2:$A$995,0)),"")</f>
        <v>Bloomberg Philanthropies Data for Health Initiative: NCD Mobile Phone Survey</v>
      </c>
      <c r="D41" s="86">
        <f t="array" ref="D41">IFerror(INDEX(Papers!F$2:F$995,MATCH($A41, Papers!$A$2:$A$995,0)),"")</f>
        <v>2020</v>
      </c>
      <c r="E41" s="59">
        <f t="array" ref="E41">IFerror(INDEX(Papers!G$2:G$995,MATCH($A41, Papers!$A$2:$A$995,0)),"")</f>
        <v>2017</v>
      </c>
      <c r="F41" s="68" t="s">
        <v>10</v>
      </c>
      <c r="G41" s="96"/>
      <c r="H41" s="97"/>
      <c r="I41" s="96"/>
      <c r="J41" s="97"/>
      <c r="K41" s="96"/>
      <c r="L41" s="97"/>
      <c r="M41" s="96"/>
      <c r="N41" s="97"/>
      <c r="O41" s="96"/>
      <c r="P41" s="97"/>
      <c r="Q41" s="96"/>
      <c r="R41" s="97"/>
      <c r="S41" s="96"/>
      <c r="T41" s="97"/>
      <c r="U41" s="96"/>
      <c r="V41" s="97"/>
      <c r="W41" s="96"/>
      <c r="X41" s="97"/>
      <c r="Y41" s="96"/>
      <c r="Z41" s="97"/>
      <c r="AA41" s="96"/>
      <c r="AB41" s="98" t="s">
        <v>19</v>
      </c>
      <c r="AC41" s="99"/>
      <c r="AD41" s="98"/>
      <c r="AE41" s="99"/>
      <c r="AF41" s="98"/>
      <c r="AG41" s="99"/>
      <c r="AH41" s="98"/>
      <c r="AI41" s="99"/>
      <c r="AJ41" s="98"/>
      <c r="AK41" s="99"/>
      <c r="AL41" s="98"/>
      <c r="AM41" s="99"/>
      <c r="AN41" s="98"/>
      <c r="AO41" s="99"/>
      <c r="AP41" s="98"/>
      <c r="AQ41" s="99"/>
      <c r="AR41" s="98"/>
      <c r="AS41" s="99"/>
    </row>
    <row r="42">
      <c r="A42" s="84">
        <v>51.0</v>
      </c>
      <c r="B42" s="85" t="str">
        <f t="array" ref="B42">IFerror(INDEX(Papers!C$2:C$995,MATCH($A42, Papers!$A$2:$A$995,0)),"")</f>
        <v>Executive Summary: Zambia NCD Mobile Phone Survey 2017</v>
      </c>
      <c r="C42" s="85" t="str">
        <f t="array" ref="C42">IFerror(INDEX(Papers!D$2:D$995,MATCH($A42, Papers!$A$2:$A$995,0)),"")</f>
        <v>Bloomberg Philanthropies Data for Health Initiative: NCD Mobile Phone Survey</v>
      </c>
      <c r="D42" s="86">
        <f t="array" ref="D42">IFerror(INDEX(Papers!F$2:F$995,MATCH($A42, Papers!$A$2:$A$995,0)),"")</f>
        <v>2020</v>
      </c>
      <c r="E42" s="59">
        <f t="array" ref="E42">IFerror(INDEX(Papers!G$2:G$995,MATCH($A42, Papers!$A$2:$A$995,0)),"")</f>
        <v>2017</v>
      </c>
      <c r="F42" s="68" t="s">
        <v>11</v>
      </c>
      <c r="G42" s="96"/>
      <c r="H42" s="97"/>
      <c r="I42" s="96"/>
      <c r="J42" s="97"/>
      <c r="K42" s="96"/>
      <c r="L42" s="97"/>
      <c r="M42" s="96"/>
      <c r="N42" s="97"/>
      <c r="O42" s="96"/>
      <c r="P42" s="97"/>
      <c r="Q42" s="96"/>
      <c r="R42" s="97"/>
      <c r="S42" s="96"/>
      <c r="T42" s="97"/>
      <c r="U42" s="96"/>
      <c r="V42" s="97"/>
      <c r="W42" s="96"/>
      <c r="X42" s="97"/>
      <c r="Y42" s="96"/>
      <c r="Z42" s="97"/>
      <c r="AA42" s="96"/>
      <c r="AB42" s="98" t="s">
        <v>19</v>
      </c>
      <c r="AC42" s="99"/>
      <c r="AD42" s="98"/>
      <c r="AE42" s="99"/>
      <c r="AF42" s="98"/>
      <c r="AG42" s="99"/>
      <c r="AH42" s="98"/>
      <c r="AI42" s="99"/>
      <c r="AJ42" s="98"/>
      <c r="AK42" s="99"/>
      <c r="AL42" s="98"/>
      <c r="AM42" s="99"/>
      <c r="AN42" s="98"/>
      <c r="AO42" s="99"/>
      <c r="AP42" s="98"/>
      <c r="AQ42" s="99"/>
      <c r="AR42" s="98"/>
      <c r="AS42" s="99"/>
    </row>
    <row r="43">
      <c r="A43" s="84">
        <v>52.0</v>
      </c>
      <c r="B43" s="85" t="str">
        <f t="array" ref="B43">IFerror(INDEX(Papers!C$2:C$995,MATCH($A43, Papers!$A$2:$A$995,0)),"")</f>
        <v>Relying Solely On Mobile Phone Technology: Sampling And Gathering Survey Data In Challenging Settings</v>
      </c>
      <c r="C43" s="85" t="str">
        <f t="array" ref="C43">IFerror(INDEX(Papers!D$2:D$995,MATCH($A43, Papers!$A$2:$A$995,0)),"")</f>
        <v>Elisa Maffioli</v>
      </c>
      <c r="D43" s="86">
        <f t="array" ref="D43">IFerror(INDEX(Papers!F$2:F$995,MATCH($A43, Papers!$A$2:$A$995,0)),"")</f>
        <v>2019</v>
      </c>
      <c r="E43" s="59">
        <f t="array" ref="E43">IFerror(INDEX(Papers!G$2:G$995,MATCH($A43, Papers!$A$2:$A$995,0)),"")</f>
        <v>2015</v>
      </c>
      <c r="F43" s="68" t="s">
        <v>9</v>
      </c>
      <c r="G43" s="96"/>
      <c r="H43" s="97"/>
      <c r="I43" s="96"/>
      <c r="J43" s="97"/>
      <c r="K43" s="96"/>
      <c r="L43" s="97"/>
      <c r="M43" s="96" t="s">
        <v>19</v>
      </c>
      <c r="N43" s="97"/>
      <c r="O43" s="96"/>
      <c r="P43" s="97"/>
      <c r="Q43" s="96"/>
      <c r="R43" s="97"/>
      <c r="S43" s="96"/>
      <c r="T43" s="97"/>
      <c r="U43" s="96"/>
      <c r="V43" s="97"/>
      <c r="W43" s="96"/>
      <c r="X43" s="97"/>
      <c r="Y43" s="96"/>
      <c r="Z43" s="97"/>
      <c r="AA43" s="96"/>
      <c r="AB43" s="98"/>
      <c r="AC43" s="99"/>
      <c r="AD43" s="98"/>
      <c r="AE43" s="99"/>
      <c r="AF43" s="98"/>
      <c r="AG43" s="99"/>
      <c r="AH43" s="98"/>
      <c r="AI43" s="99"/>
      <c r="AJ43" s="98"/>
      <c r="AK43" s="99"/>
      <c r="AL43" s="98"/>
      <c r="AM43" s="99"/>
      <c r="AN43" s="98"/>
      <c r="AO43" s="99"/>
      <c r="AP43" s="98"/>
      <c r="AQ43" s="99"/>
      <c r="AR43" s="98"/>
      <c r="AS43" s="99"/>
    </row>
    <row r="44">
      <c r="A44" s="84">
        <v>52.0</v>
      </c>
      <c r="B44" s="85" t="str">
        <f t="array" ref="B44">IFerror(INDEX(Papers!C$2:C$995,MATCH($A44, Papers!$A$2:$A$995,0)),"")</f>
        <v>Relying Solely On Mobile Phone Technology: Sampling And Gathering Survey Data In Challenging Settings</v>
      </c>
      <c r="C44" s="85" t="str">
        <f t="array" ref="C44">IFerror(INDEX(Papers!D$2:D$995,MATCH($A44, Papers!$A$2:$A$995,0)),"")</f>
        <v>Elisa Maffioli</v>
      </c>
      <c r="D44" s="86">
        <f t="array" ref="D44">IFerror(INDEX(Papers!F$2:F$995,MATCH($A44, Papers!$A$2:$A$995,0)),"")</f>
        <v>2019</v>
      </c>
      <c r="E44" s="59">
        <f t="array" ref="E44">IFerror(INDEX(Papers!G$2:G$995,MATCH($A44, Papers!$A$2:$A$995,0)),"")</f>
        <v>2015</v>
      </c>
      <c r="F44" s="68" t="s">
        <v>11</v>
      </c>
      <c r="G44" s="96"/>
      <c r="H44" s="97"/>
      <c r="I44" s="96"/>
      <c r="J44" s="97"/>
      <c r="K44" s="96"/>
      <c r="L44" s="97"/>
      <c r="M44" s="96" t="s">
        <v>19</v>
      </c>
      <c r="N44" s="97"/>
      <c r="O44" s="96"/>
      <c r="P44" s="97"/>
      <c r="Q44" s="96"/>
      <c r="R44" s="97"/>
      <c r="S44" s="96"/>
      <c r="T44" s="97"/>
      <c r="U44" s="96"/>
      <c r="V44" s="97"/>
      <c r="W44" s="96"/>
      <c r="X44" s="97"/>
      <c r="Y44" s="96"/>
      <c r="Z44" s="97"/>
      <c r="AA44" s="96"/>
      <c r="AB44" s="98"/>
      <c r="AC44" s="99"/>
      <c r="AD44" s="98"/>
      <c r="AE44" s="99"/>
      <c r="AF44" s="98"/>
      <c r="AG44" s="99"/>
      <c r="AH44" s="98"/>
      <c r="AI44" s="99"/>
      <c r="AJ44" s="98"/>
      <c r="AK44" s="99"/>
      <c r="AL44" s="98"/>
      <c r="AM44" s="99"/>
      <c r="AN44" s="98"/>
      <c r="AO44" s="99"/>
      <c r="AP44" s="98"/>
      <c r="AQ44" s="99"/>
      <c r="AR44" s="98"/>
      <c r="AS44" s="99"/>
    </row>
    <row r="45">
      <c r="A45" s="84">
        <v>53.0</v>
      </c>
      <c r="B45" s="85" t="str">
        <f t="array" ref="B45">IFerror(INDEX(Papers!C$2:C$995,MATCH($A45, Papers!$A$2:$A$995,0)),"")</f>
        <v>Mozambique Mobile Access and Usage Study Computer-Assisted Telephone Interview (CATI) Survey Results</v>
      </c>
      <c r="C45" s="85" t="str">
        <f t="array" ref="C45">IFerror(INDEX(Papers!D$2:D$995,MATCH($A45, Papers!$A$2:$A$995,0)),"")</f>
        <v>Daan Velthausz, Rotafina Donco, Hannah Skelly and Marga Eichleay</v>
      </c>
      <c r="D45" s="86">
        <f t="array" ref="D45">IFerror(INDEX(Papers!F$2:F$995,MATCH($A45, Papers!$A$2:$A$995,0)),"")</f>
        <v>2016</v>
      </c>
      <c r="E45" s="59">
        <f t="array" ref="E45">IFerror(INDEX(Papers!G$2:G$995,MATCH($A45, Papers!$A$2:$A$995,0)),"")</f>
        <v>2016</v>
      </c>
      <c r="F45" s="68" t="s">
        <v>9</v>
      </c>
      <c r="G45" s="96"/>
      <c r="H45" s="97"/>
      <c r="I45" s="96"/>
      <c r="J45" s="97"/>
      <c r="K45" s="96"/>
      <c r="L45" s="97"/>
      <c r="M45" s="96"/>
      <c r="N45" s="97"/>
      <c r="O45" s="96"/>
      <c r="P45" s="97"/>
      <c r="Q45" s="96"/>
      <c r="R45" s="97"/>
      <c r="S45" s="96"/>
      <c r="T45" s="97"/>
      <c r="U45" s="96"/>
      <c r="V45" s="97"/>
      <c r="W45" s="96"/>
      <c r="X45" s="97"/>
      <c r="Y45" s="96"/>
      <c r="Z45" s="97"/>
      <c r="AA45" s="96"/>
      <c r="AB45" s="98"/>
      <c r="AC45" s="99"/>
      <c r="AD45" s="98"/>
      <c r="AE45" s="99"/>
      <c r="AF45" s="98"/>
      <c r="AG45" s="99"/>
      <c r="AH45" s="98"/>
      <c r="AI45" s="99"/>
      <c r="AJ45" s="98" t="s">
        <v>19</v>
      </c>
      <c r="AK45" s="99"/>
      <c r="AL45" s="98"/>
      <c r="AM45" s="99"/>
      <c r="AN45" s="98"/>
      <c r="AO45" s="99"/>
      <c r="AP45" s="98"/>
      <c r="AQ45" s="99"/>
      <c r="AR45" s="98"/>
      <c r="AS45" s="99"/>
    </row>
    <row r="46">
      <c r="A46" s="101">
        <v>55.0</v>
      </c>
      <c r="B46" s="85" t="str">
        <f t="array" ref="B46">IFerror(INDEX(Papers!C$2:C$995,MATCH($A46, Papers!$A$2:$A$995,0)),"")</f>
        <v>Feasibility of an interactive voice response system for monitoring depressive symptoms in a lower‑middle income Latin American country</v>
      </c>
      <c r="C46" s="85" t="str">
        <f t="array" ref="C46">IFerror(INDEX(Papers!D$2:D$995,MATCH($A46, Papers!$A$2:$A$995,0)),"")</f>
        <v>Mary Janevic, Amparo Aruquipa Yujra, Nicolle Marinec, Juvenal Aguilar, James Aikens, Rosa Tarrazona and John Piette</v>
      </c>
      <c r="D46" s="86">
        <f t="array" ref="D46">IFerror(INDEX(Papers!F$2:F$995,MATCH($A46, Papers!$A$2:$A$995,0)),"")</f>
        <v>2016</v>
      </c>
      <c r="E46" s="59">
        <f t="array" ref="E46">IFerror(INDEX(Papers!G$2:G$995,MATCH($A46, Papers!$A$2:$A$995,0)),"")</f>
        <v>2014</v>
      </c>
      <c r="F46" s="68" t="s">
        <v>11</v>
      </c>
      <c r="G46" s="96"/>
      <c r="H46" s="97" t="s">
        <v>19</v>
      </c>
      <c r="I46" s="96"/>
      <c r="J46" s="97"/>
      <c r="K46" s="96"/>
      <c r="L46" s="97"/>
      <c r="M46" s="96"/>
      <c r="N46" s="97"/>
      <c r="O46" s="96"/>
      <c r="P46" s="97"/>
      <c r="Q46" s="96"/>
      <c r="R46" s="97"/>
      <c r="S46" s="96"/>
      <c r="T46" s="97"/>
      <c r="U46" s="96"/>
      <c r="V46" s="97"/>
      <c r="W46" s="96"/>
      <c r="X46" s="97"/>
      <c r="Y46" s="96"/>
      <c r="Z46" s="97"/>
      <c r="AA46" s="96"/>
      <c r="AB46" s="98"/>
      <c r="AC46" s="99"/>
      <c r="AD46" s="98"/>
      <c r="AE46" s="99"/>
      <c r="AF46" s="98"/>
      <c r="AG46" s="99"/>
      <c r="AH46" s="98"/>
      <c r="AI46" s="99"/>
      <c r="AJ46" s="98"/>
      <c r="AK46" s="99"/>
      <c r="AL46" s="98"/>
      <c r="AM46" s="99"/>
      <c r="AN46" s="98"/>
      <c r="AO46" s="99"/>
      <c r="AP46" s="98"/>
      <c r="AQ46" s="99"/>
      <c r="AR46" s="98"/>
      <c r="AS46" s="99"/>
    </row>
    <row r="47">
      <c r="A47" s="101">
        <v>56.0</v>
      </c>
      <c r="B47" s="85" t="str">
        <f t="array" ref="B47">IFerror(INDEX(Papers!C$2:C$995,MATCH($A47, Papers!$A$2:$A$995,0)),"")</f>
        <v>Can Incentive Effects in Web Surveys be Generalized to Non-Western Countries? Conditional and Unconditional Cash Incentives in a Web Survey of Ghanaian University Students</v>
      </c>
      <c r="C47" s="85" t="str">
        <f t="array" ref="C47">IFerror(INDEX(Papers!D$2:D$995,MATCH($A47, Papers!$A$2:$A$995,0)),"")</f>
        <v>Bart Meuleman, Arnim Langer, Annelies Blom</v>
      </c>
      <c r="D47" s="86">
        <f t="array" ref="D47">IFerror(INDEX(Papers!F$2:F$995,MATCH($A47, Papers!$A$2:$A$995,0)),"")</f>
        <v>2018</v>
      </c>
      <c r="E47" s="59">
        <f t="array" ref="E47">IFerror(INDEX(Papers!G$2:G$995,MATCH($A47, Papers!$A$2:$A$995,0)),"")</f>
        <v>2014</v>
      </c>
      <c r="F47" s="68" t="s">
        <v>12</v>
      </c>
      <c r="G47" s="96"/>
      <c r="H47" s="97"/>
      <c r="I47" s="96"/>
      <c r="J47" s="97"/>
      <c r="K47" s="96"/>
      <c r="L47" s="97" t="s">
        <v>19</v>
      </c>
      <c r="M47" s="96"/>
      <c r="N47" s="97"/>
      <c r="O47" s="96"/>
      <c r="P47" s="97"/>
      <c r="Q47" s="96"/>
      <c r="R47" s="97"/>
      <c r="S47" s="96"/>
      <c r="T47" s="97"/>
      <c r="U47" s="96"/>
      <c r="V47" s="97"/>
      <c r="W47" s="96"/>
      <c r="X47" s="97"/>
      <c r="Y47" s="96"/>
      <c r="Z47" s="97"/>
      <c r="AA47" s="96"/>
      <c r="AB47" s="98"/>
      <c r="AC47" s="99"/>
      <c r="AD47" s="98"/>
      <c r="AE47" s="99"/>
      <c r="AF47" s="98"/>
      <c r="AG47" s="99"/>
      <c r="AH47" s="98"/>
      <c r="AI47" s="99"/>
      <c r="AJ47" s="98"/>
      <c r="AK47" s="99"/>
      <c r="AL47" s="98"/>
      <c r="AM47" s="99"/>
      <c r="AN47" s="98"/>
      <c r="AO47" s="99"/>
      <c r="AP47" s="98"/>
      <c r="AQ47" s="99"/>
      <c r="AR47" s="98"/>
      <c r="AS47" s="99"/>
    </row>
    <row r="48">
      <c r="A48" s="101">
        <v>57.0</v>
      </c>
      <c r="B48" s="85" t="str">
        <f t="array" ref="B48">IFerror(INDEX(Papers!C$2:C$995,MATCH($A48, Papers!$A$2:$A$995,0)),"")</f>
        <v>USAID Communicate for Health Mobile Cohort Study - Follow-up Survey 2018</v>
      </c>
      <c r="C48" s="85" t="str">
        <f t="array" ref="C48">IFerror(INDEX(Papers!D$2:D$995,MATCH($A48, Papers!$A$2:$A$995,0)),"")</f>
        <v>Nii Heward-Mills and Yaa Ama Owusu-Amoah</v>
      </c>
      <c r="D48" s="86">
        <f t="array" ref="D48">IFerror(INDEX(Papers!F$2:F$995,MATCH($A48, Papers!$A$2:$A$995,0)),"")</f>
        <v>2018</v>
      </c>
      <c r="E48" s="59">
        <f t="array" ref="E48">IFerror(INDEX(Papers!G$2:G$995,MATCH($A48, Papers!$A$2:$A$995,0)),"")</f>
        <v>2017</v>
      </c>
      <c r="F48" s="102" t="s">
        <v>9</v>
      </c>
      <c r="G48" s="96"/>
      <c r="H48" s="97"/>
      <c r="I48" s="96"/>
      <c r="J48" s="97"/>
      <c r="K48" s="96"/>
      <c r="L48" s="97" t="s">
        <v>19</v>
      </c>
      <c r="M48" s="96"/>
      <c r="N48" s="97"/>
      <c r="O48" s="96"/>
      <c r="P48" s="97"/>
      <c r="Q48" s="96"/>
      <c r="R48" s="97"/>
      <c r="S48" s="96"/>
      <c r="T48" s="97"/>
      <c r="U48" s="96"/>
      <c r="V48" s="97"/>
      <c r="W48" s="96"/>
      <c r="X48" s="97"/>
      <c r="Y48" s="96"/>
      <c r="Z48" s="97"/>
      <c r="AA48" s="96"/>
      <c r="AB48" s="98"/>
      <c r="AC48" s="99"/>
      <c r="AD48" s="98"/>
      <c r="AE48" s="99"/>
      <c r="AF48" s="98"/>
      <c r="AG48" s="99"/>
      <c r="AH48" s="98"/>
      <c r="AI48" s="99"/>
      <c r="AJ48" s="98"/>
      <c r="AK48" s="99"/>
      <c r="AL48" s="98"/>
      <c r="AM48" s="99"/>
      <c r="AN48" s="98"/>
      <c r="AO48" s="99"/>
      <c r="AP48" s="98"/>
      <c r="AQ48" s="99"/>
      <c r="AR48" s="98"/>
      <c r="AS48" s="99"/>
    </row>
    <row r="49">
      <c r="A49" s="101">
        <v>58.0</v>
      </c>
      <c r="B49" s="85" t="str">
        <f t="array" ref="B49">IFerror(INDEX(Papers!C$2:C$995,MATCH($A49, Papers!$A$2:$A$995,0)),"")</f>
        <v>Testing the validity and feasibility of using a mobile phone-based method to assess the strength of implementation of family planning programs in Malawi</v>
      </c>
      <c r="C49" s="85" t="str">
        <f t="array" ref="C49">IFerror(INDEX(Papers!D$2:D$995,MATCH($A49, Papers!$A$2:$A$995,0)),"")</f>
        <v>Anooj Pattnaik, Diwakar Mohan, Sam Chipokosa, Sautso Wachepa, Hans Katengeza, Amos Misomali &amp; Melissa A. Marx </v>
      </c>
      <c r="D49" s="86">
        <f t="array" ref="D49">IFerror(INDEX(Papers!F$2:F$995,MATCH($A49, Papers!$A$2:$A$995,0)),"")</f>
        <v>2020</v>
      </c>
      <c r="E49" s="59">
        <f t="array" ref="E49">IFerror(INDEX(Papers!G$2:G$995,MATCH($A49, Papers!$A$2:$A$995,0)),"")</f>
        <v>2017</v>
      </c>
      <c r="F49" s="102" t="s">
        <v>9</v>
      </c>
      <c r="G49" s="96"/>
      <c r="H49" s="97"/>
      <c r="I49" s="96"/>
      <c r="J49" s="97"/>
      <c r="K49" s="96"/>
      <c r="L49" s="97"/>
      <c r="M49" s="96"/>
      <c r="N49" s="97"/>
      <c r="O49" s="96"/>
      <c r="P49" s="97" t="s">
        <v>19</v>
      </c>
      <c r="Q49" s="96"/>
      <c r="R49" s="97"/>
      <c r="S49" s="96"/>
      <c r="T49" s="97"/>
      <c r="U49" s="96"/>
      <c r="V49" s="97"/>
      <c r="W49" s="96"/>
      <c r="X49" s="97"/>
      <c r="Y49" s="96"/>
      <c r="Z49" s="97"/>
      <c r="AA49" s="96"/>
      <c r="AB49" s="98"/>
      <c r="AC49" s="99"/>
      <c r="AD49" s="98"/>
      <c r="AE49" s="99"/>
      <c r="AF49" s="98"/>
      <c r="AG49" s="99"/>
      <c r="AH49" s="98"/>
      <c r="AI49" s="99"/>
      <c r="AJ49" s="98"/>
      <c r="AK49" s="99"/>
      <c r="AL49" s="98"/>
      <c r="AM49" s="99"/>
      <c r="AN49" s="98"/>
      <c r="AO49" s="99"/>
      <c r="AP49" s="98"/>
      <c r="AQ49" s="99"/>
      <c r="AR49" s="98"/>
      <c r="AS49" s="99"/>
    </row>
    <row r="50">
      <c r="A50" s="101">
        <v>59.0</v>
      </c>
      <c r="B50" s="85" t="str">
        <f t="array" ref="B50">IFerror(INDEX(Papers!C$2:C$995,MATCH($A50, Papers!$A$2:$A$995,0)),"")</f>
        <v>Using mobile phones to collect panel data in developing countries</v>
      </c>
      <c r="C50" s="85" t="str">
        <f t="array" ref="C50">IFerror(INDEX(Papers!D$2:D$995,MATCH($A50, Papers!$A$2:$A$995,0)),"")</f>
        <v>Brian Dillon</v>
      </c>
      <c r="D50" s="86">
        <f t="array" ref="D50">IFerror(INDEX(Papers!F$2:F$995,MATCH($A50, Papers!$A$2:$A$995,0)),"")</f>
        <v>2012</v>
      </c>
      <c r="E50" s="59">
        <f t="array" ref="E50">IFerror(INDEX(Papers!G$2:G$995,MATCH($A50, Papers!$A$2:$A$995,0)),"")</f>
        <v>2009</v>
      </c>
      <c r="F50" s="102" t="s">
        <v>9</v>
      </c>
      <c r="G50" s="96"/>
      <c r="H50" s="97"/>
      <c r="I50" s="96"/>
      <c r="J50" s="97"/>
      <c r="K50" s="96"/>
      <c r="L50" s="97"/>
      <c r="M50" s="96"/>
      <c r="N50" s="97"/>
      <c r="O50" s="96"/>
      <c r="P50" s="97"/>
      <c r="Q50" s="96"/>
      <c r="R50" s="97"/>
      <c r="S50" s="96"/>
      <c r="T50" s="97"/>
      <c r="U50" s="96"/>
      <c r="V50" s="97"/>
      <c r="W50" s="96"/>
      <c r="X50" s="97"/>
      <c r="Y50" s="96"/>
      <c r="Z50" s="97" t="s">
        <v>19</v>
      </c>
      <c r="AA50" s="96"/>
      <c r="AB50" s="98"/>
      <c r="AC50" s="99"/>
      <c r="AD50" s="98"/>
      <c r="AE50" s="99"/>
      <c r="AF50" s="98"/>
      <c r="AG50" s="99"/>
      <c r="AH50" s="98"/>
      <c r="AI50" s="99"/>
      <c r="AJ50" s="98"/>
      <c r="AK50" s="99"/>
      <c r="AL50" s="98"/>
      <c r="AM50" s="99"/>
      <c r="AN50" s="98"/>
      <c r="AO50" s="99"/>
      <c r="AP50" s="98"/>
      <c r="AQ50" s="99"/>
      <c r="AR50" s="98"/>
      <c r="AS50" s="99"/>
    </row>
    <row r="51">
      <c r="A51" s="101">
        <v>60.0</v>
      </c>
      <c r="B51" s="85" t="str">
        <f t="array" ref="B51">IFerror(INDEX(Papers!C$2:C$995,MATCH($A51, Papers!$A$2:$A$995,0)),"")</f>
        <v>Not your average job: Measuring farm labor in Tanzania</v>
      </c>
      <c r="C51" s="85" t="str">
        <f t="array" ref="C51">IFerror(INDEX(Papers!D$2:D$995,MATCH($A51, Papers!$A$2:$A$995,0)),"")</f>
        <v>Vellore Arthi, Kathleen Beegle,Joachim De Weerdt, Amparo Palacios-López</v>
      </c>
      <c r="D51" s="86">
        <f t="array" ref="D51">IFerror(INDEX(Papers!F$2:F$995,MATCH($A51, Papers!$A$2:$A$995,0)),"")</f>
        <v>2018</v>
      </c>
      <c r="E51" s="59">
        <f t="array" ref="E51">IFerror(INDEX(Papers!G$2:G$995,MATCH($A51, Papers!$A$2:$A$995,0)),"")</f>
        <v>2014</v>
      </c>
      <c r="F51" s="102" t="s">
        <v>9</v>
      </c>
      <c r="G51" s="96"/>
      <c r="H51" s="97"/>
      <c r="I51" s="96"/>
      <c r="J51" s="97"/>
      <c r="K51" s="96"/>
      <c r="L51" s="97"/>
      <c r="M51" s="96"/>
      <c r="N51" s="97"/>
      <c r="O51" s="96"/>
      <c r="P51" s="97"/>
      <c r="Q51" s="96"/>
      <c r="R51" s="97"/>
      <c r="S51" s="96"/>
      <c r="T51" s="97"/>
      <c r="U51" s="96"/>
      <c r="V51" s="97"/>
      <c r="W51" s="96"/>
      <c r="X51" s="97"/>
      <c r="Y51" s="96"/>
      <c r="Z51" s="97" t="s">
        <v>19</v>
      </c>
      <c r="AA51" s="96"/>
      <c r="AB51" s="98"/>
      <c r="AC51" s="99"/>
      <c r="AD51" s="98"/>
      <c r="AE51" s="99"/>
      <c r="AF51" s="98"/>
      <c r="AG51" s="99"/>
      <c r="AH51" s="98"/>
      <c r="AI51" s="99"/>
      <c r="AJ51" s="98"/>
      <c r="AK51" s="99"/>
      <c r="AL51" s="98"/>
      <c r="AM51" s="99"/>
      <c r="AN51" s="98"/>
      <c r="AO51" s="99"/>
      <c r="AP51" s="98"/>
      <c r="AQ51" s="99"/>
      <c r="AR51" s="98"/>
      <c r="AS51" s="99"/>
    </row>
    <row r="52">
      <c r="A52" s="101">
        <v>61.0</v>
      </c>
      <c r="B52" s="85" t="str">
        <f t="array" ref="B52">IFerror(INDEX(Papers!C$2:C$995,MATCH($A52, Papers!$A$2:$A$995,0)),"")</f>
        <v>Using mobile phones for high-frequency data collection</v>
      </c>
      <c r="C52" s="85" t="str">
        <f t="array" ref="C52">IFerror(INDEX(Papers!D$2:D$995,MATCH($A52, Papers!$A$2:$A$995,0)),"")</f>
        <v>Amparo Ballivian, Joao Pedro Azevedo, Will Durbin</v>
      </c>
      <c r="D52" s="86">
        <f t="array" ref="D52">IFerror(INDEX(Papers!F$2:F$995,MATCH($A52, Papers!$A$2:$A$995,0)),"")</f>
        <v>2015</v>
      </c>
      <c r="E52" s="59">
        <f t="array" ref="E52">IFerror(INDEX(Papers!G$2:G$995,MATCH($A52, Papers!$A$2:$A$995,0)),"")</f>
        <v>2012</v>
      </c>
      <c r="F52" s="102" t="s">
        <v>9</v>
      </c>
      <c r="G52" s="96"/>
      <c r="H52" s="97"/>
      <c r="I52" s="96"/>
      <c r="J52" s="97"/>
      <c r="K52" s="96"/>
      <c r="L52" s="97"/>
      <c r="M52" s="96"/>
      <c r="N52" s="97"/>
      <c r="O52" s="96"/>
      <c r="P52" s="97"/>
      <c r="Q52" s="96"/>
      <c r="R52" s="97"/>
      <c r="S52" s="96"/>
      <c r="T52" s="97"/>
      <c r="U52" s="96"/>
      <c r="V52" s="97" t="s">
        <v>19</v>
      </c>
      <c r="W52" s="96"/>
      <c r="X52" s="97"/>
      <c r="Y52" s="96"/>
      <c r="Z52" s="97"/>
      <c r="AA52" s="96"/>
      <c r="AB52" s="98"/>
      <c r="AC52" s="99"/>
      <c r="AD52" s="98"/>
      <c r="AE52" s="99"/>
      <c r="AF52" s="98"/>
      <c r="AG52" s="99" t="s">
        <v>19</v>
      </c>
      <c r="AH52" s="98"/>
      <c r="AI52" s="99"/>
      <c r="AJ52" s="98"/>
      <c r="AK52" s="99"/>
      <c r="AL52" s="98"/>
      <c r="AM52" s="99"/>
      <c r="AN52" s="98"/>
      <c r="AO52" s="99"/>
      <c r="AP52" s="98"/>
      <c r="AQ52" s="99"/>
      <c r="AR52" s="98"/>
      <c r="AS52" s="99"/>
    </row>
    <row r="53">
      <c r="A53" s="101">
        <v>61.0</v>
      </c>
      <c r="B53" s="85" t="str">
        <f t="array" ref="B53">IFerror(INDEX(Papers!C$2:C$995,MATCH($A53, Papers!$A$2:$A$995,0)),"")</f>
        <v>Using mobile phones for high-frequency data collection</v>
      </c>
      <c r="C53" s="85" t="str">
        <f t="array" ref="C53">IFerror(INDEX(Papers!D$2:D$995,MATCH($A53, Papers!$A$2:$A$995,0)),"")</f>
        <v>Amparo Ballivian, Joao Pedro Azevedo, Will Durbin</v>
      </c>
      <c r="D53" s="86">
        <f t="array" ref="D53">IFerror(INDEX(Papers!F$2:F$995,MATCH($A53, Papers!$A$2:$A$995,0)),"")</f>
        <v>2015</v>
      </c>
      <c r="E53" s="59">
        <f t="array" ref="E53">IFerror(INDEX(Papers!G$2:G$995,MATCH($A53, Papers!$A$2:$A$995,0)),"")</f>
        <v>2012</v>
      </c>
      <c r="F53" s="102" t="s">
        <v>11</v>
      </c>
      <c r="G53" s="96"/>
      <c r="H53" s="97"/>
      <c r="I53" s="96"/>
      <c r="J53" s="97"/>
      <c r="K53" s="96"/>
      <c r="L53" s="97"/>
      <c r="M53" s="96"/>
      <c r="N53" s="97"/>
      <c r="O53" s="96"/>
      <c r="P53" s="97"/>
      <c r="Q53" s="96"/>
      <c r="R53" s="97"/>
      <c r="S53" s="96"/>
      <c r="T53" s="97"/>
      <c r="U53" s="96"/>
      <c r="V53" s="97" t="s">
        <v>19</v>
      </c>
      <c r="W53" s="96"/>
      <c r="X53" s="97"/>
      <c r="Y53" s="96"/>
      <c r="Z53" s="97"/>
      <c r="AA53" s="96"/>
      <c r="AB53" s="98"/>
      <c r="AC53" s="99"/>
      <c r="AD53" s="98"/>
      <c r="AE53" s="99"/>
      <c r="AF53" s="98"/>
      <c r="AG53" s="99" t="s">
        <v>19</v>
      </c>
      <c r="AH53" s="98"/>
      <c r="AI53" s="99"/>
      <c r="AJ53" s="98"/>
      <c r="AK53" s="99"/>
      <c r="AL53" s="98"/>
      <c r="AM53" s="99"/>
      <c r="AN53" s="98"/>
      <c r="AO53" s="99"/>
      <c r="AP53" s="98"/>
      <c r="AQ53" s="99"/>
      <c r="AR53" s="98"/>
      <c r="AS53" s="99"/>
    </row>
    <row r="54">
      <c r="A54" s="101">
        <v>61.0</v>
      </c>
      <c r="B54" s="85" t="str">
        <f t="array" ref="B54">IFerror(INDEX(Papers!C$2:C$995,MATCH($A54, Papers!$A$2:$A$995,0)),"")</f>
        <v>Using mobile phones for high-frequency data collection</v>
      </c>
      <c r="C54" s="85" t="str">
        <f t="array" ref="C54">IFerror(INDEX(Papers!D$2:D$995,MATCH($A54, Papers!$A$2:$A$995,0)),"")</f>
        <v>Amparo Ballivian, Joao Pedro Azevedo, Will Durbin</v>
      </c>
      <c r="D54" s="86">
        <f t="array" ref="D54">IFerror(INDEX(Papers!F$2:F$995,MATCH($A54, Papers!$A$2:$A$995,0)),"")</f>
        <v>2015</v>
      </c>
      <c r="E54" s="59">
        <f t="array" ref="E54">IFerror(INDEX(Papers!G$2:G$995,MATCH($A54, Papers!$A$2:$A$995,0)),"")</f>
        <v>2012</v>
      </c>
      <c r="F54" s="102" t="s">
        <v>10</v>
      </c>
      <c r="G54" s="96"/>
      <c r="H54" s="97"/>
      <c r="I54" s="96"/>
      <c r="J54" s="97"/>
      <c r="K54" s="96"/>
      <c r="L54" s="97"/>
      <c r="M54" s="96"/>
      <c r="N54" s="97"/>
      <c r="O54" s="96"/>
      <c r="P54" s="97"/>
      <c r="Q54" s="96"/>
      <c r="R54" s="97"/>
      <c r="S54" s="96"/>
      <c r="T54" s="97"/>
      <c r="U54" s="96"/>
      <c r="V54" s="97" t="s">
        <v>19</v>
      </c>
      <c r="W54" s="96"/>
      <c r="X54" s="97"/>
      <c r="Y54" s="96"/>
      <c r="Z54" s="97"/>
      <c r="AA54" s="96"/>
      <c r="AB54" s="98"/>
      <c r="AC54" s="99"/>
      <c r="AD54" s="98"/>
      <c r="AE54" s="99"/>
      <c r="AF54" s="98"/>
      <c r="AG54" s="99" t="s">
        <v>19</v>
      </c>
      <c r="AH54" s="98"/>
      <c r="AI54" s="99"/>
      <c r="AJ54" s="98"/>
      <c r="AK54" s="99"/>
      <c r="AL54" s="98"/>
      <c r="AM54" s="99"/>
      <c r="AN54" s="98"/>
      <c r="AO54" s="99"/>
      <c r="AP54" s="98"/>
      <c r="AQ54" s="99"/>
      <c r="AR54" s="98"/>
      <c r="AS54" s="99"/>
    </row>
    <row r="55">
      <c r="A55" s="101">
        <v>62.0</v>
      </c>
      <c r="B55" s="85" t="str">
        <f t="array" ref="B55">IFerror(INDEX(Papers!C$2:C$995,MATCH($A55, Papers!$A$2:$A$995,0)),"")</f>
        <v>Cell phone and face-to-face interview responses in population-based surveys: how do they compare? </v>
      </c>
      <c r="C55" s="85" t="str">
        <f t="array" ref="C55">IFerror(INDEX(Papers!D$2:D$995,MATCH($A55, Papers!$A$2:$A$995,0)),"")</f>
        <v>Ziyad Mahfoud, Lilian Ghandour, Blanche Ghandour, Ali Mokdad, and Abla Sibai</v>
      </c>
      <c r="D55" s="86">
        <f t="array" ref="D55">IFerror(INDEX(Papers!F$2:F$995,MATCH($A55, Papers!$A$2:$A$995,0)),"")</f>
        <v>2014</v>
      </c>
      <c r="E55" s="59">
        <f t="array" ref="E55">IFerror(INDEX(Papers!G$2:G$995,MATCH($A55, Papers!$A$2:$A$995,0)),"")</f>
        <v>2010</v>
      </c>
      <c r="F55" s="102" t="s">
        <v>9</v>
      </c>
      <c r="G55" s="96"/>
      <c r="H55" s="97"/>
      <c r="I55" s="96"/>
      <c r="J55" s="97"/>
      <c r="K55" s="96"/>
      <c r="L55" s="97"/>
      <c r="M55" s="96"/>
      <c r="N55" s="97"/>
      <c r="O55" s="96"/>
      <c r="P55" s="97"/>
      <c r="Q55" s="96"/>
      <c r="R55" s="97"/>
      <c r="S55" s="96"/>
      <c r="T55" s="97"/>
      <c r="U55" s="96"/>
      <c r="V55" s="97"/>
      <c r="W55" s="96"/>
      <c r="X55" s="97"/>
      <c r="Y55" s="96"/>
      <c r="Z55" s="97"/>
      <c r="AA55" s="96"/>
      <c r="AB55" s="98"/>
      <c r="AC55" s="99"/>
      <c r="AD55" s="98"/>
      <c r="AE55" s="99"/>
      <c r="AF55" s="98"/>
      <c r="AG55" s="99"/>
      <c r="AH55" s="98"/>
      <c r="AI55" s="99"/>
      <c r="AJ55" s="98"/>
      <c r="AK55" s="99"/>
      <c r="AL55" s="98"/>
      <c r="AM55" s="99"/>
      <c r="AN55" s="98"/>
      <c r="AO55" s="99"/>
      <c r="AP55" s="98"/>
      <c r="AQ55" s="99"/>
      <c r="AR55" s="98"/>
      <c r="AS55" s="99"/>
    </row>
    <row r="56">
      <c r="A56" s="101">
        <v>64.0</v>
      </c>
      <c r="B56" s="85" t="str">
        <f t="array" ref="B56">IFerror(INDEX(Papers!C$2:C$995,MATCH($A56, Papers!$A$2:$A$995,0)),"")</f>
        <v>Validity of data collected by telephone survey: a comparison of VIGITEL 2008 and the ‘Saúde em Beagá’ survey</v>
      </c>
      <c r="C56" s="85" t="str">
        <f t="array" ref="C56">IFerror(INDEX(Papers!D$2:D$995,MATCH($A56, Papers!$A$2:$A$995,0)),"")</f>
        <v>Aline Dayrell Ferreira, Cibele Comini César, Deborah Carvalho Malta, Amanda Cristina de Souza Andrade, Cynthia Graciane Carvalho Ramos, Fernando Augusto Proietti, Regina Tomie Ivata Bernal, and Waleska Teixeira Caiaffa</v>
      </c>
      <c r="D56" s="86">
        <f t="array" ref="D56">IFerror(INDEX(Papers!F$2:F$995,MATCH($A56, Papers!$A$2:$A$995,0)),"")</f>
        <v>2011</v>
      </c>
      <c r="E56" s="59">
        <f t="array" ref="E56">IFerror(INDEX(Papers!G$2:G$995,MATCH($A56, Papers!$A$2:$A$995,0)),"")</f>
        <v>2008</v>
      </c>
      <c r="F56" s="102" t="s">
        <v>9</v>
      </c>
      <c r="G56" s="96"/>
      <c r="H56" s="97"/>
      <c r="I56" s="96"/>
      <c r="J56" s="97"/>
      <c r="K56" s="96"/>
      <c r="L56" s="97"/>
      <c r="M56" s="96"/>
      <c r="N56" s="97"/>
      <c r="O56" s="96"/>
      <c r="P56" s="97"/>
      <c r="Q56" s="96"/>
      <c r="R56" s="97"/>
      <c r="S56" s="96"/>
      <c r="T56" s="97"/>
      <c r="U56" s="96"/>
      <c r="V56" s="97"/>
      <c r="W56" s="96"/>
      <c r="X56" s="97"/>
      <c r="Y56" s="96"/>
      <c r="Z56" s="97"/>
      <c r="AA56" s="96"/>
      <c r="AB56" s="98"/>
      <c r="AC56" s="99"/>
      <c r="AD56" s="98"/>
      <c r="AE56" s="99"/>
      <c r="AF56" s="98"/>
      <c r="AG56" s="99"/>
      <c r="AH56" s="98"/>
      <c r="AI56" s="99" t="s">
        <v>19</v>
      </c>
      <c r="AJ56" s="98"/>
      <c r="AK56" s="99"/>
      <c r="AL56" s="98"/>
      <c r="AM56" s="99"/>
      <c r="AN56" s="98"/>
      <c r="AO56" s="99"/>
      <c r="AP56" s="98"/>
      <c r="AQ56" s="99"/>
      <c r="AR56" s="98"/>
      <c r="AS56" s="99"/>
    </row>
    <row r="57">
      <c r="A57" s="101">
        <v>65.0</v>
      </c>
      <c r="B57" s="85" t="str">
        <f t="array" ref="B57">IFerror(INDEX(Papers!C$2:C$995,MATCH($A57, Papers!$A$2:$A$995,0)),"")</f>
        <v>Collecting Data from mHealth Users via SMS Surveys: A Case Study in Kenya</v>
      </c>
      <c r="C57" s="85" t="str">
        <f t="array" ref="C57">IFerror(INDEX(Papers!D$2:D$995,MATCH($A57, Papers!$A$2:$A$995,0)),"")</f>
        <v>Douglas Johnson</v>
      </c>
      <c r="D57" s="86">
        <f t="array" ref="D57">IFerror(INDEX(Papers!F$2:F$995,MATCH($A57, Papers!$A$2:$A$995,0)),"")</f>
        <v>2016</v>
      </c>
      <c r="E57" s="59">
        <f t="array" ref="E57">IFerror(INDEX(Papers!G$2:G$995,MATCH($A57, Papers!$A$2:$A$995,0)),"")</f>
        <v>2013</v>
      </c>
      <c r="F57" s="102" t="s">
        <v>10</v>
      </c>
      <c r="G57" s="96"/>
      <c r="H57" s="97"/>
      <c r="I57" s="96"/>
      <c r="J57" s="97"/>
      <c r="K57" s="96"/>
      <c r="L57" s="97"/>
      <c r="M57" s="96"/>
      <c r="N57" s="97" t="s">
        <v>19</v>
      </c>
      <c r="O57" s="96"/>
      <c r="P57" s="97"/>
      <c r="Q57" s="96"/>
      <c r="R57" s="97"/>
      <c r="S57" s="96"/>
      <c r="T57" s="97"/>
      <c r="U57" s="96"/>
      <c r="V57" s="97"/>
      <c r="W57" s="96"/>
      <c r="X57" s="97"/>
      <c r="Y57" s="96"/>
      <c r="Z57" s="97"/>
      <c r="AA57" s="96"/>
      <c r="AB57" s="98"/>
      <c r="AC57" s="99"/>
      <c r="AD57" s="98"/>
      <c r="AE57" s="99"/>
      <c r="AF57" s="98"/>
      <c r="AG57" s="99"/>
      <c r="AH57" s="98"/>
      <c r="AI57" s="99"/>
      <c r="AJ57" s="98"/>
      <c r="AK57" s="99"/>
      <c r="AL57" s="98"/>
      <c r="AM57" s="99"/>
      <c r="AN57" s="98"/>
      <c r="AO57" s="99"/>
      <c r="AP57" s="98"/>
      <c r="AQ57" s="99"/>
      <c r="AR57" s="98"/>
      <c r="AS57" s="99"/>
    </row>
    <row r="58">
      <c r="A58" s="101">
        <v>66.0</v>
      </c>
      <c r="B58" s="85" t="str">
        <f t="array" ref="B58">IFerror(INDEX(Papers!C$2:C$995,MATCH($A58, Papers!$A$2:$A$995,0)),"")</f>
        <v>Mobile Phone Surveys for Collecting Population-Level Estimates in Low- and Middle-Income Countries: A Literature Review</v>
      </c>
      <c r="C58" s="85" t="str">
        <f t="array" ref="C58">IFerror(INDEX(Papers!D$2:D$995,MATCH($A58, Papers!$A$2:$A$995,0)),"")</f>
        <v>Dusin Gibson, Amanda Pereira, Brooke Farrenkopf, Allain Labrique, George Pariyo, and Adnan Hyder</v>
      </c>
      <c r="D58" s="86">
        <f t="array" ref="D58">IFerror(INDEX(Papers!F$2:F$995,MATCH($A58, Papers!$A$2:$A$995,0)),"")</f>
        <v>2017</v>
      </c>
      <c r="E58" s="59" t="str">
        <f t="array" ref="E58">IFerror(INDEX(Papers!G$2:G$995,MATCH($A58, Papers!$A$2:$A$995,0)),"")</f>
        <v>N/A</v>
      </c>
      <c r="F58" s="102" t="s">
        <v>9</v>
      </c>
      <c r="G58" s="96"/>
      <c r="H58" s="97"/>
      <c r="I58" s="96"/>
      <c r="J58" s="97"/>
      <c r="K58" s="96"/>
      <c r="L58" s="97"/>
      <c r="M58" s="96"/>
      <c r="N58" s="97"/>
      <c r="O58" s="96"/>
      <c r="P58" s="97"/>
      <c r="Q58" s="96"/>
      <c r="R58" s="97"/>
      <c r="S58" s="96"/>
      <c r="T58" s="97"/>
      <c r="U58" s="96"/>
      <c r="V58" s="97"/>
      <c r="W58" s="96"/>
      <c r="X58" s="97"/>
      <c r="Y58" s="96"/>
      <c r="Z58" s="97"/>
      <c r="AA58" s="96"/>
      <c r="AB58" s="98"/>
      <c r="AC58" s="99"/>
      <c r="AD58" s="98"/>
      <c r="AE58" s="99"/>
      <c r="AF58" s="98"/>
      <c r="AG58" s="99"/>
      <c r="AH58" s="98"/>
      <c r="AI58" s="99"/>
      <c r="AJ58" s="98"/>
      <c r="AK58" s="99"/>
      <c r="AL58" s="98"/>
      <c r="AM58" s="99"/>
      <c r="AN58" s="98"/>
      <c r="AO58" s="99"/>
      <c r="AP58" s="98"/>
      <c r="AQ58" s="99"/>
      <c r="AR58" s="98"/>
      <c r="AS58" s="99"/>
    </row>
    <row r="59">
      <c r="A59" s="101">
        <v>67.0</v>
      </c>
      <c r="B59" s="85" t="str">
        <f t="array" ref="B59">IFerror(INDEX(Papers!C$2:C$995,MATCH($A59, Papers!$A$2:$A$995,0)),"")</f>
        <v>Beyond Response Rates: The Effect of Prepaid Incentives on Measurement Error</v>
      </c>
      <c r="C59" s="85" t="str">
        <f t="array" ref="C59">IFerror(INDEX(Papers!D$2:D$995,MATCH($A59, Papers!$A$2:$A$995,0)),"")</f>
        <v>Rebecca Medway</v>
      </c>
      <c r="D59" s="86">
        <f t="array" ref="D59">IFerror(INDEX(Papers!F$2:F$995,MATCH($A59, Papers!$A$2:$A$995,0)),"")</f>
        <v>2012</v>
      </c>
      <c r="E59" s="59">
        <f t="array" ref="E59">IFerror(INDEX(Papers!G$2:G$995,MATCH($A59, Papers!$A$2:$A$995,0)),"")</f>
        <v>2011</v>
      </c>
      <c r="F59" s="102" t="s">
        <v>9</v>
      </c>
      <c r="G59" s="96"/>
      <c r="H59" s="97"/>
      <c r="I59" s="96"/>
      <c r="J59" s="97"/>
      <c r="K59" s="96"/>
      <c r="L59" s="97"/>
      <c r="M59" s="96"/>
      <c r="N59" s="97"/>
      <c r="O59" s="96"/>
      <c r="P59" s="97"/>
      <c r="Q59" s="96"/>
      <c r="R59" s="97"/>
      <c r="S59" s="96"/>
      <c r="T59" s="97"/>
      <c r="U59" s="96"/>
      <c r="V59" s="97"/>
      <c r="W59" s="96"/>
      <c r="X59" s="97"/>
      <c r="Y59" s="96"/>
      <c r="Z59" s="97"/>
      <c r="AA59" s="96"/>
      <c r="AB59" s="98"/>
      <c r="AC59" s="99"/>
      <c r="AD59" s="98"/>
      <c r="AE59" s="99"/>
      <c r="AF59" s="98"/>
      <c r="AG59" s="99"/>
      <c r="AH59" s="98"/>
      <c r="AI59" s="99"/>
      <c r="AJ59" s="98"/>
      <c r="AK59" s="99"/>
      <c r="AL59" s="98"/>
      <c r="AM59" s="99"/>
      <c r="AN59" s="98"/>
      <c r="AO59" s="99"/>
      <c r="AP59" s="98"/>
      <c r="AQ59" s="99"/>
      <c r="AR59" s="98" t="s">
        <v>19</v>
      </c>
      <c r="AS59" s="99"/>
    </row>
    <row r="60">
      <c r="A60" s="101">
        <v>68.0</v>
      </c>
      <c r="B60" s="85" t="str">
        <f t="array" ref="B60">IFerror(INDEX(Papers!C$2:C$995,MATCH($A60, Papers!$A$2:$A$995,0)),"")</f>
        <v>Can incentives improve survey data quality in developing countries?: results from a field experiment in India</v>
      </c>
      <c r="C60" s="85" t="str">
        <f t="array" ref="C60">IFerror(INDEX(Papers!D$2:D$995,MATCH($A60, Papers!$A$2:$A$995,0)),"")</f>
        <v>Guy Stecklov, Alexander Weinreb, and Calogero Carletto</v>
      </c>
      <c r="D60" s="86">
        <f t="array" ref="D60">IFerror(INDEX(Papers!F$2:F$995,MATCH($A60, Papers!$A$2:$A$995,0)),"")</f>
        <v>2017</v>
      </c>
      <c r="E60" s="59">
        <f t="array" ref="E60">IFerror(INDEX(Papers!G$2:G$995,MATCH($A60, Papers!$A$2:$A$995,0)),"")</f>
        <v>2011</v>
      </c>
      <c r="F60" s="102" t="s">
        <v>9</v>
      </c>
      <c r="G60" s="96"/>
      <c r="H60" s="97"/>
      <c r="I60" s="96"/>
      <c r="J60" s="97"/>
      <c r="K60" s="96"/>
      <c r="L60" s="97"/>
      <c r="M60" s="96"/>
      <c r="N60" s="97"/>
      <c r="O60" s="96"/>
      <c r="P60" s="97"/>
      <c r="Q60" s="96"/>
      <c r="R60" s="97"/>
      <c r="S60" s="96"/>
      <c r="T60" s="97"/>
      <c r="U60" s="96"/>
      <c r="V60" s="97"/>
      <c r="W60" s="96"/>
      <c r="X60" s="97"/>
      <c r="Y60" s="96"/>
      <c r="Z60" s="97"/>
      <c r="AA60" s="96"/>
      <c r="AB60" s="98"/>
      <c r="AC60" s="99"/>
      <c r="AD60" s="98"/>
      <c r="AE60" s="99"/>
      <c r="AF60" s="98"/>
      <c r="AG60" s="99"/>
      <c r="AH60" s="98" t="s">
        <v>19</v>
      </c>
      <c r="AI60" s="99"/>
      <c r="AJ60" s="98"/>
      <c r="AK60" s="99"/>
      <c r="AL60" s="98"/>
      <c r="AM60" s="99"/>
      <c r="AN60" s="98"/>
      <c r="AO60" s="99"/>
      <c r="AP60" s="98"/>
      <c r="AQ60" s="99"/>
      <c r="AR60" s="98"/>
      <c r="AS60" s="99"/>
    </row>
    <row r="61">
      <c r="B61" s="85" t="str">
        <f t="array" ref="B61">IFerror(INDEX(Papers!C$2:C$995,MATCH($A61, Papers!$A$2:$A$995,0)),"")</f>
        <v/>
      </c>
      <c r="C61" s="85" t="str">
        <f t="array" ref="C61">IFerror(INDEX(Papers!D$2:D$995,MATCH($A61, Papers!$A$2:$A$995,0)),"")</f>
        <v/>
      </c>
      <c r="D61" s="86" t="str">
        <f t="array" ref="D61">IFerror(INDEX(Papers!F$2:F$995,MATCH($A61, Papers!$A$2:$A$995,0)),"")</f>
        <v/>
      </c>
      <c r="E61" s="59" t="str">
        <f t="array" ref="E61">IFerror(INDEX(Papers!G$2:G$995,MATCH($A61, Papers!$A$2:$A$995,0)),"")</f>
        <v/>
      </c>
    </row>
    <row r="62">
      <c r="B62" s="85" t="str">
        <f t="array" ref="B62">IFerror(INDEX(Papers!C$2:C$995,MATCH($A62, Papers!$A$2:$A$995,0)),"")</f>
        <v/>
      </c>
      <c r="C62" s="85" t="str">
        <f t="array" ref="C62">IFerror(INDEX(Papers!D$2:D$995,MATCH($A62, Papers!$A$2:$A$995,0)),"")</f>
        <v/>
      </c>
      <c r="D62" s="86" t="str">
        <f t="array" ref="D62">IFerror(INDEX(Papers!F$2:F$995,MATCH($A62, Papers!$A$2:$A$995,0)),"")</f>
        <v/>
      </c>
      <c r="E62" s="59" t="str">
        <f t="array" ref="E62">IFerror(INDEX(Papers!G$2:G$995,MATCH($A62, Papers!$A$2:$A$995,0)),"")</f>
        <v/>
      </c>
    </row>
    <row r="63">
      <c r="B63" s="85" t="str">
        <f t="array" ref="B63">IFerror(INDEX(Papers!C$2:C$995,MATCH($A63, Papers!$A$2:$A$995,0)),"")</f>
        <v/>
      </c>
      <c r="C63" s="85" t="str">
        <f t="array" ref="C63">IFerror(INDEX(Papers!D$2:D$995,MATCH($A63, Papers!$A$2:$A$995,0)),"")</f>
        <v/>
      </c>
      <c r="D63" s="86" t="str">
        <f t="array" ref="D63">IFerror(INDEX(Papers!F$2:F$995,MATCH($A63, Papers!$A$2:$A$995,0)),"")</f>
        <v/>
      </c>
      <c r="E63" s="59" t="str">
        <f t="array" ref="E63">IFerror(INDEX(Papers!G$2:G$995,MATCH($A63, Papers!$A$2:$A$995,0)),"")</f>
        <v/>
      </c>
    </row>
    <row r="64">
      <c r="B64" s="85" t="str">
        <f t="array" ref="B64">IFerror(INDEX(Papers!C$2:C$995,MATCH($A64, Papers!$A$2:$A$995,0)),"")</f>
        <v/>
      </c>
      <c r="C64" s="85" t="str">
        <f t="array" ref="C64">IFerror(INDEX(Papers!D$2:D$995,MATCH($A64, Papers!$A$2:$A$995,0)),"")</f>
        <v/>
      </c>
      <c r="D64" s="86" t="str">
        <f t="array" ref="D64">IFerror(INDEX(Papers!F$2:F$995,MATCH($A64, Papers!$A$2:$A$995,0)),"")</f>
        <v/>
      </c>
      <c r="E64" s="59" t="str">
        <f t="array" ref="E64">IFerror(INDEX(Papers!G$2:G$995,MATCH($A64, Papers!$A$2:$A$995,0)),"")</f>
        <v/>
      </c>
    </row>
    <row r="65">
      <c r="B65" s="85" t="str">
        <f t="array" ref="B65">IFerror(INDEX(Papers!C$2:C$995,MATCH($A65, Papers!$A$2:$A$995,0)),"")</f>
        <v/>
      </c>
      <c r="C65" s="85" t="str">
        <f t="array" ref="C65">IFerror(INDEX(Papers!D$2:D$995,MATCH($A65, Papers!$A$2:$A$995,0)),"")</f>
        <v/>
      </c>
      <c r="D65" s="86" t="str">
        <f t="array" ref="D65">IFerror(INDEX(Papers!F$2:F$995,MATCH($A65, Papers!$A$2:$A$995,0)),"")</f>
        <v/>
      </c>
      <c r="E65" s="59" t="str">
        <f t="array" ref="E65">IFerror(INDEX(Papers!G$2:G$995,MATCH($A65, Papers!$A$2:$A$995,0)),"")</f>
        <v/>
      </c>
    </row>
    <row r="66">
      <c r="B66" s="85" t="str">
        <f t="array" ref="B66">IFerror(INDEX(Papers!C$2:C$995,MATCH($A66, Papers!$A$2:$A$995,0)),"")</f>
        <v/>
      </c>
      <c r="C66" s="85" t="str">
        <f t="array" ref="C66">IFerror(INDEX(Papers!D$2:D$995,MATCH($A66, Papers!$A$2:$A$995,0)),"")</f>
        <v/>
      </c>
      <c r="D66" s="86" t="str">
        <f t="array" ref="D66">IFerror(INDEX(Papers!F$2:F$995,MATCH($A66, Papers!$A$2:$A$995,0)),"")</f>
        <v/>
      </c>
      <c r="E66" s="59" t="str">
        <f t="array" ref="E66">IFerror(INDEX(Papers!G$2:G$995,MATCH($A66, Papers!$A$2:$A$995,0)),"")</f>
        <v/>
      </c>
    </row>
    <row r="67">
      <c r="B67" s="85" t="str">
        <f t="array" ref="B67">IFerror(INDEX(Papers!C$2:C$995,MATCH($A67, Papers!$A$2:$A$995,0)),"")</f>
        <v/>
      </c>
      <c r="C67" s="85" t="str">
        <f t="array" ref="C67">IFerror(INDEX(Papers!D$2:D$995,MATCH($A67, Papers!$A$2:$A$995,0)),"")</f>
        <v/>
      </c>
      <c r="D67" s="86" t="str">
        <f t="array" ref="D67">IFerror(INDEX(Papers!F$2:F$995,MATCH($A67, Papers!$A$2:$A$995,0)),"")</f>
        <v/>
      </c>
      <c r="E67" s="59" t="str">
        <f t="array" ref="E67">IFerror(INDEX(Papers!G$2:G$995,MATCH($A67, Papers!$A$2:$A$995,0)),"")</f>
        <v/>
      </c>
    </row>
    <row r="68">
      <c r="B68" s="85" t="str">
        <f t="array" ref="B68">IFerror(INDEX(Papers!C$2:C$995,MATCH($A68, Papers!$A$2:$A$995,0)),"")</f>
        <v/>
      </c>
      <c r="C68" s="85" t="str">
        <f t="array" ref="C68">IFerror(INDEX(Papers!D$2:D$995,MATCH($A68, Papers!$A$2:$A$995,0)),"")</f>
        <v/>
      </c>
      <c r="D68" s="86" t="str">
        <f t="array" ref="D68">IFerror(INDEX(Papers!F$2:F$995,MATCH($A68, Papers!$A$2:$A$995,0)),"")</f>
        <v/>
      </c>
      <c r="E68" s="59" t="str">
        <f t="array" ref="E68">IFerror(INDEX(Papers!G$2:G$995,MATCH($A68, Papers!$A$2:$A$995,0)),"")</f>
        <v/>
      </c>
    </row>
    <row r="69">
      <c r="B69" s="85" t="str">
        <f t="array" ref="B69">IFerror(INDEX(Papers!C$2:C$995,MATCH($A69, Papers!$A$2:$A$995,0)),"")</f>
        <v/>
      </c>
      <c r="C69" s="85" t="str">
        <f t="array" ref="C69">IFerror(INDEX(Papers!D$2:D$995,MATCH($A69, Papers!$A$2:$A$995,0)),"")</f>
        <v/>
      </c>
      <c r="D69" s="86" t="str">
        <f t="array" ref="D69">IFerror(INDEX(Papers!F$2:F$995,MATCH($A69, Papers!$A$2:$A$995,0)),"")</f>
        <v/>
      </c>
      <c r="E69" s="59" t="str">
        <f t="array" ref="E69">IFerror(INDEX(Papers!G$2:G$995,MATCH($A69, Papers!$A$2:$A$995,0)),"")</f>
        <v/>
      </c>
    </row>
    <row r="70">
      <c r="B70" s="85" t="str">
        <f t="array" ref="B70">IFerror(INDEX(Papers!C$2:C$995,MATCH($A70, Papers!$A$2:$A$995,0)),"")</f>
        <v/>
      </c>
      <c r="C70" s="85" t="str">
        <f t="array" ref="C70">IFerror(INDEX(Papers!D$2:D$995,MATCH($A70, Papers!$A$2:$A$995,0)),"")</f>
        <v/>
      </c>
      <c r="D70" s="86" t="str">
        <f t="array" ref="D70">IFerror(INDEX(Papers!F$2:F$995,MATCH($A70, Papers!$A$2:$A$995,0)),"")</f>
        <v/>
      </c>
      <c r="E70" s="59" t="str">
        <f t="array" ref="E70">IFerror(INDEX(Papers!G$2:G$995,MATCH($A70, Papers!$A$2:$A$995,0)),"")</f>
        <v/>
      </c>
    </row>
    <row r="71">
      <c r="B71" s="85" t="str">
        <f t="array" ref="B71">IFerror(INDEX(Papers!C$2:C$995,MATCH($A71, Papers!$A$2:$A$995,0)),"")</f>
        <v/>
      </c>
      <c r="C71" s="85" t="str">
        <f t="array" ref="C71">IFerror(INDEX(Papers!D$2:D$995,MATCH($A71, Papers!$A$2:$A$995,0)),"")</f>
        <v/>
      </c>
      <c r="D71" s="86" t="str">
        <f t="array" ref="D71">IFerror(INDEX(Papers!F$2:F$995,MATCH($A71, Papers!$A$2:$A$995,0)),"")</f>
        <v/>
      </c>
      <c r="E71" s="59" t="str">
        <f t="array" ref="E71">IFerror(INDEX(Papers!G$2:G$995,MATCH($A71, Papers!$A$2:$A$995,0)),"")</f>
        <v/>
      </c>
    </row>
    <row r="72">
      <c r="B72" s="85" t="str">
        <f t="array" ref="B72">IFerror(INDEX(Papers!C$2:C$995,MATCH($A72, Papers!$A$2:$A$995,0)),"")</f>
        <v/>
      </c>
      <c r="C72" s="85" t="str">
        <f t="array" ref="C72">IFerror(INDEX(Papers!D$2:D$995,MATCH($A72, Papers!$A$2:$A$995,0)),"")</f>
        <v/>
      </c>
      <c r="D72" s="86" t="str">
        <f t="array" ref="D72">IFerror(INDEX(Papers!F$2:F$995,MATCH($A72, Papers!$A$2:$A$995,0)),"")</f>
        <v/>
      </c>
      <c r="E72" s="59" t="str">
        <f t="array" ref="E72">IFerror(INDEX(Papers!G$2:G$995,MATCH($A72, Papers!$A$2:$A$995,0)),"")</f>
        <v/>
      </c>
    </row>
    <row r="73">
      <c r="B73" s="85" t="str">
        <f t="array" ref="B73">IFerror(INDEX(Papers!C$2:C$995,MATCH($A73, Papers!$A$2:$A$995,0)),"")</f>
        <v/>
      </c>
      <c r="C73" s="85" t="str">
        <f t="array" ref="C73">IFerror(INDEX(Papers!D$2:D$995,MATCH($A73, Papers!$A$2:$A$995,0)),"")</f>
        <v/>
      </c>
      <c r="D73" s="86" t="str">
        <f t="array" ref="D73">IFerror(INDEX(Papers!F$2:F$995,MATCH($A73, Papers!$A$2:$A$995,0)),"")</f>
        <v/>
      </c>
      <c r="E73" s="59" t="str">
        <f t="array" ref="E73">IFerror(INDEX(Papers!G$2:G$995,MATCH($A73, Papers!$A$2:$A$995,0)),"")</f>
        <v/>
      </c>
    </row>
    <row r="74">
      <c r="B74" s="85" t="str">
        <f t="array" ref="B74">IFerror(INDEX(Papers!C$2:C$995,MATCH($A74, Papers!$A$2:$A$995,0)),"")</f>
        <v/>
      </c>
      <c r="C74" s="85" t="str">
        <f t="array" ref="C74">IFerror(INDEX(Papers!D$2:D$995,MATCH($A74, Papers!$A$2:$A$995,0)),"")</f>
        <v/>
      </c>
      <c r="D74" s="86" t="str">
        <f t="array" ref="D74">IFerror(INDEX(Papers!F$2:F$995,MATCH($A74, Papers!$A$2:$A$995,0)),"")</f>
        <v/>
      </c>
      <c r="E74" s="59" t="str">
        <f t="array" ref="E74">IFerror(INDEX(Papers!G$2:G$995,MATCH($A74, Papers!$A$2:$A$995,0)),"")</f>
        <v/>
      </c>
    </row>
    <row r="75">
      <c r="B75" s="85" t="str">
        <f t="array" ref="B75">IFerror(INDEX(Papers!C$2:C$995,MATCH($A75, Papers!$A$2:$A$995,0)),"")</f>
        <v/>
      </c>
      <c r="C75" s="85" t="str">
        <f t="array" ref="C75">IFerror(INDEX(Papers!D$2:D$995,MATCH($A75, Papers!$A$2:$A$995,0)),"")</f>
        <v/>
      </c>
      <c r="D75" s="86" t="str">
        <f t="array" ref="D75">IFerror(INDEX(Papers!F$2:F$995,MATCH($A75, Papers!$A$2:$A$995,0)),"")</f>
        <v/>
      </c>
      <c r="E75" s="59" t="str">
        <f t="array" ref="E75">IFerror(INDEX(Papers!G$2:G$995,MATCH($A75, Papers!$A$2:$A$995,0)),"")</f>
        <v/>
      </c>
    </row>
    <row r="76">
      <c r="B76" s="85" t="str">
        <f t="array" ref="B76">IFerror(INDEX(Papers!C$2:C$995,MATCH($A76, Papers!$A$2:$A$995,0)),"")</f>
        <v/>
      </c>
      <c r="C76" s="85" t="str">
        <f t="array" ref="C76">IFerror(INDEX(Papers!D$2:D$995,MATCH($A76, Papers!$A$2:$A$995,0)),"")</f>
        <v/>
      </c>
      <c r="D76" s="86" t="str">
        <f t="array" ref="D76">IFerror(INDEX(Papers!F$2:F$995,MATCH($A76, Papers!$A$2:$A$995,0)),"")</f>
        <v/>
      </c>
      <c r="E76" s="59" t="str">
        <f t="array" ref="E76">IFerror(INDEX(Papers!G$2:G$995,MATCH($A76, Papers!$A$2:$A$995,0)),"")</f>
        <v/>
      </c>
    </row>
    <row r="77">
      <c r="B77" s="85" t="str">
        <f t="array" ref="B77">IFerror(INDEX(Papers!C$2:C$995,MATCH($A77, Papers!$A$2:$A$995,0)),"")</f>
        <v/>
      </c>
      <c r="C77" s="85" t="str">
        <f t="array" ref="C77">IFerror(INDEX(Papers!D$2:D$995,MATCH($A77, Papers!$A$2:$A$995,0)),"")</f>
        <v/>
      </c>
      <c r="D77" s="86" t="str">
        <f t="array" ref="D77">IFerror(INDEX(Papers!F$2:F$995,MATCH($A77, Papers!$A$2:$A$995,0)),"")</f>
        <v/>
      </c>
      <c r="E77" s="59" t="str">
        <f t="array" ref="E77">IFerror(INDEX(Papers!G$2:G$995,MATCH($A77, Papers!$A$2:$A$995,0)),"")</f>
        <v/>
      </c>
    </row>
    <row r="78">
      <c r="B78" s="85" t="str">
        <f t="array" ref="B78">IFerror(INDEX(Papers!C$2:C$995,MATCH($A78, Papers!$A$2:$A$995,0)),"")</f>
        <v/>
      </c>
      <c r="C78" s="85" t="str">
        <f t="array" ref="C78">IFerror(INDEX(Papers!D$2:D$995,MATCH($A78, Papers!$A$2:$A$995,0)),"")</f>
        <v/>
      </c>
      <c r="D78" s="86" t="str">
        <f t="array" ref="D78">IFerror(INDEX(Papers!F$2:F$995,MATCH($A78, Papers!$A$2:$A$995,0)),"")</f>
        <v/>
      </c>
      <c r="E78" s="59" t="str">
        <f t="array" ref="E78">IFerror(INDEX(Papers!G$2:G$995,MATCH($A78, Papers!$A$2:$A$995,0)),"")</f>
        <v/>
      </c>
    </row>
    <row r="79">
      <c r="B79" s="85" t="str">
        <f t="array" ref="B79">IFerror(INDEX(Papers!C$2:C$995,MATCH($A79, Papers!$A$2:$A$995,0)),"")</f>
        <v/>
      </c>
      <c r="C79" s="85" t="str">
        <f t="array" ref="C79">IFerror(INDEX(Papers!D$2:D$995,MATCH($A79, Papers!$A$2:$A$995,0)),"")</f>
        <v/>
      </c>
      <c r="D79" s="86" t="str">
        <f t="array" ref="D79">IFerror(INDEX(Papers!F$2:F$995,MATCH($A79, Papers!$A$2:$A$995,0)),"")</f>
        <v/>
      </c>
      <c r="E79" s="59" t="str">
        <f t="array" ref="E79">IFerror(INDEX(Papers!G$2:G$995,MATCH($A79, Papers!$A$2:$A$995,0)),"")</f>
        <v/>
      </c>
    </row>
    <row r="80">
      <c r="B80" s="85" t="str">
        <f t="array" ref="B80">IFerror(INDEX(Papers!C$2:C$995,MATCH($A80, Papers!$A$2:$A$995,0)),"")</f>
        <v/>
      </c>
      <c r="C80" s="85" t="str">
        <f t="array" ref="C80">IFerror(INDEX(Papers!D$2:D$995,MATCH($A80, Papers!$A$2:$A$995,0)),"")</f>
        <v/>
      </c>
      <c r="D80" s="86" t="str">
        <f t="array" ref="D80">IFerror(INDEX(Papers!F$2:F$995,MATCH($A80, Papers!$A$2:$A$995,0)),"")</f>
        <v/>
      </c>
      <c r="E80" s="59" t="str">
        <f t="array" ref="E80">IFerror(INDEX(Papers!G$2:G$995,MATCH($A80, Papers!$A$2:$A$995,0)),"")</f>
        <v/>
      </c>
    </row>
    <row r="81">
      <c r="B81" s="85" t="str">
        <f t="array" ref="B81">IFerror(INDEX(Papers!C$2:C$995,MATCH($A81, Papers!$A$2:$A$995,0)),"")</f>
        <v/>
      </c>
      <c r="C81" s="85" t="str">
        <f t="array" ref="C81">IFerror(INDEX(Papers!D$2:D$995,MATCH($A81, Papers!$A$2:$A$995,0)),"")</f>
        <v/>
      </c>
      <c r="D81" s="86" t="str">
        <f t="array" ref="D81">IFerror(INDEX(Papers!F$2:F$995,MATCH($A81, Papers!$A$2:$A$995,0)),"")</f>
        <v/>
      </c>
      <c r="E81" s="59" t="str">
        <f t="array" ref="E81">IFerror(INDEX(Papers!G$2:G$995,MATCH($A81, Papers!$A$2:$A$995,0)),"")</f>
        <v/>
      </c>
    </row>
    <row r="82">
      <c r="B82" s="85" t="str">
        <f t="array" ref="B82">IFerror(INDEX(Papers!C$2:C$995,MATCH($A82, Papers!$A$2:$A$995,0)),"")</f>
        <v/>
      </c>
      <c r="C82" s="85" t="str">
        <f t="array" ref="C82">IFerror(INDEX(Papers!D$2:D$995,MATCH($A82, Papers!$A$2:$A$995,0)),"")</f>
        <v/>
      </c>
      <c r="D82" s="86" t="str">
        <f t="array" ref="D82">IFerror(INDEX(Papers!F$2:F$995,MATCH($A82, Papers!$A$2:$A$995,0)),"")</f>
        <v/>
      </c>
      <c r="E82" s="59" t="str">
        <f t="array" ref="E82">IFerror(INDEX(Papers!G$2:G$995,MATCH($A82, Papers!$A$2:$A$995,0)),"")</f>
        <v/>
      </c>
    </row>
    <row r="83">
      <c r="B83" s="85" t="str">
        <f t="array" ref="B83">IFerror(INDEX(Papers!C$2:C$995,MATCH($A83, Papers!$A$2:$A$995,0)),"")</f>
        <v/>
      </c>
      <c r="C83" s="85" t="str">
        <f t="array" ref="C83">IFerror(INDEX(Papers!D$2:D$995,MATCH($A83, Papers!$A$2:$A$995,0)),"")</f>
        <v/>
      </c>
      <c r="D83" s="86" t="str">
        <f t="array" ref="D83">IFerror(INDEX(Papers!F$2:F$995,MATCH($A83, Papers!$A$2:$A$995,0)),"")</f>
        <v/>
      </c>
      <c r="E83" s="59" t="str">
        <f t="array" ref="E83">IFerror(INDEX(Papers!G$2:G$995,MATCH($A83, Papers!$A$2:$A$995,0)),"")</f>
        <v/>
      </c>
    </row>
    <row r="84">
      <c r="B84" s="85" t="str">
        <f t="array" ref="B84">IFerror(INDEX(Papers!C$2:C$995,MATCH($A84, Papers!$A$2:$A$995,0)),"")</f>
        <v/>
      </c>
      <c r="C84" s="85" t="str">
        <f t="array" ref="C84">IFerror(INDEX(Papers!D$2:D$995,MATCH($A84, Papers!$A$2:$A$995,0)),"")</f>
        <v/>
      </c>
      <c r="D84" s="86" t="str">
        <f t="array" ref="D84">IFerror(INDEX(Papers!F$2:F$995,MATCH($A84, Papers!$A$2:$A$995,0)),"")</f>
        <v/>
      </c>
      <c r="E84" s="59" t="str">
        <f t="array" ref="E84">IFerror(INDEX(Papers!G$2:G$995,MATCH($A84, Papers!$A$2:$A$995,0)),"")</f>
        <v/>
      </c>
    </row>
    <row r="85">
      <c r="B85" s="85" t="str">
        <f t="array" ref="B85">IFerror(INDEX(Papers!C$2:C$995,MATCH($A85, Papers!$A$2:$A$995,0)),"")</f>
        <v/>
      </c>
      <c r="C85" s="85" t="str">
        <f t="array" ref="C85">IFerror(INDEX(Papers!D$2:D$995,MATCH($A85, Papers!$A$2:$A$995,0)),"")</f>
        <v/>
      </c>
      <c r="D85" s="86" t="str">
        <f t="array" ref="D85">IFerror(INDEX(Papers!F$2:F$995,MATCH($A85, Papers!$A$2:$A$995,0)),"")</f>
        <v/>
      </c>
      <c r="E85" s="59" t="str">
        <f t="array" ref="E85">IFerror(INDEX(Papers!G$2:G$995,MATCH($A85, Papers!$A$2:$A$995,0)),"")</f>
        <v/>
      </c>
    </row>
    <row r="86">
      <c r="B86" s="85" t="str">
        <f t="array" ref="B86">IFerror(INDEX(Papers!C$2:C$995,MATCH($A86, Papers!$A$2:$A$995,0)),"")</f>
        <v/>
      </c>
      <c r="C86" s="85" t="str">
        <f t="array" ref="C86">IFerror(INDEX(Papers!D$2:D$995,MATCH($A86, Papers!$A$2:$A$995,0)),"")</f>
        <v/>
      </c>
      <c r="D86" s="86" t="str">
        <f t="array" ref="D86">IFerror(INDEX(Papers!F$2:F$995,MATCH($A86, Papers!$A$2:$A$995,0)),"")</f>
        <v/>
      </c>
      <c r="E86" s="59" t="str">
        <f t="array" ref="E86">IFerror(INDEX(Papers!G$2:G$995,MATCH($A86, Papers!$A$2:$A$995,0)),"")</f>
        <v/>
      </c>
    </row>
    <row r="87">
      <c r="B87" s="85" t="str">
        <f t="array" ref="B87">IFerror(INDEX(Papers!C$2:C$995,MATCH($A87, Papers!$A$2:$A$995,0)),"")</f>
        <v/>
      </c>
      <c r="C87" s="85" t="str">
        <f t="array" ref="C87">IFerror(INDEX(Papers!D$2:D$995,MATCH($A87, Papers!$A$2:$A$995,0)),"")</f>
        <v/>
      </c>
      <c r="D87" s="86" t="str">
        <f t="array" ref="D87">IFerror(INDEX(Papers!F$2:F$995,MATCH($A87, Papers!$A$2:$A$995,0)),"")</f>
        <v/>
      </c>
      <c r="E87" s="59" t="str">
        <f t="array" ref="E87">IFerror(INDEX(Papers!G$2:G$995,MATCH($A87, Papers!$A$2:$A$995,0)),"")</f>
        <v/>
      </c>
    </row>
    <row r="88">
      <c r="B88" s="85" t="str">
        <f t="array" ref="B88">IFerror(INDEX(Papers!C$2:C$995,MATCH($A88, Papers!$A$2:$A$995,0)),"")</f>
        <v/>
      </c>
      <c r="C88" s="85" t="str">
        <f t="array" ref="C88">IFerror(INDEX(Papers!D$2:D$995,MATCH($A88, Papers!$A$2:$A$995,0)),"")</f>
        <v/>
      </c>
      <c r="D88" s="86" t="str">
        <f t="array" ref="D88">IFerror(INDEX(Papers!F$2:F$995,MATCH($A88, Papers!$A$2:$A$995,0)),"")</f>
        <v/>
      </c>
      <c r="E88" s="59" t="str">
        <f t="array" ref="E88">IFerror(INDEX(Papers!G$2:G$995,MATCH($A88, Papers!$A$2:$A$995,0)),"")</f>
        <v/>
      </c>
    </row>
    <row r="89">
      <c r="B89" s="85" t="str">
        <f t="array" ref="B89">IFerror(INDEX(Papers!C$2:C$995,MATCH($A89, Papers!$A$2:$A$995,0)),"")</f>
        <v/>
      </c>
      <c r="C89" s="85" t="str">
        <f t="array" ref="C89">IFerror(INDEX(Papers!D$2:D$995,MATCH($A89, Papers!$A$2:$A$995,0)),"")</f>
        <v/>
      </c>
      <c r="D89" s="86" t="str">
        <f t="array" ref="D89">IFerror(INDEX(Papers!F$2:F$995,MATCH($A89, Papers!$A$2:$A$995,0)),"")</f>
        <v/>
      </c>
      <c r="E89" s="59" t="str">
        <f t="array" ref="E89">IFerror(INDEX(Papers!G$2:G$995,MATCH($A89, Papers!$A$2:$A$995,0)),"")</f>
        <v/>
      </c>
    </row>
    <row r="90">
      <c r="B90" s="85" t="str">
        <f t="array" ref="B90">IFerror(INDEX(Papers!C$2:C$995,MATCH($A90, Papers!$A$2:$A$995,0)),"")</f>
        <v/>
      </c>
      <c r="C90" s="85" t="str">
        <f t="array" ref="C90">IFerror(INDEX(Papers!D$2:D$995,MATCH($A90, Papers!$A$2:$A$995,0)),"")</f>
        <v/>
      </c>
      <c r="D90" s="86" t="str">
        <f t="array" ref="D90">IFerror(INDEX(Papers!F$2:F$995,MATCH($A90, Papers!$A$2:$A$995,0)),"")</f>
        <v/>
      </c>
      <c r="E90" s="59" t="str">
        <f t="array" ref="E90">IFerror(INDEX(Papers!G$2:G$995,MATCH($A90, Papers!$A$2:$A$995,0)),"")</f>
        <v/>
      </c>
    </row>
    <row r="91">
      <c r="B91" s="85" t="str">
        <f t="array" ref="B91">IFerror(INDEX(Papers!C$2:C$995,MATCH($A91, Papers!$A$2:$A$995,0)),"")</f>
        <v/>
      </c>
      <c r="C91" s="85" t="str">
        <f t="array" ref="C91">IFerror(INDEX(Papers!D$2:D$995,MATCH($A91, Papers!$A$2:$A$995,0)),"")</f>
        <v/>
      </c>
      <c r="D91" s="86" t="str">
        <f t="array" ref="D91">IFerror(INDEX(Papers!F$2:F$995,MATCH($A91, Papers!$A$2:$A$995,0)),"")</f>
        <v/>
      </c>
      <c r="E91" s="59" t="str">
        <f t="array" ref="E91">IFerror(INDEX(Papers!G$2:G$995,MATCH($A91, Papers!$A$2:$A$995,0)),"")</f>
        <v/>
      </c>
    </row>
    <row r="92">
      <c r="B92" s="85" t="str">
        <f t="array" ref="B92">IFerror(INDEX(Papers!C$2:C$995,MATCH($A92, Papers!$A$2:$A$995,0)),"")</f>
        <v/>
      </c>
      <c r="C92" s="85" t="str">
        <f t="array" ref="C92">IFerror(INDEX(Papers!D$2:D$995,MATCH($A92, Papers!$A$2:$A$995,0)),"")</f>
        <v/>
      </c>
      <c r="D92" s="86" t="str">
        <f t="array" ref="D92">IFerror(INDEX(Papers!F$2:F$995,MATCH($A92, Papers!$A$2:$A$995,0)),"")</f>
        <v/>
      </c>
      <c r="E92" s="59" t="str">
        <f t="array" ref="E92">IFerror(INDEX(Papers!G$2:G$995,MATCH($A92, Papers!$A$2:$A$995,0)),"")</f>
        <v/>
      </c>
    </row>
    <row r="93">
      <c r="B93" s="85" t="str">
        <f t="array" ref="B93">IFerror(INDEX(Papers!C$2:C$995,MATCH($A93, Papers!$A$2:$A$995,0)),"")</f>
        <v/>
      </c>
      <c r="C93" s="85" t="str">
        <f t="array" ref="C93">IFerror(INDEX(Papers!D$2:D$995,MATCH($A93, Papers!$A$2:$A$995,0)),"")</f>
        <v/>
      </c>
      <c r="D93" s="86" t="str">
        <f t="array" ref="D93">IFerror(INDEX(Papers!F$2:F$995,MATCH($A93, Papers!$A$2:$A$995,0)),"")</f>
        <v/>
      </c>
      <c r="E93" s="59" t="str">
        <f t="array" ref="E93">IFerror(INDEX(Papers!G$2:G$995,MATCH($A93, Papers!$A$2:$A$995,0)),"")</f>
        <v/>
      </c>
    </row>
    <row r="94">
      <c r="B94" s="85" t="str">
        <f t="array" ref="B94">IFerror(INDEX(Papers!C$2:C$995,MATCH($A94, Papers!$A$2:$A$995,0)),"")</f>
        <v/>
      </c>
      <c r="C94" s="85" t="str">
        <f t="array" ref="C94">IFerror(INDEX(Papers!D$2:D$995,MATCH($A94, Papers!$A$2:$A$995,0)),"")</f>
        <v/>
      </c>
      <c r="D94" s="86" t="str">
        <f t="array" ref="D94">IFerror(INDEX(Papers!F$2:F$995,MATCH($A94, Papers!$A$2:$A$995,0)),"")</f>
        <v/>
      </c>
      <c r="E94" s="59" t="str">
        <f t="array" ref="E94">IFerror(INDEX(Papers!G$2:G$995,MATCH($A94, Papers!$A$2:$A$995,0)),"")</f>
        <v/>
      </c>
    </row>
    <row r="95">
      <c r="B95" s="85" t="str">
        <f t="array" ref="B95">IFerror(INDEX(Papers!C$2:C$995,MATCH($A95, Papers!$A$2:$A$995,0)),"")</f>
        <v/>
      </c>
      <c r="C95" s="85" t="str">
        <f t="array" ref="C95">IFerror(INDEX(Papers!D$2:D$995,MATCH($A95, Papers!$A$2:$A$995,0)),"")</f>
        <v/>
      </c>
      <c r="D95" s="86" t="str">
        <f t="array" ref="D95">IFerror(INDEX(Papers!F$2:F$995,MATCH($A95, Papers!$A$2:$A$995,0)),"")</f>
        <v/>
      </c>
      <c r="E95" s="59" t="str">
        <f t="array" ref="E95">IFerror(INDEX(Papers!G$2:G$995,MATCH($A95, Papers!$A$2:$A$995,0)),"")</f>
        <v/>
      </c>
    </row>
    <row r="96">
      <c r="B96" s="85" t="str">
        <f t="array" ref="B96">IFerror(INDEX(Papers!C$2:C$995,MATCH($A96, Papers!$A$2:$A$995,0)),"")</f>
        <v/>
      </c>
      <c r="C96" s="85" t="str">
        <f t="array" ref="C96">IFerror(INDEX(Papers!D$2:D$995,MATCH($A96, Papers!$A$2:$A$995,0)),"")</f>
        <v/>
      </c>
      <c r="D96" s="86" t="str">
        <f t="array" ref="D96">IFerror(INDEX(Papers!F$2:F$995,MATCH($A96, Papers!$A$2:$A$995,0)),"")</f>
        <v/>
      </c>
      <c r="E96" s="59" t="str">
        <f t="array" ref="E96">IFerror(INDEX(Papers!G$2:G$995,MATCH($A96, Papers!$A$2:$A$995,0)),"")</f>
        <v/>
      </c>
    </row>
    <row r="97">
      <c r="B97" s="85" t="str">
        <f t="array" ref="B97">IFerror(INDEX(Papers!C$2:C$995,MATCH($A97, Papers!$A$2:$A$995,0)),"")</f>
        <v/>
      </c>
      <c r="C97" s="85" t="str">
        <f t="array" ref="C97">IFerror(INDEX(Papers!D$2:D$995,MATCH($A97, Papers!$A$2:$A$995,0)),"")</f>
        <v/>
      </c>
      <c r="D97" s="86" t="str">
        <f t="array" ref="D97">IFerror(INDEX(Papers!F$2:F$995,MATCH($A97, Papers!$A$2:$A$995,0)),"")</f>
        <v/>
      </c>
      <c r="E97" s="59" t="str">
        <f t="array" ref="E97">IFerror(INDEX(Papers!G$2:G$995,MATCH($A97, Papers!$A$2:$A$995,0)),"")</f>
        <v/>
      </c>
    </row>
    <row r="98">
      <c r="B98" s="85" t="str">
        <f t="array" ref="B98">IFerror(INDEX(Papers!C$2:C$995,MATCH($A98, Papers!$A$2:$A$995,0)),"")</f>
        <v/>
      </c>
      <c r="C98" s="85" t="str">
        <f t="array" ref="C98">IFerror(INDEX(Papers!D$2:D$995,MATCH($A98, Papers!$A$2:$A$995,0)),"")</f>
        <v/>
      </c>
      <c r="D98" s="86" t="str">
        <f t="array" ref="D98">IFerror(INDEX(Papers!F$2:F$995,MATCH($A98, Papers!$A$2:$A$995,0)),"")</f>
        <v/>
      </c>
      <c r="E98" s="59" t="str">
        <f t="array" ref="E98">IFerror(INDEX(Papers!G$2:G$995,MATCH($A98, Papers!$A$2:$A$995,0)),"")</f>
        <v/>
      </c>
    </row>
    <row r="99">
      <c r="B99" s="85" t="str">
        <f t="array" ref="B99">IFerror(INDEX(Papers!C$2:C$995,MATCH($A99, Papers!$A$2:$A$995,0)),"")</f>
        <v/>
      </c>
      <c r="C99" s="85" t="str">
        <f t="array" ref="C99">IFerror(INDEX(Papers!D$2:D$995,MATCH($A99, Papers!$A$2:$A$995,0)),"")</f>
        <v/>
      </c>
      <c r="D99" s="86" t="str">
        <f t="array" ref="D99">IFerror(INDEX(Papers!F$2:F$995,MATCH($A99, Papers!$A$2:$A$995,0)),"")</f>
        <v/>
      </c>
      <c r="E99" s="59" t="str">
        <f t="array" ref="E99">IFerror(INDEX(Papers!G$2:G$995,MATCH($A99, Papers!$A$2:$A$995,0)),"")</f>
        <v/>
      </c>
    </row>
    <row r="100">
      <c r="B100" s="85" t="str">
        <f t="array" ref="B100">IFerror(INDEX(Papers!C$2:C$995,MATCH($A100, Papers!$A$2:$A$995,0)),"")</f>
        <v/>
      </c>
      <c r="C100" s="85" t="str">
        <f t="array" ref="C100">IFerror(INDEX(Papers!D$2:D$995,MATCH($A100, Papers!$A$2:$A$995,0)),"")</f>
        <v/>
      </c>
      <c r="D100" s="86" t="str">
        <f t="array" ref="D100">IFerror(INDEX(Papers!F$2:F$995,MATCH($A100, Papers!$A$2:$A$995,0)),"")</f>
        <v/>
      </c>
      <c r="E100" s="59" t="str">
        <f t="array" ref="E100">IFerror(INDEX(Papers!G$2:G$995,MATCH($A100, Papers!$A$2:$A$995,0)),"")</f>
        <v/>
      </c>
    </row>
    <row r="101">
      <c r="B101" s="85" t="str">
        <f t="array" ref="B101">IFerror(INDEX(Papers!C$2:C$995,MATCH($A101, Papers!$A$2:$A$995,0)),"")</f>
        <v/>
      </c>
      <c r="C101" s="85" t="str">
        <f t="array" ref="C101">IFerror(INDEX(Papers!D$2:D$995,MATCH($A101, Papers!$A$2:$A$995,0)),"")</f>
        <v/>
      </c>
      <c r="D101" s="86" t="str">
        <f t="array" ref="D101">IFerror(INDEX(Papers!F$2:F$995,MATCH($A101, Papers!$A$2:$A$995,0)),"")</f>
        <v/>
      </c>
      <c r="E101" s="59" t="str">
        <f t="array" ref="E101">IFerror(INDEX(Papers!G$2:G$995,MATCH($A101, Papers!$A$2:$A$995,0)),"")</f>
        <v/>
      </c>
    </row>
    <row r="102">
      <c r="B102" s="85" t="str">
        <f t="array" ref="B102">IFerror(INDEX(Papers!C$2:C$995,MATCH($A102, Papers!$A$2:$A$995,0)),"")</f>
        <v/>
      </c>
      <c r="C102" s="85" t="str">
        <f t="array" ref="C102">IFerror(INDEX(Papers!D$2:D$995,MATCH($A102, Papers!$A$2:$A$995,0)),"")</f>
        <v/>
      </c>
      <c r="D102" s="86" t="str">
        <f t="array" ref="D102">IFerror(INDEX(Papers!F$2:F$995,MATCH($A102, Papers!$A$2:$A$995,0)),"")</f>
        <v/>
      </c>
      <c r="E102" s="59" t="str">
        <f t="array" ref="E102">IFerror(INDEX(Papers!G$2:G$995,MATCH($A102, Papers!$A$2:$A$995,0)),"")</f>
        <v/>
      </c>
    </row>
    <row r="103">
      <c r="B103" s="85" t="str">
        <f t="array" ref="B103">IFerror(INDEX(Papers!C$2:C$995,MATCH($A103, Papers!$A$2:$A$995,0)),"")</f>
        <v/>
      </c>
      <c r="C103" s="85" t="str">
        <f t="array" ref="C103">IFerror(INDEX(Papers!D$2:D$995,MATCH($A103, Papers!$A$2:$A$995,0)),"")</f>
        <v/>
      </c>
      <c r="D103" s="86" t="str">
        <f t="array" ref="D103">IFerror(INDEX(Papers!F$2:F$995,MATCH($A103, Papers!$A$2:$A$995,0)),"")</f>
        <v/>
      </c>
      <c r="E103" s="59" t="str">
        <f t="array" ref="E103">IFerror(INDEX(Papers!G$2:G$995,MATCH($A103, Papers!$A$2:$A$995,0)),"")</f>
        <v/>
      </c>
    </row>
    <row r="104">
      <c r="B104" s="85" t="str">
        <f t="array" ref="B104">IFerror(INDEX(Papers!C$2:C$995,MATCH($A104, Papers!$A$2:$A$995,0)),"")</f>
        <v/>
      </c>
      <c r="C104" s="85" t="str">
        <f t="array" ref="C104">IFerror(INDEX(Papers!D$2:D$995,MATCH($A104, Papers!$A$2:$A$995,0)),"")</f>
        <v/>
      </c>
      <c r="D104" s="86" t="str">
        <f t="array" ref="D104">IFerror(INDEX(Papers!F$2:F$995,MATCH($A104, Papers!$A$2:$A$995,0)),"")</f>
        <v/>
      </c>
      <c r="E104" s="59" t="str">
        <f t="array" ref="E104">IFerror(INDEX(Papers!G$2:G$995,MATCH($A104, Papers!$A$2:$A$995,0)),"")</f>
        <v/>
      </c>
    </row>
    <row r="105">
      <c r="B105" s="85" t="str">
        <f t="array" ref="B105">IFerror(INDEX(Papers!C$2:C$995,MATCH($A105, Papers!$A$2:$A$995,0)),"")</f>
        <v/>
      </c>
      <c r="C105" s="85" t="str">
        <f t="array" ref="C105">IFerror(INDEX(Papers!D$2:D$995,MATCH($A105, Papers!$A$2:$A$995,0)),"")</f>
        <v/>
      </c>
      <c r="D105" s="86" t="str">
        <f t="array" ref="D105">IFerror(INDEX(Papers!F$2:F$995,MATCH($A105, Papers!$A$2:$A$995,0)),"")</f>
        <v/>
      </c>
      <c r="E105" s="59" t="str">
        <f t="array" ref="E105">IFerror(INDEX(Papers!G$2:G$995,MATCH($A105, Papers!$A$2:$A$995,0)),"")</f>
        <v/>
      </c>
    </row>
    <row r="106">
      <c r="B106" s="85" t="str">
        <f t="array" ref="B106">IFerror(INDEX(Papers!C$2:C$995,MATCH($A106, Papers!$A$2:$A$995,0)),"")</f>
        <v/>
      </c>
      <c r="C106" s="85" t="str">
        <f t="array" ref="C106">IFerror(INDEX(Papers!D$2:D$995,MATCH($A106, Papers!$A$2:$A$995,0)),"")</f>
        <v/>
      </c>
      <c r="D106" s="86" t="str">
        <f t="array" ref="D106">IFerror(INDEX(Papers!F$2:F$995,MATCH($A106, Papers!$A$2:$A$995,0)),"")</f>
        <v/>
      </c>
      <c r="E106" s="59" t="str">
        <f t="array" ref="E106">IFerror(INDEX(Papers!G$2:G$995,MATCH($A106, Papers!$A$2:$A$995,0)),"")</f>
        <v/>
      </c>
    </row>
    <row r="107">
      <c r="B107" s="85" t="str">
        <f t="array" ref="B107">IFerror(INDEX(Papers!C$2:C$995,MATCH($A107, Papers!$A$2:$A$995,0)),"")</f>
        <v/>
      </c>
      <c r="C107" s="85" t="str">
        <f t="array" ref="C107">IFerror(INDEX(Papers!D$2:D$995,MATCH($A107, Papers!$A$2:$A$995,0)),"")</f>
        <v/>
      </c>
      <c r="D107" s="86" t="str">
        <f t="array" ref="D107">IFerror(INDEX(Papers!F$2:F$995,MATCH($A107, Papers!$A$2:$A$995,0)),"")</f>
        <v/>
      </c>
      <c r="E107" s="59" t="str">
        <f t="array" ref="E107">IFerror(INDEX(Papers!G$2:G$995,MATCH($A107, Papers!$A$2:$A$995,0)),"")</f>
        <v/>
      </c>
    </row>
    <row r="108">
      <c r="B108" s="85" t="str">
        <f t="array" ref="B108">IFerror(INDEX(Papers!C$2:C$995,MATCH($A108, Papers!$A$2:$A$995,0)),"")</f>
        <v/>
      </c>
      <c r="C108" s="85" t="str">
        <f t="array" ref="C108">IFerror(INDEX(Papers!D$2:D$995,MATCH($A108, Papers!$A$2:$A$995,0)),"")</f>
        <v/>
      </c>
      <c r="D108" s="86" t="str">
        <f t="array" ref="D108">IFerror(INDEX(Papers!F$2:F$995,MATCH($A108, Papers!$A$2:$A$995,0)),"")</f>
        <v/>
      </c>
      <c r="E108" s="59" t="str">
        <f t="array" ref="E108">IFerror(INDEX(Papers!G$2:G$995,MATCH($A108, Papers!$A$2:$A$995,0)),"")</f>
        <v/>
      </c>
    </row>
    <row r="109">
      <c r="B109" s="85" t="str">
        <f t="array" ref="B109">IFerror(INDEX(Papers!C$2:C$995,MATCH($A109, Papers!$A$2:$A$995,0)),"")</f>
        <v/>
      </c>
      <c r="C109" s="85" t="str">
        <f t="array" ref="C109">IFerror(INDEX(Papers!D$2:D$995,MATCH($A109, Papers!$A$2:$A$995,0)),"")</f>
        <v/>
      </c>
      <c r="D109" s="86" t="str">
        <f t="array" ref="D109">IFerror(INDEX(Papers!F$2:F$995,MATCH($A109, Papers!$A$2:$A$995,0)),"")</f>
        <v/>
      </c>
      <c r="E109" s="59" t="str">
        <f t="array" ref="E109">IFerror(INDEX(Papers!G$2:G$995,MATCH($A109, Papers!$A$2:$A$995,0)),"")</f>
        <v/>
      </c>
    </row>
    <row r="110">
      <c r="B110" s="85" t="str">
        <f t="array" ref="B110">IFerror(INDEX(Papers!C$2:C$995,MATCH($A110, Papers!$A$2:$A$995,0)),"")</f>
        <v/>
      </c>
      <c r="C110" s="85" t="str">
        <f t="array" ref="C110">IFerror(INDEX(Papers!D$2:D$995,MATCH($A110, Papers!$A$2:$A$995,0)),"")</f>
        <v/>
      </c>
      <c r="D110" s="86" t="str">
        <f t="array" ref="D110">IFerror(INDEX(Papers!F$2:F$995,MATCH($A110, Papers!$A$2:$A$995,0)),"")</f>
        <v/>
      </c>
      <c r="E110" s="59" t="str">
        <f t="array" ref="E110">IFerror(INDEX(Papers!G$2:G$995,MATCH($A110, Papers!$A$2:$A$995,0)),"")</f>
        <v/>
      </c>
    </row>
    <row r="111">
      <c r="B111" s="85" t="str">
        <f t="array" ref="B111">IFerror(INDEX(Papers!C$2:C$995,MATCH($A111, Papers!$A$2:$A$995,0)),"")</f>
        <v/>
      </c>
      <c r="C111" s="85" t="str">
        <f t="array" ref="C111">IFerror(INDEX(Papers!D$2:D$995,MATCH($A111, Papers!$A$2:$A$995,0)),"")</f>
        <v/>
      </c>
      <c r="D111" s="86" t="str">
        <f t="array" ref="D111">IFerror(INDEX(Papers!F$2:F$995,MATCH($A111, Papers!$A$2:$A$995,0)),"")</f>
        <v/>
      </c>
      <c r="E111" s="59" t="str">
        <f t="array" ref="E111">IFerror(INDEX(Papers!G$2:G$995,MATCH($A111, Papers!$A$2:$A$995,0)),"")</f>
        <v/>
      </c>
    </row>
    <row r="112">
      <c r="B112" s="85" t="str">
        <f t="array" ref="B112">IFerror(INDEX(Papers!C$2:C$995,MATCH($A112, Papers!$A$2:$A$995,0)),"")</f>
        <v/>
      </c>
      <c r="C112" s="85" t="str">
        <f t="array" ref="C112">IFerror(INDEX(Papers!D$2:D$995,MATCH($A112, Papers!$A$2:$A$995,0)),"")</f>
        <v/>
      </c>
      <c r="D112" s="86" t="str">
        <f t="array" ref="D112">IFerror(INDEX(Papers!F$2:F$995,MATCH($A112, Papers!$A$2:$A$995,0)),"")</f>
        <v/>
      </c>
      <c r="E112" s="59" t="str">
        <f t="array" ref="E112">IFerror(INDEX(Papers!G$2:G$995,MATCH($A112, Papers!$A$2:$A$995,0)),"")</f>
        <v/>
      </c>
    </row>
    <row r="113">
      <c r="B113" s="85" t="str">
        <f t="array" ref="B113">IFerror(INDEX(Papers!C$2:C$995,MATCH($A113, Papers!$A$2:$A$995,0)),"")</f>
        <v/>
      </c>
      <c r="C113" s="85" t="str">
        <f t="array" ref="C113">IFerror(INDEX(Papers!D$2:D$995,MATCH($A113, Papers!$A$2:$A$995,0)),"")</f>
        <v/>
      </c>
      <c r="D113" s="86" t="str">
        <f t="array" ref="D113">IFerror(INDEX(Papers!F$2:F$995,MATCH($A113, Papers!$A$2:$A$995,0)),"")</f>
        <v/>
      </c>
      <c r="E113" s="59" t="str">
        <f t="array" ref="E113">IFerror(INDEX(Papers!G$2:G$995,MATCH($A113, Papers!$A$2:$A$995,0)),"")</f>
        <v/>
      </c>
    </row>
    <row r="114">
      <c r="B114" s="85" t="str">
        <f t="array" ref="B114">IFerror(INDEX(Papers!C$2:C$995,MATCH($A114, Papers!$A$2:$A$995,0)),"")</f>
        <v/>
      </c>
      <c r="C114" s="85" t="str">
        <f t="array" ref="C114">IFerror(INDEX(Papers!D$2:D$995,MATCH($A114, Papers!$A$2:$A$995,0)),"")</f>
        <v/>
      </c>
      <c r="D114" s="86" t="str">
        <f t="array" ref="D114">IFerror(INDEX(Papers!F$2:F$995,MATCH($A114, Papers!$A$2:$A$995,0)),"")</f>
        <v/>
      </c>
      <c r="E114" s="59" t="str">
        <f t="array" ref="E114">IFerror(INDEX(Papers!G$2:G$995,MATCH($A114, Papers!$A$2:$A$995,0)),"")</f>
        <v/>
      </c>
    </row>
    <row r="115">
      <c r="B115" s="85" t="str">
        <f t="array" ref="B115">IFerror(INDEX(Papers!C$2:C$995,MATCH($A115, Papers!$A$2:$A$995,0)),"")</f>
        <v/>
      </c>
      <c r="C115" s="85" t="str">
        <f t="array" ref="C115">IFerror(INDEX(Papers!D$2:D$995,MATCH($A115, Papers!$A$2:$A$995,0)),"")</f>
        <v/>
      </c>
      <c r="D115" s="86" t="str">
        <f t="array" ref="D115">IFerror(INDEX(Papers!F$2:F$995,MATCH($A115, Papers!$A$2:$A$995,0)),"")</f>
        <v/>
      </c>
      <c r="E115" s="59" t="str">
        <f t="array" ref="E115">IFerror(INDEX(Papers!G$2:G$995,MATCH($A115, Papers!$A$2:$A$995,0)),"")</f>
        <v/>
      </c>
    </row>
    <row r="116">
      <c r="B116" s="85" t="str">
        <f t="array" ref="B116">IFerror(INDEX(Papers!C$2:C$995,MATCH($A116, Papers!$A$2:$A$995,0)),"")</f>
        <v/>
      </c>
      <c r="C116" s="85" t="str">
        <f t="array" ref="C116">IFerror(INDEX(Papers!D$2:D$995,MATCH($A116, Papers!$A$2:$A$995,0)),"")</f>
        <v/>
      </c>
      <c r="D116" s="86" t="str">
        <f t="array" ref="D116">IFerror(INDEX(Papers!F$2:F$995,MATCH($A116, Papers!$A$2:$A$995,0)),"")</f>
        <v/>
      </c>
      <c r="E116" s="59" t="str">
        <f t="array" ref="E116">IFerror(INDEX(Papers!G$2:G$995,MATCH($A116, Papers!$A$2:$A$995,0)),"")</f>
        <v/>
      </c>
    </row>
    <row r="117">
      <c r="B117" s="85" t="str">
        <f t="array" ref="B117">IFerror(INDEX(Papers!C$2:C$995,MATCH($A117, Papers!$A$2:$A$995,0)),"")</f>
        <v/>
      </c>
      <c r="C117" s="85" t="str">
        <f t="array" ref="C117">IFerror(INDEX(Papers!D$2:D$995,MATCH($A117, Papers!$A$2:$A$995,0)),"")</f>
        <v/>
      </c>
      <c r="D117" s="86" t="str">
        <f t="array" ref="D117">IFerror(INDEX(Papers!F$2:F$995,MATCH($A117, Papers!$A$2:$A$995,0)),"")</f>
        <v/>
      </c>
      <c r="E117" s="59" t="str">
        <f t="array" ref="E117">IFerror(INDEX(Papers!G$2:G$995,MATCH($A117, Papers!$A$2:$A$995,0)),"")</f>
        <v/>
      </c>
    </row>
    <row r="118">
      <c r="B118" s="85" t="str">
        <f t="array" ref="B118">IFerror(INDEX(Papers!C$2:C$995,MATCH($A118, Papers!$A$2:$A$995,0)),"")</f>
        <v/>
      </c>
      <c r="C118" s="85" t="str">
        <f t="array" ref="C118">IFerror(INDEX(Papers!D$2:D$995,MATCH($A118, Papers!$A$2:$A$995,0)),"")</f>
        <v/>
      </c>
      <c r="D118" s="86" t="str">
        <f t="array" ref="D118">IFerror(INDEX(Papers!F$2:F$995,MATCH($A118, Papers!$A$2:$A$995,0)),"")</f>
        <v/>
      </c>
      <c r="E118" s="59" t="str">
        <f t="array" ref="E118">IFerror(INDEX(Papers!G$2:G$995,MATCH($A118, Papers!$A$2:$A$995,0)),"")</f>
        <v/>
      </c>
    </row>
    <row r="119">
      <c r="B119" s="85" t="str">
        <f t="array" ref="B119">IFerror(INDEX(Papers!C$2:C$995,MATCH($A119, Papers!$A$2:$A$995,0)),"")</f>
        <v/>
      </c>
      <c r="C119" s="85" t="str">
        <f t="array" ref="C119">IFerror(INDEX(Papers!D$2:D$995,MATCH($A119, Papers!$A$2:$A$995,0)),"")</f>
        <v/>
      </c>
      <c r="D119" s="86" t="str">
        <f t="array" ref="D119">IFerror(INDEX(Papers!F$2:F$995,MATCH($A119, Papers!$A$2:$A$995,0)),"")</f>
        <v/>
      </c>
      <c r="E119" s="59" t="str">
        <f t="array" ref="E119">IFerror(INDEX(Papers!G$2:G$995,MATCH($A119, Papers!$A$2:$A$995,0)),"")</f>
        <v/>
      </c>
    </row>
    <row r="120">
      <c r="B120" s="85" t="str">
        <f t="array" ref="B120">IFerror(INDEX(Papers!C$2:C$995,MATCH($A120, Papers!$A$2:$A$995,0)),"")</f>
        <v/>
      </c>
      <c r="C120" s="85" t="str">
        <f t="array" ref="C120">IFerror(INDEX(Papers!D$2:D$995,MATCH($A120, Papers!$A$2:$A$995,0)),"")</f>
        <v/>
      </c>
      <c r="D120" s="86" t="str">
        <f t="array" ref="D120">IFerror(INDEX(Papers!F$2:F$995,MATCH($A120, Papers!$A$2:$A$995,0)),"")</f>
        <v/>
      </c>
      <c r="E120" s="59" t="str">
        <f t="array" ref="E120">IFerror(INDEX(Papers!G$2:G$995,MATCH($A120, Papers!$A$2:$A$995,0)),"")</f>
        <v/>
      </c>
    </row>
    <row r="121">
      <c r="B121" s="85" t="str">
        <f t="array" ref="B121">IFerror(INDEX(Papers!C$2:C$995,MATCH($A121, Papers!$A$2:$A$995,0)),"")</f>
        <v/>
      </c>
      <c r="C121" s="85" t="str">
        <f t="array" ref="C121">IFerror(INDEX(Papers!D$2:D$995,MATCH($A121, Papers!$A$2:$A$995,0)),"")</f>
        <v/>
      </c>
      <c r="D121" s="86" t="str">
        <f t="array" ref="D121">IFerror(INDEX(Papers!F$2:F$995,MATCH($A121, Papers!$A$2:$A$995,0)),"")</f>
        <v/>
      </c>
      <c r="E121" s="59" t="str">
        <f t="array" ref="E121">IFerror(INDEX(Papers!G$2:G$995,MATCH($A121, Papers!$A$2:$A$995,0)),"")</f>
        <v/>
      </c>
    </row>
    <row r="122">
      <c r="B122" s="85" t="str">
        <f t="array" ref="B122">IFerror(INDEX(Papers!C$2:C$995,MATCH($A122, Papers!$A$2:$A$995,0)),"")</f>
        <v/>
      </c>
      <c r="C122" s="85" t="str">
        <f t="array" ref="C122">IFerror(INDEX(Papers!D$2:D$995,MATCH($A122, Papers!$A$2:$A$995,0)),"")</f>
        <v/>
      </c>
      <c r="D122" s="86" t="str">
        <f t="array" ref="D122">IFerror(INDEX(Papers!F$2:F$995,MATCH($A122, Papers!$A$2:$A$995,0)),"")</f>
        <v/>
      </c>
      <c r="E122" s="59" t="str">
        <f t="array" ref="E122">IFerror(INDEX(Papers!G$2:G$995,MATCH($A122, Papers!$A$2:$A$995,0)),"")</f>
        <v/>
      </c>
    </row>
    <row r="123">
      <c r="B123" s="85" t="str">
        <f t="array" ref="B123">IFerror(INDEX(Papers!C$2:C$995,MATCH($A123, Papers!$A$2:$A$995,0)),"")</f>
        <v/>
      </c>
      <c r="C123" s="85" t="str">
        <f t="array" ref="C123">IFerror(INDEX(Papers!D$2:D$995,MATCH($A123, Papers!$A$2:$A$995,0)),"")</f>
        <v/>
      </c>
      <c r="D123" s="86" t="str">
        <f t="array" ref="D123">IFerror(INDEX(Papers!F$2:F$995,MATCH($A123, Papers!$A$2:$A$995,0)),"")</f>
        <v/>
      </c>
      <c r="E123" s="59" t="str">
        <f t="array" ref="E123">IFerror(INDEX(Papers!G$2:G$995,MATCH($A123, Papers!$A$2:$A$995,0)),"")</f>
        <v/>
      </c>
    </row>
    <row r="124">
      <c r="B124" s="85" t="str">
        <f t="array" ref="B124">IFerror(INDEX(Papers!C$2:C$995,MATCH($A124, Papers!$A$2:$A$995,0)),"")</f>
        <v/>
      </c>
      <c r="C124" s="85" t="str">
        <f t="array" ref="C124">IFerror(INDEX(Papers!D$2:D$995,MATCH($A124, Papers!$A$2:$A$995,0)),"")</f>
        <v/>
      </c>
      <c r="D124" s="86" t="str">
        <f t="array" ref="D124">IFerror(INDEX(Papers!F$2:F$995,MATCH($A124, Papers!$A$2:$A$995,0)),"")</f>
        <v/>
      </c>
      <c r="E124" s="59" t="str">
        <f t="array" ref="E124">IFerror(INDEX(Papers!G$2:G$995,MATCH($A124, Papers!$A$2:$A$995,0)),"")</f>
        <v/>
      </c>
    </row>
    <row r="125">
      <c r="B125" s="85" t="str">
        <f t="array" ref="B125">IFerror(INDEX(Papers!C$2:C$995,MATCH($A125, Papers!$A$2:$A$995,0)),"")</f>
        <v/>
      </c>
      <c r="C125" s="85" t="str">
        <f t="array" ref="C125">IFerror(INDEX(Papers!D$2:D$995,MATCH($A125, Papers!$A$2:$A$995,0)),"")</f>
        <v/>
      </c>
      <c r="D125" s="86" t="str">
        <f t="array" ref="D125">IFerror(INDEX(Papers!F$2:F$995,MATCH($A125, Papers!$A$2:$A$995,0)),"")</f>
        <v/>
      </c>
      <c r="E125" s="59" t="str">
        <f t="array" ref="E125">IFerror(INDEX(Papers!G$2:G$995,MATCH($A125, Papers!$A$2:$A$995,0)),"")</f>
        <v/>
      </c>
    </row>
    <row r="126">
      <c r="B126" s="85" t="str">
        <f t="array" ref="B126">IFerror(INDEX(Papers!C$2:C$995,MATCH($A126, Papers!$A$2:$A$995,0)),"")</f>
        <v/>
      </c>
      <c r="C126" s="85" t="str">
        <f t="array" ref="C126">IFerror(INDEX(Papers!D$2:D$995,MATCH($A126, Papers!$A$2:$A$995,0)),"")</f>
        <v/>
      </c>
      <c r="D126" s="86" t="str">
        <f t="array" ref="D126">IFerror(INDEX(Papers!F$2:F$995,MATCH($A126, Papers!$A$2:$A$995,0)),"")</f>
        <v/>
      </c>
      <c r="E126" s="59" t="str">
        <f t="array" ref="E126">IFerror(INDEX(Papers!G$2:G$995,MATCH($A126, Papers!$A$2:$A$995,0)),"")</f>
        <v/>
      </c>
    </row>
    <row r="127">
      <c r="B127" s="85" t="str">
        <f t="array" ref="B127">IFerror(INDEX(Papers!C$2:C$995,MATCH($A127, Papers!$A$2:$A$995,0)),"")</f>
        <v/>
      </c>
      <c r="C127" s="85" t="str">
        <f t="array" ref="C127">IFerror(INDEX(Papers!D$2:D$995,MATCH($A127, Papers!$A$2:$A$995,0)),"")</f>
        <v/>
      </c>
      <c r="D127" s="86" t="str">
        <f t="array" ref="D127">IFerror(INDEX(Papers!F$2:F$995,MATCH($A127, Papers!$A$2:$A$995,0)),"")</f>
        <v/>
      </c>
      <c r="E127" s="59" t="str">
        <f t="array" ref="E127">IFerror(INDEX(Papers!G$2:G$995,MATCH($A127, Papers!$A$2:$A$995,0)),"")</f>
        <v/>
      </c>
    </row>
    <row r="128">
      <c r="B128" s="85" t="str">
        <f t="array" ref="B128">IFerror(INDEX(Papers!C$2:C$995,MATCH($A128, Papers!$A$2:$A$995,0)),"")</f>
        <v/>
      </c>
      <c r="C128" s="85" t="str">
        <f t="array" ref="C128">IFerror(INDEX(Papers!D$2:D$995,MATCH($A128, Papers!$A$2:$A$995,0)),"")</f>
        <v/>
      </c>
      <c r="D128" s="86" t="str">
        <f t="array" ref="D128">IFerror(INDEX(Papers!F$2:F$995,MATCH($A128, Papers!$A$2:$A$995,0)),"")</f>
        <v/>
      </c>
      <c r="E128" s="59" t="str">
        <f t="array" ref="E128">IFerror(INDEX(Papers!G$2:G$995,MATCH($A128, Papers!$A$2:$A$995,0)),"")</f>
        <v/>
      </c>
    </row>
    <row r="129">
      <c r="B129" s="85" t="str">
        <f t="array" ref="B129">IFerror(INDEX(Papers!C$2:C$995,MATCH($A129, Papers!$A$2:$A$995,0)),"")</f>
        <v/>
      </c>
      <c r="C129" s="85" t="str">
        <f t="array" ref="C129">IFerror(INDEX(Papers!D$2:D$995,MATCH($A129, Papers!$A$2:$A$995,0)),"")</f>
        <v/>
      </c>
      <c r="D129" s="86" t="str">
        <f t="array" ref="D129">IFerror(INDEX(Papers!F$2:F$995,MATCH($A129, Papers!$A$2:$A$995,0)),"")</f>
        <v/>
      </c>
      <c r="E129" s="59" t="str">
        <f t="array" ref="E129">IFerror(INDEX(Papers!G$2:G$995,MATCH($A129, Papers!$A$2:$A$995,0)),"")</f>
        <v/>
      </c>
    </row>
    <row r="130">
      <c r="B130" s="85" t="str">
        <f t="array" ref="B130">IFerror(INDEX(Papers!C$2:C$995,MATCH($A130, Papers!$A$2:$A$995,0)),"")</f>
        <v/>
      </c>
      <c r="C130" s="85" t="str">
        <f t="array" ref="C130">IFerror(INDEX(Papers!D$2:D$995,MATCH($A130, Papers!$A$2:$A$995,0)),"")</f>
        <v/>
      </c>
      <c r="D130" s="86" t="str">
        <f t="array" ref="D130">IFerror(INDEX(Papers!F$2:F$995,MATCH($A130, Papers!$A$2:$A$995,0)),"")</f>
        <v/>
      </c>
      <c r="E130" s="59" t="str">
        <f t="array" ref="E130">IFerror(INDEX(Papers!G$2:G$995,MATCH($A130, Papers!$A$2:$A$995,0)),"")</f>
        <v/>
      </c>
    </row>
    <row r="131">
      <c r="B131" s="85" t="str">
        <f t="array" ref="B131">IFerror(INDEX(Papers!C$2:C$995,MATCH($A131, Papers!$A$2:$A$995,0)),"")</f>
        <v/>
      </c>
      <c r="C131" s="85" t="str">
        <f t="array" ref="C131">IFerror(INDEX(Papers!D$2:D$995,MATCH($A131, Papers!$A$2:$A$995,0)),"")</f>
        <v/>
      </c>
      <c r="D131" s="86" t="str">
        <f t="array" ref="D131">IFerror(INDEX(Papers!F$2:F$995,MATCH($A131, Papers!$A$2:$A$995,0)),"")</f>
        <v/>
      </c>
      <c r="E131" s="59" t="str">
        <f t="array" ref="E131">IFerror(INDEX(Papers!G$2:G$995,MATCH($A131, Papers!$A$2:$A$995,0)),"")</f>
        <v/>
      </c>
    </row>
    <row r="132">
      <c r="B132" s="85" t="str">
        <f t="array" ref="B132">IFerror(INDEX(Papers!C$2:C$995,MATCH($A132, Papers!$A$2:$A$995,0)),"")</f>
        <v/>
      </c>
      <c r="C132" s="85" t="str">
        <f t="array" ref="C132">IFerror(INDEX(Papers!D$2:D$995,MATCH($A132, Papers!$A$2:$A$995,0)),"")</f>
        <v/>
      </c>
      <c r="D132" s="86" t="str">
        <f t="array" ref="D132">IFerror(INDEX(Papers!F$2:F$995,MATCH($A132, Papers!$A$2:$A$995,0)),"")</f>
        <v/>
      </c>
      <c r="E132" s="59" t="str">
        <f t="array" ref="E132">IFerror(INDEX(Papers!G$2:G$995,MATCH($A132, Papers!$A$2:$A$995,0)),"")</f>
        <v/>
      </c>
    </row>
    <row r="133">
      <c r="B133" s="85" t="str">
        <f t="array" ref="B133">IFerror(INDEX(Papers!C$2:C$995,MATCH($A133, Papers!$A$2:$A$995,0)),"")</f>
        <v/>
      </c>
      <c r="C133" s="85" t="str">
        <f t="array" ref="C133">IFerror(INDEX(Papers!D$2:D$995,MATCH($A133, Papers!$A$2:$A$995,0)),"")</f>
        <v/>
      </c>
      <c r="D133" s="86" t="str">
        <f t="array" ref="D133">IFerror(INDEX(Papers!F$2:F$995,MATCH($A133, Papers!$A$2:$A$995,0)),"")</f>
        <v/>
      </c>
      <c r="E133" s="59" t="str">
        <f t="array" ref="E133">IFerror(INDEX(Papers!G$2:G$995,MATCH($A133, Papers!$A$2:$A$995,0)),"")</f>
        <v/>
      </c>
    </row>
    <row r="134">
      <c r="B134" s="85" t="str">
        <f t="array" ref="B134">IFerror(INDEX(Papers!C$2:C$995,MATCH($A134, Papers!$A$2:$A$995,0)),"")</f>
        <v/>
      </c>
      <c r="C134" s="85" t="str">
        <f t="array" ref="C134">IFerror(INDEX(Papers!D$2:D$995,MATCH($A134, Papers!$A$2:$A$995,0)),"")</f>
        <v/>
      </c>
      <c r="D134" s="86" t="str">
        <f t="array" ref="D134">IFerror(INDEX(Papers!F$2:F$995,MATCH($A134, Papers!$A$2:$A$995,0)),"")</f>
        <v/>
      </c>
      <c r="E134" s="59" t="str">
        <f t="array" ref="E134">IFerror(INDEX(Papers!G$2:G$995,MATCH($A134, Papers!$A$2:$A$995,0)),"")</f>
        <v/>
      </c>
    </row>
    <row r="135">
      <c r="B135" s="85" t="str">
        <f t="array" ref="B135">IFerror(INDEX(Papers!C$2:C$995,MATCH($A135, Papers!$A$2:$A$995,0)),"")</f>
        <v/>
      </c>
      <c r="C135" s="85" t="str">
        <f t="array" ref="C135">IFerror(INDEX(Papers!D$2:D$995,MATCH($A135, Papers!$A$2:$A$995,0)),"")</f>
        <v/>
      </c>
      <c r="D135" s="86" t="str">
        <f t="array" ref="D135">IFerror(INDEX(Papers!F$2:F$995,MATCH($A135, Papers!$A$2:$A$995,0)),"")</f>
        <v/>
      </c>
      <c r="E135" s="59" t="str">
        <f t="array" ref="E135">IFerror(INDEX(Papers!G$2:G$995,MATCH($A135, Papers!$A$2:$A$995,0)),"")</f>
        <v/>
      </c>
    </row>
    <row r="136">
      <c r="B136" s="85" t="str">
        <f t="array" ref="B136">IFerror(INDEX(Papers!C$2:C$995,MATCH($A136, Papers!$A$2:$A$995,0)),"")</f>
        <v/>
      </c>
      <c r="C136" s="85" t="str">
        <f t="array" ref="C136">IFerror(INDEX(Papers!D$2:D$995,MATCH($A136, Papers!$A$2:$A$995,0)),"")</f>
        <v/>
      </c>
      <c r="D136" s="86" t="str">
        <f t="array" ref="D136">IFerror(INDEX(Papers!F$2:F$995,MATCH($A136, Papers!$A$2:$A$995,0)),"")</f>
        <v/>
      </c>
      <c r="E136" s="59" t="str">
        <f t="array" ref="E136">IFerror(INDEX(Papers!G$2:G$995,MATCH($A136, Papers!$A$2:$A$995,0)),"")</f>
        <v/>
      </c>
    </row>
    <row r="137">
      <c r="B137" s="85" t="str">
        <f t="array" ref="B137">IFerror(INDEX(Papers!C$2:C$995,MATCH($A137, Papers!$A$2:$A$995,0)),"")</f>
        <v/>
      </c>
      <c r="C137" s="85" t="str">
        <f t="array" ref="C137">IFerror(INDEX(Papers!D$2:D$995,MATCH($A137, Papers!$A$2:$A$995,0)),"")</f>
        <v/>
      </c>
      <c r="D137" s="86" t="str">
        <f t="array" ref="D137">IFerror(INDEX(Papers!F$2:F$995,MATCH($A137, Papers!$A$2:$A$995,0)),"")</f>
        <v/>
      </c>
      <c r="E137" s="59" t="str">
        <f t="array" ref="E137">IFerror(INDEX(Papers!G$2:G$995,MATCH($A137, Papers!$A$2:$A$995,0)),"")</f>
        <v/>
      </c>
    </row>
    <row r="138">
      <c r="B138" s="85" t="str">
        <f t="array" ref="B138">IFerror(INDEX(Papers!C$2:C$995,MATCH($A138, Papers!$A$2:$A$995,0)),"")</f>
        <v/>
      </c>
      <c r="C138" s="85" t="str">
        <f t="array" ref="C138">IFerror(INDEX(Papers!D$2:D$995,MATCH($A138, Papers!$A$2:$A$995,0)),"")</f>
        <v/>
      </c>
      <c r="D138" s="86" t="str">
        <f t="array" ref="D138">IFerror(INDEX(Papers!F$2:F$995,MATCH($A138, Papers!$A$2:$A$995,0)),"")</f>
        <v/>
      </c>
      <c r="E138" s="59" t="str">
        <f t="array" ref="E138">IFerror(INDEX(Papers!G$2:G$995,MATCH($A138, Papers!$A$2:$A$995,0)),"")</f>
        <v/>
      </c>
    </row>
    <row r="139">
      <c r="B139" s="85" t="str">
        <f t="array" ref="B139">IFerror(INDEX(Papers!C$2:C$995,MATCH($A139, Papers!$A$2:$A$995,0)),"")</f>
        <v/>
      </c>
      <c r="C139" s="85" t="str">
        <f t="array" ref="C139">IFerror(INDEX(Papers!D$2:D$995,MATCH($A139, Papers!$A$2:$A$995,0)),"")</f>
        <v/>
      </c>
      <c r="D139" s="86" t="str">
        <f t="array" ref="D139">IFerror(INDEX(Papers!F$2:F$995,MATCH($A139, Papers!$A$2:$A$995,0)),"")</f>
        <v/>
      </c>
      <c r="E139" s="59" t="str">
        <f t="array" ref="E139">IFerror(INDEX(Papers!G$2:G$995,MATCH($A139, Papers!$A$2:$A$995,0)),"")</f>
        <v/>
      </c>
    </row>
    <row r="140">
      <c r="B140" s="85" t="str">
        <f t="array" ref="B140">IFerror(INDEX(Papers!C$2:C$995,MATCH($A140, Papers!$A$2:$A$995,0)),"")</f>
        <v/>
      </c>
      <c r="C140" s="85" t="str">
        <f t="array" ref="C140">IFerror(INDEX(Papers!D$2:D$995,MATCH($A140, Papers!$A$2:$A$995,0)),"")</f>
        <v/>
      </c>
      <c r="D140" s="86" t="str">
        <f t="array" ref="D140">IFerror(INDEX(Papers!F$2:F$995,MATCH($A140, Papers!$A$2:$A$995,0)),"")</f>
        <v/>
      </c>
      <c r="E140" s="59" t="str">
        <f t="array" ref="E140">IFerror(INDEX(Papers!G$2:G$995,MATCH($A140, Papers!$A$2:$A$995,0)),"")</f>
        <v/>
      </c>
    </row>
    <row r="141">
      <c r="B141" s="85" t="str">
        <f t="array" ref="B141">IFerror(INDEX(Papers!C$2:C$995,MATCH($A141, Papers!$A$2:$A$995,0)),"")</f>
        <v/>
      </c>
      <c r="C141" s="85" t="str">
        <f t="array" ref="C141">IFerror(INDEX(Papers!D$2:D$995,MATCH($A141, Papers!$A$2:$A$995,0)),"")</f>
        <v/>
      </c>
      <c r="D141" s="86" t="str">
        <f t="array" ref="D141">IFerror(INDEX(Papers!F$2:F$995,MATCH($A141, Papers!$A$2:$A$995,0)),"")</f>
        <v/>
      </c>
      <c r="E141" s="59" t="str">
        <f t="array" ref="E141">IFerror(INDEX(Papers!G$2:G$995,MATCH($A141, Papers!$A$2:$A$995,0)),"")</f>
        <v/>
      </c>
    </row>
    <row r="142">
      <c r="B142" s="85" t="str">
        <f t="array" ref="B142">IFerror(INDEX(Papers!C$2:C$995,MATCH($A142, Papers!$A$2:$A$995,0)),"")</f>
        <v/>
      </c>
      <c r="C142" s="85" t="str">
        <f t="array" ref="C142">IFerror(INDEX(Papers!D$2:D$995,MATCH($A142, Papers!$A$2:$A$995,0)),"")</f>
        <v/>
      </c>
      <c r="D142" s="86" t="str">
        <f t="array" ref="D142">IFerror(INDEX(Papers!F$2:F$995,MATCH($A142, Papers!$A$2:$A$995,0)),"")</f>
        <v/>
      </c>
      <c r="E142" s="59" t="str">
        <f t="array" ref="E142">IFerror(INDEX(Papers!G$2:G$995,MATCH($A142, Papers!$A$2:$A$995,0)),"")</f>
        <v/>
      </c>
    </row>
    <row r="143">
      <c r="B143" s="85" t="str">
        <f t="array" ref="B143">IFerror(INDEX(Papers!C$2:C$995,MATCH($A143, Papers!$A$2:$A$995,0)),"")</f>
        <v/>
      </c>
      <c r="C143" s="85" t="str">
        <f t="array" ref="C143">IFerror(INDEX(Papers!D$2:D$995,MATCH($A143, Papers!$A$2:$A$995,0)),"")</f>
        <v/>
      </c>
      <c r="D143" s="86" t="str">
        <f t="array" ref="D143">IFerror(INDEX(Papers!F$2:F$995,MATCH($A143, Papers!$A$2:$A$995,0)),"")</f>
        <v/>
      </c>
      <c r="E143" s="59" t="str">
        <f t="array" ref="E143">IFerror(INDEX(Papers!G$2:G$995,MATCH($A143, Papers!$A$2:$A$995,0)),"")</f>
        <v/>
      </c>
    </row>
    <row r="144">
      <c r="B144" s="85" t="str">
        <f t="array" ref="B144">IFerror(INDEX(Papers!C$2:C$995,MATCH($A144, Papers!$A$2:$A$995,0)),"")</f>
        <v/>
      </c>
      <c r="C144" s="85" t="str">
        <f t="array" ref="C144">IFerror(INDEX(Papers!D$2:D$995,MATCH($A144, Papers!$A$2:$A$995,0)),"")</f>
        <v/>
      </c>
      <c r="D144" s="86" t="str">
        <f t="array" ref="D144">IFerror(INDEX(Papers!F$2:F$995,MATCH($A144, Papers!$A$2:$A$995,0)),"")</f>
        <v/>
      </c>
      <c r="E144" s="59" t="str">
        <f t="array" ref="E144">IFerror(INDEX(Papers!G$2:G$995,MATCH($A144, Papers!$A$2:$A$995,0)),"")</f>
        <v/>
      </c>
    </row>
    <row r="145">
      <c r="B145" s="85" t="str">
        <f t="array" ref="B145">IFerror(INDEX(Papers!C$2:C$995,MATCH($A145, Papers!$A$2:$A$995,0)),"")</f>
        <v/>
      </c>
      <c r="C145" s="85" t="str">
        <f t="array" ref="C145">IFerror(INDEX(Papers!D$2:D$995,MATCH($A145, Papers!$A$2:$A$995,0)),"")</f>
        <v/>
      </c>
      <c r="D145" s="86" t="str">
        <f t="array" ref="D145">IFerror(INDEX(Papers!F$2:F$995,MATCH($A145, Papers!$A$2:$A$995,0)),"")</f>
        <v/>
      </c>
      <c r="E145" s="59" t="str">
        <f t="array" ref="E145">IFerror(INDEX(Papers!G$2:G$995,MATCH($A145, Papers!$A$2:$A$995,0)),"")</f>
        <v/>
      </c>
    </row>
    <row r="146">
      <c r="B146" s="85" t="str">
        <f t="array" ref="B146">IFerror(INDEX(Papers!C$2:C$995,MATCH($A146, Papers!$A$2:$A$995,0)),"")</f>
        <v/>
      </c>
      <c r="C146" s="85" t="str">
        <f t="array" ref="C146">IFerror(INDEX(Papers!D$2:D$995,MATCH($A146, Papers!$A$2:$A$995,0)),"")</f>
        <v/>
      </c>
      <c r="D146" s="86" t="str">
        <f t="array" ref="D146">IFerror(INDEX(Papers!F$2:F$995,MATCH($A146, Papers!$A$2:$A$995,0)),"")</f>
        <v/>
      </c>
      <c r="E146" s="59" t="str">
        <f t="array" ref="E146">IFerror(INDEX(Papers!G$2:G$995,MATCH($A146, Papers!$A$2:$A$995,0)),"")</f>
        <v/>
      </c>
    </row>
    <row r="147">
      <c r="B147" s="85" t="str">
        <f t="array" ref="B147">IFerror(INDEX(Papers!C$2:C$995,MATCH($A147, Papers!$A$2:$A$995,0)),"")</f>
        <v/>
      </c>
      <c r="C147" s="85" t="str">
        <f t="array" ref="C147">IFerror(INDEX(Papers!D$2:D$995,MATCH($A147, Papers!$A$2:$A$995,0)),"")</f>
        <v/>
      </c>
      <c r="D147" s="86" t="str">
        <f t="array" ref="D147">IFerror(INDEX(Papers!F$2:F$995,MATCH($A147, Papers!$A$2:$A$995,0)),"")</f>
        <v/>
      </c>
      <c r="E147" s="59" t="str">
        <f t="array" ref="E147">IFerror(INDEX(Papers!G$2:G$995,MATCH($A147, Papers!$A$2:$A$995,0)),"")</f>
        <v/>
      </c>
    </row>
    <row r="148">
      <c r="B148" s="85" t="str">
        <f t="array" ref="B148">IFerror(INDEX(Papers!C$2:C$995,MATCH($A148, Papers!$A$2:$A$995,0)),"")</f>
        <v/>
      </c>
      <c r="C148" s="85" t="str">
        <f t="array" ref="C148">IFerror(INDEX(Papers!D$2:D$995,MATCH($A148, Papers!$A$2:$A$995,0)),"")</f>
        <v/>
      </c>
      <c r="D148" s="86" t="str">
        <f t="array" ref="D148">IFerror(INDEX(Papers!F$2:F$995,MATCH($A148, Papers!$A$2:$A$995,0)),"")</f>
        <v/>
      </c>
      <c r="E148" s="59" t="str">
        <f t="array" ref="E148">IFerror(INDEX(Papers!G$2:G$995,MATCH($A148, Papers!$A$2:$A$995,0)),"")</f>
        <v/>
      </c>
    </row>
    <row r="149">
      <c r="B149" s="85" t="str">
        <f t="array" ref="B149">IFerror(INDEX(Papers!C$2:C$995,MATCH($A149, Papers!$A$2:$A$995,0)),"")</f>
        <v/>
      </c>
      <c r="C149" s="85" t="str">
        <f t="array" ref="C149">IFerror(INDEX(Papers!D$2:D$995,MATCH($A149, Papers!$A$2:$A$995,0)),"")</f>
        <v/>
      </c>
      <c r="D149" s="86" t="str">
        <f t="array" ref="D149">IFerror(INDEX(Papers!F$2:F$995,MATCH($A149, Papers!$A$2:$A$995,0)),"")</f>
        <v/>
      </c>
      <c r="E149" s="59" t="str">
        <f t="array" ref="E149">IFerror(INDEX(Papers!G$2:G$995,MATCH($A149, Papers!$A$2:$A$995,0)),"")</f>
        <v/>
      </c>
    </row>
    <row r="150">
      <c r="B150" s="85" t="str">
        <f t="array" ref="B150">IFerror(INDEX(Papers!C$2:C$995,MATCH($A150, Papers!$A$2:$A$995,0)),"")</f>
        <v/>
      </c>
      <c r="C150" s="85" t="str">
        <f t="array" ref="C150">IFerror(INDEX(Papers!D$2:D$995,MATCH($A150, Papers!$A$2:$A$995,0)),"")</f>
        <v/>
      </c>
      <c r="D150" s="86" t="str">
        <f t="array" ref="D150">IFerror(INDEX(Papers!F$2:F$995,MATCH($A150, Papers!$A$2:$A$995,0)),"")</f>
        <v/>
      </c>
      <c r="E150" s="59" t="str">
        <f t="array" ref="E150">IFerror(INDEX(Papers!G$2:G$995,MATCH($A150, Papers!$A$2:$A$995,0)),"")</f>
        <v/>
      </c>
    </row>
    <row r="151">
      <c r="B151" s="85" t="str">
        <f t="array" ref="B151">IFerror(INDEX(Papers!C$2:C$995,MATCH($A151, Papers!$A$2:$A$995,0)),"")</f>
        <v/>
      </c>
      <c r="C151" s="85" t="str">
        <f t="array" ref="C151">IFerror(INDEX(Papers!D$2:D$995,MATCH($A151, Papers!$A$2:$A$995,0)),"")</f>
        <v/>
      </c>
      <c r="D151" s="86" t="str">
        <f t="array" ref="D151">IFerror(INDEX(Papers!F$2:F$995,MATCH($A151, Papers!$A$2:$A$995,0)),"")</f>
        <v/>
      </c>
      <c r="E151" s="59" t="str">
        <f t="array" ref="E151">IFerror(INDEX(Papers!G$2:G$995,MATCH($A151, Papers!$A$2:$A$995,0)),"")</f>
        <v/>
      </c>
    </row>
    <row r="152">
      <c r="B152" s="85" t="str">
        <f t="array" ref="B152">IFerror(INDEX(Papers!C$2:C$995,MATCH($A152, Papers!$A$2:$A$995,0)),"")</f>
        <v/>
      </c>
      <c r="C152" s="85" t="str">
        <f t="array" ref="C152">IFerror(INDEX(Papers!D$2:D$995,MATCH($A152, Papers!$A$2:$A$995,0)),"")</f>
        <v/>
      </c>
      <c r="D152" s="86" t="str">
        <f t="array" ref="D152">IFerror(INDEX(Papers!F$2:F$995,MATCH($A152, Papers!$A$2:$A$995,0)),"")</f>
        <v/>
      </c>
      <c r="E152" s="59" t="str">
        <f t="array" ref="E152">IFerror(INDEX(Papers!G$2:G$995,MATCH($A152, Papers!$A$2:$A$995,0)),"")</f>
        <v/>
      </c>
    </row>
    <row r="153">
      <c r="B153" s="85" t="str">
        <f t="array" ref="B153">IFerror(INDEX(Papers!C$2:C$995,MATCH($A153, Papers!$A$2:$A$995,0)),"")</f>
        <v/>
      </c>
      <c r="C153" s="85" t="str">
        <f t="array" ref="C153">IFerror(INDEX(Papers!D$2:D$995,MATCH($A153, Papers!$A$2:$A$995,0)),"")</f>
        <v/>
      </c>
      <c r="D153" s="86" t="str">
        <f t="array" ref="D153">IFerror(INDEX(Papers!F$2:F$995,MATCH($A153, Papers!$A$2:$A$995,0)),"")</f>
        <v/>
      </c>
      <c r="E153" s="59" t="str">
        <f t="array" ref="E153">IFerror(INDEX(Papers!G$2:G$995,MATCH($A153, Papers!$A$2:$A$995,0)),"")</f>
        <v/>
      </c>
    </row>
    <row r="154">
      <c r="B154" s="85" t="str">
        <f t="array" ref="B154">IFerror(INDEX(Papers!C$2:C$995,MATCH($A154, Papers!$A$2:$A$995,0)),"")</f>
        <v/>
      </c>
      <c r="C154" s="85" t="str">
        <f t="array" ref="C154">IFerror(INDEX(Papers!D$2:D$995,MATCH($A154, Papers!$A$2:$A$995,0)),"")</f>
        <v/>
      </c>
      <c r="D154" s="86" t="str">
        <f t="array" ref="D154">IFerror(INDEX(Papers!F$2:F$995,MATCH($A154, Papers!$A$2:$A$995,0)),"")</f>
        <v/>
      </c>
      <c r="E154" s="59" t="str">
        <f t="array" ref="E154">IFerror(INDEX(Papers!G$2:G$995,MATCH($A154, Papers!$A$2:$A$995,0)),"")</f>
        <v/>
      </c>
    </row>
    <row r="155">
      <c r="B155" s="85" t="str">
        <f t="array" ref="B155">IFerror(INDEX(Papers!C$2:C$995,MATCH($A155, Papers!$A$2:$A$995,0)),"")</f>
        <v/>
      </c>
      <c r="C155" s="85" t="str">
        <f t="array" ref="C155">IFerror(INDEX(Papers!D$2:D$995,MATCH($A155, Papers!$A$2:$A$995,0)),"")</f>
        <v/>
      </c>
      <c r="D155" s="86" t="str">
        <f t="array" ref="D155">IFerror(INDEX(Papers!F$2:F$995,MATCH($A155, Papers!$A$2:$A$995,0)),"")</f>
        <v/>
      </c>
      <c r="E155" s="59" t="str">
        <f t="array" ref="E155">IFerror(INDEX(Papers!G$2:G$995,MATCH($A155, Papers!$A$2:$A$995,0)),"")</f>
        <v/>
      </c>
    </row>
    <row r="156">
      <c r="B156" s="85" t="str">
        <f t="array" ref="B156">IFerror(INDEX(Papers!C$2:C$995,MATCH($A156, Papers!$A$2:$A$995,0)),"")</f>
        <v/>
      </c>
      <c r="C156" s="85" t="str">
        <f t="array" ref="C156">IFerror(INDEX(Papers!D$2:D$995,MATCH($A156, Papers!$A$2:$A$995,0)),"")</f>
        <v/>
      </c>
      <c r="D156" s="86" t="str">
        <f t="array" ref="D156">IFerror(INDEX(Papers!F$2:F$995,MATCH($A156, Papers!$A$2:$A$995,0)),"")</f>
        <v/>
      </c>
      <c r="E156" s="59" t="str">
        <f t="array" ref="E156">IFerror(INDEX(Papers!G$2:G$995,MATCH($A156, Papers!$A$2:$A$995,0)),"")</f>
        <v/>
      </c>
    </row>
    <row r="157">
      <c r="B157" s="85" t="str">
        <f t="array" ref="B157">IFerror(INDEX(Papers!C$2:C$995,MATCH($A157, Papers!$A$2:$A$995,0)),"")</f>
        <v/>
      </c>
      <c r="C157" s="85" t="str">
        <f t="array" ref="C157">IFerror(INDEX(Papers!D$2:D$995,MATCH($A157, Papers!$A$2:$A$995,0)),"")</f>
        <v/>
      </c>
      <c r="D157" s="86" t="str">
        <f t="array" ref="D157">IFerror(INDEX(Papers!F$2:F$995,MATCH($A157, Papers!$A$2:$A$995,0)),"")</f>
        <v/>
      </c>
      <c r="E157" s="59" t="str">
        <f t="array" ref="E157">IFerror(INDEX(Papers!G$2:G$995,MATCH($A157, Papers!$A$2:$A$995,0)),"")</f>
        <v/>
      </c>
    </row>
    <row r="158">
      <c r="B158" s="85" t="str">
        <f t="array" ref="B158">IFerror(INDEX(Papers!C$2:C$995,MATCH($A158, Papers!$A$2:$A$995,0)),"")</f>
        <v/>
      </c>
      <c r="C158" s="85" t="str">
        <f t="array" ref="C158">IFerror(INDEX(Papers!D$2:D$995,MATCH($A158, Papers!$A$2:$A$995,0)),"")</f>
        <v/>
      </c>
      <c r="D158" s="86" t="str">
        <f t="array" ref="D158">IFerror(INDEX(Papers!F$2:F$995,MATCH($A158, Papers!$A$2:$A$995,0)),"")</f>
        <v/>
      </c>
      <c r="E158" s="59" t="str">
        <f t="array" ref="E158">IFerror(INDEX(Papers!G$2:G$995,MATCH($A158, Papers!$A$2:$A$995,0)),"")</f>
        <v/>
      </c>
    </row>
    <row r="159">
      <c r="B159" s="85" t="str">
        <f t="array" ref="B159">IFerror(INDEX(Papers!C$2:C$995,MATCH($A159, Papers!$A$2:$A$995,0)),"")</f>
        <v/>
      </c>
      <c r="C159" s="85" t="str">
        <f t="array" ref="C159">IFerror(INDEX(Papers!D$2:D$995,MATCH($A159, Papers!$A$2:$A$995,0)),"")</f>
        <v/>
      </c>
      <c r="D159" s="86" t="str">
        <f t="array" ref="D159">IFerror(INDEX(Papers!F$2:F$995,MATCH($A159, Papers!$A$2:$A$995,0)),"")</f>
        <v/>
      </c>
      <c r="E159" s="59" t="str">
        <f t="array" ref="E159">IFerror(INDEX(Papers!G$2:G$995,MATCH($A159, Papers!$A$2:$A$995,0)),"")</f>
        <v/>
      </c>
    </row>
    <row r="160">
      <c r="B160" s="85" t="str">
        <f t="array" ref="B160">IFerror(INDEX(Papers!C$2:C$995,MATCH($A160, Papers!$A$2:$A$995,0)),"")</f>
        <v/>
      </c>
      <c r="C160" s="85" t="str">
        <f t="array" ref="C160">IFerror(INDEX(Papers!D$2:D$995,MATCH($A160, Papers!$A$2:$A$995,0)),"")</f>
        <v/>
      </c>
      <c r="D160" s="86" t="str">
        <f t="array" ref="D160">IFerror(INDEX(Papers!F$2:F$995,MATCH($A160, Papers!$A$2:$A$995,0)),"")</f>
        <v/>
      </c>
      <c r="E160" s="59" t="str">
        <f t="array" ref="E160">IFerror(INDEX(Papers!G$2:G$995,MATCH($A160, Papers!$A$2:$A$995,0)),"")</f>
        <v/>
      </c>
    </row>
    <row r="161">
      <c r="B161" s="85" t="str">
        <f t="array" ref="B161">IFerror(INDEX(Papers!C$2:C$995,MATCH($A161, Papers!$A$2:$A$995,0)),"")</f>
        <v/>
      </c>
      <c r="C161" s="85" t="str">
        <f t="array" ref="C161">IFerror(INDEX(Papers!D$2:D$995,MATCH($A161, Papers!$A$2:$A$995,0)),"")</f>
        <v/>
      </c>
      <c r="D161" s="86" t="str">
        <f t="array" ref="D161">IFerror(INDEX(Papers!F$2:F$995,MATCH($A161, Papers!$A$2:$A$995,0)),"")</f>
        <v/>
      </c>
      <c r="E161" s="59" t="str">
        <f t="array" ref="E161">IFerror(INDEX(Papers!G$2:G$995,MATCH($A161, Papers!$A$2:$A$995,0)),"")</f>
        <v/>
      </c>
    </row>
    <row r="162">
      <c r="B162" s="85" t="str">
        <f t="array" ref="B162">IFerror(INDEX(Papers!C$2:C$995,MATCH($A162, Papers!$A$2:$A$995,0)),"")</f>
        <v/>
      </c>
      <c r="C162" s="85" t="str">
        <f t="array" ref="C162">IFerror(INDEX(Papers!D$2:D$995,MATCH($A162, Papers!$A$2:$A$995,0)),"")</f>
        <v/>
      </c>
      <c r="D162" s="86" t="str">
        <f t="array" ref="D162">IFerror(INDEX(Papers!F$2:F$995,MATCH($A162, Papers!$A$2:$A$995,0)),"")</f>
        <v/>
      </c>
      <c r="E162" s="59" t="str">
        <f t="array" ref="E162">IFerror(INDEX(Papers!G$2:G$995,MATCH($A162, Papers!$A$2:$A$995,0)),"")</f>
        <v/>
      </c>
    </row>
    <row r="163">
      <c r="B163" s="85" t="str">
        <f t="array" ref="B163">IFerror(INDEX(Papers!C$2:C$995,MATCH($A163, Papers!$A$2:$A$995,0)),"")</f>
        <v/>
      </c>
      <c r="C163" s="85" t="str">
        <f t="array" ref="C163">IFerror(INDEX(Papers!D$2:D$995,MATCH($A163, Papers!$A$2:$A$995,0)),"")</f>
        <v/>
      </c>
      <c r="D163" s="86" t="str">
        <f t="array" ref="D163">IFerror(INDEX(Papers!F$2:F$995,MATCH($A163, Papers!$A$2:$A$995,0)),"")</f>
        <v/>
      </c>
      <c r="E163" s="59" t="str">
        <f t="array" ref="E163">IFerror(INDEX(Papers!G$2:G$995,MATCH($A163, Papers!$A$2:$A$995,0)),"")</f>
        <v/>
      </c>
    </row>
    <row r="164">
      <c r="B164" s="85" t="str">
        <f t="array" ref="B164">IFerror(INDEX(Papers!C$2:C$995,MATCH($A164, Papers!$A$2:$A$995,0)),"")</f>
        <v/>
      </c>
      <c r="C164" s="85" t="str">
        <f t="array" ref="C164">IFerror(INDEX(Papers!D$2:D$995,MATCH($A164, Papers!$A$2:$A$995,0)),"")</f>
        <v/>
      </c>
      <c r="D164" s="86" t="str">
        <f t="array" ref="D164">IFerror(INDEX(Papers!F$2:F$995,MATCH($A164, Papers!$A$2:$A$995,0)),"")</f>
        <v/>
      </c>
      <c r="E164" s="59" t="str">
        <f t="array" ref="E164">IFerror(INDEX(Papers!G$2:G$995,MATCH($A164, Papers!$A$2:$A$995,0)),"")</f>
        <v/>
      </c>
    </row>
    <row r="165">
      <c r="B165" s="85" t="str">
        <f t="array" ref="B165">IFerror(INDEX(Papers!C$2:C$995,MATCH($A165, Papers!$A$2:$A$995,0)),"")</f>
        <v/>
      </c>
      <c r="C165" s="85" t="str">
        <f t="array" ref="C165">IFerror(INDEX(Papers!D$2:D$995,MATCH($A165, Papers!$A$2:$A$995,0)),"")</f>
        <v/>
      </c>
      <c r="D165" s="86" t="str">
        <f t="array" ref="D165">IFerror(INDEX(Papers!F$2:F$995,MATCH($A165, Papers!$A$2:$A$995,0)),"")</f>
        <v/>
      </c>
      <c r="E165" s="59" t="str">
        <f t="array" ref="E165">IFerror(INDEX(Papers!G$2:G$995,MATCH($A165, Papers!$A$2:$A$995,0)),"")</f>
        <v/>
      </c>
    </row>
    <row r="166">
      <c r="B166" s="85" t="str">
        <f t="array" ref="B166">IFerror(INDEX(Papers!C$2:C$995,MATCH($A166, Papers!$A$2:$A$995,0)),"")</f>
        <v/>
      </c>
      <c r="C166" s="85" t="str">
        <f t="array" ref="C166">IFerror(INDEX(Papers!D$2:D$995,MATCH($A166, Papers!$A$2:$A$995,0)),"")</f>
        <v/>
      </c>
      <c r="D166" s="86" t="str">
        <f t="array" ref="D166">IFerror(INDEX(Papers!F$2:F$995,MATCH($A166, Papers!$A$2:$A$995,0)),"")</f>
        <v/>
      </c>
      <c r="E166" s="59" t="str">
        <f t="array" ref="E166">IFerror(INDEX(Papers!G$2:G$995,MATCH($A166, Papers!$A$2:$A$995,0)),"")</f>
        <v/>
      </c>
    </row>
    <row r="167">
      <c r="B167" s="85" t="str">
        <f t="array" ref="B167">IFerror(INDEX(Papers!C$2:C$995,MATCH($A167, Papers!$A$2:$A$995,0)),"")</f>
        <v/>
      </c>
      <c r="C167" s="85" t="str">
        <f t="array" ref="C167">IFerror(INDEX(Papers!D$2:D$995,MATCH($A167, Papers!$A$2:$A$995,0)),"")</f>
        <v/>
      </c>
      <c r="D167" s="86" t="str">
        <f t="array" ref="D167">IFerror(INDEX(Papers!F$2:F$995,MATCH($A167, Papers!$A$2:$A$995,0)),"")</f>
        <v/>
      </c>
      <c r="E167" s="59" t="str">
        <f t="array" ref="E167">IFerror(INDEX(Papers!G$2:G$995,MATCH($A167, Papers!$A$2:$A$995,0)),"")</f>
        <v/>
      </c>
    </row>
    <row r="168">
      <c r="B168" s="85" t="str">
        <f t="array" ref="B168">IFerror(INDEX(Papers!C$2:C$995,MATCH($A168, Papers!$A$2:$A$995,0)),"")</f>
        <v/>
      </c>
      <c r="C168" s="85" t="str">
        <f t="array" ref="C168">IFerror(INDEX(Papers!D$2:D$995,MATCH($A168, Papers!$A$2:$A$995,0)),"")</f>
        <v/>
      </c>
      <c r="D168" s="86" t="str">
        <f t="array" ref="D168">IFerror(INDEX(Papers!F$2:F$995,MATCH($A168, Papers!$A$2:$A$995,0)),"")</f>
        <v/>
      </c>
      <c r="E168" s="59" t="str">
        <f t="array" ref="E168">IFerror(INDEX(Papers!G$2:G$995,MATCH($A168, Papers!$A$2:$A$995,0)),"")</f>
        <v/>
      </c>
    </row>
    <row r="169">
      <c r="B169" s="85" t="str">
        <f t="array" ref="B169">IFerror(INDEX(Papers!C$2:C$995,MATCH($A169, Papers!$A$2:$A$995,0)),"")</f>
        <v/>
      </c>
      <c r="C169" s="85" t="str">
        <f t="array" ref="C169">IFerror(INDEX(Papers!D$2:D$995,MATCH($A169, Papers!$A$2:$A$995,0)),"")</f>
        <v/>
      </c>
      <c r="D169" s="86" t="str">
        <f t="array" ref="D169">IFerror(INDEX(Papers!F$2:F$995,MATCH($A169, Papers!$A$2:$A$995,0)),"")</f>
        <v/>
      </c>
      <c r="E169" s="59" t="str">
        <f t="array" ref="E169">IFerror(INDEX(Papers!G$2:G$995,MATCH($A169, Papers!$A$2:$A$995,0)),"")</f>
        <v/>
      </c>
    </row>
    <row r="170">
      <c r="B170" s="85" t="str">
        <f t="array" ref="B170">IFerror(INDEX(Papers!C$2:C$995,MATCH($A170, Papers!$A$2:$A$995,0)),"")</f>
        <v/>
      </c>
      <c r="C170" s="85" t="str">
        <f t="array" ref="C170">IFerror(INDEX(Papers!D$2:D$995,MATCH($A170, Papers!$A$2:$A$995,0)),"")</f>
        <v/>
      </c>
      <c r="D170" s="86" t="str">
        <f t="array" ref="D170">IFerror(INDEX(Papers!F$2:F$995,MATCH($A170, Papers!$A$2:$A$995,0)),"")</f>
        <v/>
      </c>
      <c r="E170" s="59" t="str">
        <f t="array" ref="E170">IFerror(INDEX(Papers!G$2:G$995,MATCH($A170, Papers!$A$2:$A$995,0)),"")</f>
        <v/>
      </c>
    </row>
    <row r="171">
      <c r="B171" s="85" t="str">
        <f t="array" ref="B171">IFerror(INDEX(Papers!C$2:C$995,MATCH($A171, Papers!$A$2:$A$995,0)),"")</f>
        <v/>
      </c>
      <c r="C171" s="85" t="str">
        <f t="array" ref="C171">IFerror(INDEX(Papers!D$2:D$995,MATCH($A171, Papers!$A$2:$A$995,0)),"")</f>
        <v/>
      </c>
      <c r="D171" s="86" t="str">
        <f t="array" ref="D171">IFerror(INDEX(Papers!F$2:F$995,MATCH($A171, Papers!$A$2:$A$995,0)),"")</f>
        <v/>
      </c>
      <c r="E171" s="59" t="str">
        <f t="array" ref="E171">IFerror(INDEX(Papers!G$2:G$995,MATCH($A171, Papers!$A$2:$A$995,0)),"")</f>
        <v/>
      </c>
    </row>
    <row r="172">
      <c r="B172" s="85" t="str">
        <f t="array" ref="B172">IFerror(INDEX(Papers!C$2:C$995,MATCH($A172, Papers!$A$2:$A$995,0)),"")</f>
        <v/>
      </c>
      <c r="C172" s="85" t="str">
        <f t="array" ref="C172">IFerror(INDEX(Papers!D$2:D$995,MATCH($A172, Papers!$A$2:$A$995,0)),"")</f>
        <v/>
      </c>
      <c r="D172" s="86" t="str">
        <f t="array" ref="D172">IFerror(INDEX(Papers!F$2:F$995,MATCH($A172, Papers!$A$2:$A$995,0)),"")</f>
        <v/>
      </c>
      <c r="E172" s="59" t="str">
        <f t="array" ref="E172">IFerror(INDEX(Papers!G$2:G$995,MATCH($A172, Papers!$A$2:$A$995,0)),"")</f>
        <v/>
      </c>
    </row>
    <row r="173">
      <c r="B173" s="85" t="str">
        <f t="array" ref="B173">IFerror(INDEX(Papers!C$2:C$995,MATCH($A173, Papers!$A$2:$A$995,0)),"")</f>
        <v/>
      </c>
      <c r="C173" s="85" t="str">
        <f t="array" ref="C173">IFerror(INDEX(Papers!D$2:D$995,MATCH($A173, Papers!$A$2:$A$995,0)),"")</f>
        <v/>
      </c>
      <c r="D173" s="86" t="str">
        <f t="array" ref="D173">IFerror(INDEX(Papers!F$2:F$995,MATCH($A173, Papers!$A$2:$A$995,0)),"")</f>
        <v/>
      </c>
      <c r="E173" s="59" t="str">
        <f t="array" ref="E173">IFerror(INDEX(Papers!G$2:G$995,MATCH($A173, Papers!$A$2:$A$995,0)),"")</f>
        <v/>
      </c>
    </row>
    <row r="174">
      <c r="B174" s="85" t="str">
        <f t="array" ref="B174">IFerror(INDEX(Papers!C$2:C$995,MATCH($A174, Papers!$A$2:$A$995,0)),"")</f>
        <v/>
      </c>
      <c r="C174" s="85" t="str">
        <f t="array" ref="C174">IFerror(INDEX(Papers!D$2:D$995,MATCH($A174, Papers!$A$2:$A$995,0)),"")</f>
        <v/>
      </c>
      <c r="D174" s="86" t="str">
        <f t="array" ref="D174">IFerror(INDEX(Papers!F$2:F$995,MATCH($A174, Papers!$A$2:$A$995,0)),"")</f>
        <v/>
      </c>
      <c r="E174" s="59" t="str">
        <f t="array" ref="E174">IFerror(INDEX(Papers!G$2:G$995,MATCH($A174, Papers!$A$2:$A$995,0)),"")</f>
        <v/>
      </c>
    </row>
    <row r="175">
      <c r="B175" s="85" t="str">
        <f t="array" ref="B175">IFerror(INDEX(Papers!C$2:C$995,MATCH($A175, Papers!$A$2:$A$995,0)),"")</f>
        <v/>
      </c>
      <c r="C175" s="85" t="str">
        <f t="array" ref="C175">IFerror(INDEX(Papers!D$2:D$995,MATCH($A175, Papers!$A$2:$A$995,0)),"")</f>
        <v/>
      </c>
      <c r="D175" s="86" t="str">
        <f t="array" ref="D175">IFerror(INDEX(Papers!F$2:F$995,MATCH($A175, Papers!$A$2:$A$995,0)),"")</f>
        <v/>
      </c>
      <c r="E175" s="59" t="str">
        <f t="array" ref="E175">IFerror(INDEX(Papers!G$2:G$995,MATCH($A175, Papers!$A$2:$A$995,0)),"")</f>
        <v/>
      </c>
    </row>
    <row r="176">
      <c r="B176" s="85" t="str">
        <f t="array" ref="B176">IFerror(INDEX(Papers!C$2:C$995,MATCH($A176, Papers!$A$2:$A$995,0)),"")</f>
        <v/>
      </c>
      <c r="C176" s="85" t="str">
        <f t="array" ref="C176">IFerror(INDEX(Papers!D$2:D$995,MATCH($A176, Papers!$A$2:$A$995,0)),"")</f>
        <v/>
      </c>
      <c r="D176" s="86" t="str">
        <f t="array" ref="D176">IFerror(INDEX(Papers!F$2:F$995,MATCH($A176, Papers!$A$2:$A$995,0)),"")</f>
        <v/>
      </c>
      <c r="E176" s="59" t="str">
        <f t="array" ref="E176">IFerror(INDEX(Papers!G$2:G$995,MATCH($A176, Papers!$A$2:$A$995,0)),"")</f>
        <v/>
      </c>
    </row>
    <row r="177">
      <c r="B177" s="85" t="str">
        <f t="array" ref="B177">IFerror(INDEX(Papers!C$2:C$995,MATCH($A177, Papers!$A$2:$A$995,0)),"")</f>
        <v/>
      </c>
      <c r="C177" s="85" t="str">
        <f t="array" ref="C177">IFerror(INDEX(Papers!D$2:D$995,MATCH($A177, Papers!$A$2:$A$995,0)),"")</f>
        <v/>
      </c>
      <c r="D177" s="86" t="str">
        <f t="array" ref="D177">IFerror(INDEX(Papers!F$2:F$995,MATCH($A177, Papers!$A$2:$A$995,0)),"")</f>
        <v/>
      </c>
      <c r="E177" s="59" t="str">
        <f t="array" ref="E177">IFerror(INDEX(Papers!G$2:G$995,MATCH($A177, Papers!$A$2:$A$995,0)),"")</f>
        <v/>
      </c>
    </row>
    <row r="178">
      <c r="B178" s="85" t="str">
        <f t="array" ref="B178">IFerror(INDEX(Papers!C$2:C$995,MATCH($A178, Papers!$A$2:$A$995,0)),"")</f>
        <v/>
      </c>
      <c r="C178" s="85" t="str">
        <f t="array" ref="C178">IFerror(INDEX(Papers!D$2:D$995,MATCH($A178, Papers!$A$2:$A$995,0)),"")</f>
        <v/>
      </c>
      <c r="D178" s="86" t="str">
        <f t="array" ref="D178">IFerror(INDEX(Papers!F$2:F$995,MATCH($A178, Papers!$A$2:$A$995,0)),"")</f>
        <v/>
      </c>
      <c r="E178" s="59" t="str">
        <f t="array" ref="E178">IFerror(INDEX(Papers!G$2:G$995,MATCH($A178, Papers!$A$2:$A$995,0)),"")</f>
        <v/>
      </c>
    </row>
    <row r="179">
      <c r="B179" s="85" t="str">
        <f t="array" ref="B179">IFerror(INDEX(Papers!C$2:C$995,MATCH($A179, Papers!$A$2:$A$995,0)),"")</f>
        <v/>
      </c>
      <c r="C179" s="85" t="str">
        <f t="array" ref="C179">IFerror(INDEX(Papers!D$2:D$995,MATCH($A179, Papers!$A$2:$A$995,0)),"")</f>
        <v/>
      </c>
      <c r="D179" s="86" t="str">
        <f t="array" ref="D179">IFerror(INDEX(Papers!F$2:F$995,MATCH($A179, Papers!$A$2:$A$995,0)),"")</f>
        <v/>
      </c>
      <c r="E179" s="59" t="str">
        <f t="array" ref="E179">IFerror(INDEX(Papers!G$2:G$995,MATCH($A179, Papers!$A$2:$A$995,0)),"")</f>
        <v/>
      </c>
    </row>
    <row r="180">
      <c r="B180" s="85" t="str">
        <f t="array" ref="B180">IFerror(INDEX(Papers!C$2:C$995,MATCH($A180, Papers!$A$2:$A$995,0)),"")</f>
        <v/>
      </c>
      <c r="C180" s="85" t="str">
        <f t="array" ref="C180">IFerror(INDEX(Papers!D$2:D$995,MATCH($A180, Papers!$A$2:$A$995,0)),"")</f>
        <v/>
      </c>
      <c r="D180" s="86" t="str">
        <f t="array" ref="D180">IFerror(INDEX(Papers!F$2:F$995,MATCH($A180, Papers!$A$2:$A$995,0)),"")</f>
        <v/>
      </c>
      <c r="E180" s="59" t="str">
        <f t="array" ref="E180">IFerror(INDEX(Papers!G$2:G$995,MATCH($A180, Papers!$A$2:$A$995,0)),"")</f>
        <v/>
      </c>
    </row>
    <row r="181">
      <c r="B181" s="85" t="str">
        <f t="array" ref="B181">IFerror(INDEX(Papers!C$2:C$995,MATCH($A181, Papers!$A$2:$A$995,0)),"")</f>
        <v/>
      </c>
      <c r="C181" s="85" t="str">
        <f t="array" ref="C181">IFerror(INDEX(Papers!D$2:D$995,MATCH($A181, Papers!$A$2:$A$995,0)),"")</f>
        <v/>
      </c>
      <c r="D181" s="86" t="str">
        <f t="array" ref="D181">IFerror(INDEX(Papers!F$2:F$995,MATCH($A181, Papers!$A$2:$A$995,0)),"")</f>
        <v/>
      </c>
      <c r="E181" s="59" t="str">
        <f t="array" ref="E181">IFerror(INDEX(Papers!G$2:G$995,MATCH($A181, Papers!$A$2:$A$995,0)),"")</f>
        <v/>
      </c>
    </row>
    <row r="182">
      <c r="B182" s="85" t="str">
        <f t="array" ref="B182">IFerror(INDEX(Papers!C$2:C$995,MATCH($A182, Papers!$A$2:$A$995,0)),"")</f>
        <v/>
      </c>
      <c r="C182" s="85" t="str">
        <f t="array" ref="C182">IFerror(INDEX(Papers!D$2:D$995,MATCH($A182, Papers!$A$2:$A$995,0)),"")</f>
        <v/>
      </c>
      <c r="D182" s="86" t="str">
        <f t="array" ref="D182">IFerror(INDEX(Papers!F$2:F$995,MATCH($A182, Papers!$A$2:$A$995,0)),"")</f>
        <v/>
      </c>
      <c r="E182" s="59" t="str">
        <f t="array" ref="E182">IFerror(INDEX(Papers!G$2:G$995,MATCH($A182, Papers!$A$2:$A$995,0)),"")</f>
        <v/>
      </c>
    </row>
    <row r="183">
      <c r="B183" s="85" t="str">
        <f t="array" ref="B183">IFerror(INDEX(Papers!C$2:C$995,MATCH($A183, Papers!$A$2:$A$995,0)),"")</f>
        <v/>
      </c>
      <c r="C183" s="85" t="str">
        <f t="array" ref="C183">IFerror(INDEX(Papers!D$2:D$995,MATCH($A183, Papers!$A$2:$A$995,0)),"")</f>
        <v/>
      </c>
      <c r="D183" s="86" t="str">
        <f t="array" ref="D183">IFerror(INDEX(Papers!F$2:F$995,MATCH($A183, Papers!$A$2:$A$995,0)),"")</f>
        <v/>
      </c>
      <c r="E183" s="59" t="str">
        <f t="array" ref="E183">IFerror(INDEX(Papers!G$2:G$995,MATCH($A183, Papers!$A$2:$A$995,0)),"")</f>
        <v/>
      </c>
    </row>
    <row r="184">
      <c r="B184" s="85" t="str">
        <f t="array" ref="B184">IFerror(INDEX(Papers!C$2:C$995,MATCH($A184, Papers!$A$2:$A$995,0)),"")</f>
        <v/>
      </c>
      <c r="C184" s="85" t="str">
        <f t="array" ref="C184">IFerror(INDEX(Papers!D$2:D$995,MATCH($A184, Papers!$A$2:$A$995,0)),"")</f>
        <v/>
      </c>
      <c r="D184" s="86" t="str">
        <f t="array" ref="D184">IFerror(INDEX(Papers!F$2:F$995,MATCH($A184, Papers!$A$2:$A$995,0)),"")</f>
        <v/>
      </c>
      <c r="E184" s="59" t="str">
        <f t="array" ref="E184">IFerror(INDEX(Papers!G$2:G$995,MATCH($A184, Papers!$A$2:$A$995,0)),"")</f>
        <v/>
      </c>
    </row>
    <row r="185">
      <c r="B185" s="85" t="str">
        <f t="array" ref="B185">IFerror(INDEX(Papers!C$2:C$995,MATCH($A185, Papers!$A$2:$A$995,0)),"")</f>
        <v/>
      </c>
      <c r="C185" s="85" t="str">
        <f t="array" ref="C185">IFerror(INDEX(Papers!D$2:D$995,MATCH($A185, Papers!$A$2:$A$995,0)),"")</f>
        <v/>
      </c>
      <c r="D185" s="86" t="str">
        <f t="array" ref="D185">IFerror(INDEX(Papers!F$2:F$995,MATCH($A185, Papers!$A$2:$A$995,0)),"")</f>
        <v/>
      </c>
      <c r="E185" s="59" t="str">
        <f t="array" ref="E185">IFerror(INDEX(Papers!G$2:G$995,MATCH($A185, Papers!$A$2:$A$995,0)),"")</f>
        <v/>
      </c>
    </row>
    <row r="186">
      <c r="B186" s="85" t="str">
        <f t="array" ref="B186">IFerror(INDEX(Papers!C$2:C$995,MATCH($A186, Papers!$A$2:$A$995,0)),"")</f>
        <v/>
      </c>
      <c r="C186" s="85" t="str">
        <f t="array" ref="C186">IFerror(INDEX(Papers!D$2:D$995,MATCH($A186, Papers!$A$2:$A$995,0)),"")</f>
        <v/>
      </c>
      <c r="D186" s="86" t="str">
        <f t="array" ref="D186">IFerror(INDEX(Papers!F$2:F$995,MATCH($A186, Papers!$A$2:$A$995,0)),"")</f>
        <v/>
      </c>
      <c r="E186" s="59" t="str">
        <f t="array" ref="E186">IFerror(INDEX(Papers!G$2:G$995,MATCH($A186, Papers!$A$2:$A$995,0)),"")</f>
        <v/>
      </c>
    </row>
    <row r="187">
      <c r="B187" s="85" t="str">
        <f t="array" ref="B187">IFerror(INDEX(Papers!C$2:C$995,MATCH($A187, Papers!$A$2:$A$995,0)),"")</f>
        <v/>
      </c>
      <c r="C187" s="85" t="str">
        <f t="array" ref="C187">IFerror(INDEX(Papers!D$2:D$995,MATCH($A187, Papers!$A$2:$A$995,0)),"")</f>
        <v/>
      </c>
      <c r="D187" s="86" t="str">
        <f t="array" ref="D187">IFerror(INDEX(Papers!F$2:F$995,MATCH($A187, Papers!$A$2:$A$995,0)),"")</f>
        <v/>
      </c>
      <c r="E187" s="59" t="str">
        <f t="array" ref="E187">IFerror(INDEX(Papers!G$2:G$995,MATCH($A187, Papers!$A$2:$A$995,0)),"")</f>
        <v/>
      </c>
    </row>
    <row r="188">
      <c r="B188" s="85" t="str">
        <f t="array" ref="B188">IFerror(INDEX(Papers!C$2:C$995,MATCH($A188, Papers!$A$2:$A$995,0)),"")</f>
        <v/>
      </c>
      <c r="C188" s="85" t="str">
        <f t="array" ref="C188">IFerror(INDEX(Papers!D$2:D$995,MATCH($A188, Papers!$A$2:$A$995,0)),"")</f>
        <v/>
      </c>
      <c r="D188" s="86" t="str">
        <f t="array" ref="D188">IFerror(INDEX(Papers!F$2:F$995,MATCH($A188, Papers!$A$2:$A$995,0)),"")</f>
        <v/>
      </c>
      <c r="E188" s="59" t="str">
        <f t="array" ref="E188">IFerror(INDEX(Papers!G$2:G$995,MATCH($A188, Papers!$A$2:$A$995,0)),"")</f>
        <v/>
      </c>
    </row>
    <row r="189">
      <c r="B189" s="85" t="str">
        <f t="array" ref="B189">IFerror(INDEX(Papers!C$2:C$995,MATCH($A189, Papers!$A$2:$A$995,0)),"")</f>
        <v/>
      </c>
      <c r="C189" s="85" t="str">
        <f t="array" ref="C189">IFerror(INDEX(Papers!D$2:D$995,MATCH($A189, Papers!$A$2:$A$995,0)),"")</f>
        <v/>
      </c>
      <c r="D189" s="86" t="str">
        <f t="array" ref="D189">IFerror(INDEX(Papers!F$2:F$995,MATCH($A189, Papers!$A$2:$A$995,0)),"")</f>
        <v/>
      </c>
      <c r="E189" s="59" t="str">
        <f t="array" ref="E189">IFerror(INDEX(Papers!G$2:G$995,MATCH($A189, Papers!$A$2:$A$995,0)),"")</f>
        <v/>
      </c>
    </row>
    <row r="190">
      <c r="B190" s="85" t="str">
        <f t="array" ref="B190">IFerror(INDEX(Papers!C$2:C$995,MATCH($A190, Papers!$A$2:$A$995,0)),"")</f>
        <v/>
      </c>
      <c r="C190" s="85" t="str">
        <f t="array" ref="C190">IFerror(INDEX(Papers!D$2:D$995,MATCH($A190, Papers!$A$2:$A$995,0)),"")</f>
        <v/>
      </c>
      <c r="D190" s="86" t="str">
        <f t="array" ref="D190">IFerror(INDEX(Papers!F$2:F$995,MATCH($A190, Papers!$A$2:$A$995,0)),"")</f>
        <v/>
      </c>
      <c r="E190" s="59" t="str">
        <f t="array" ref="E190">IFerror(INDEX(Papers!G$2:G$995,MATCH($A190, Papers!$A$2:$A$995,0)),"")</f>
        <v/>
      </c>
    </row>
    <row r="191">
      <c r="B191" s="85" t="str">
        <f t="array" ref="B191">IFerror(INDEX(Papers!C$2:C$995,MATCH($A191, Papers!$A$2:$A$995,0)),"")</f>
        <v/>
      </c>
      <c r="C191" s="85" t="str">
        <f t="array" ref="C191">IFerror(INDEX(Papers!D$2:D$995,MATCH($A191, Papers!$A$2:$A$995,0)),"")</f>
        <v/>
      </c>
      <c r="D191" s="86" t="str">
        <f t="array" ref="D191">IFerror(INDEX(Papers!F$2:F$995,MATCH($A191, Papers!$A$2:$A$995,0)),"")</f>
        <v/>
      </c>
      <c r="E191" s="59" t="str">
        <f t="array" ref="E191">IFerror(INDEX(Papers!G$2:G$995,MATCH($A191, Papers!$A$2:$A$995,0)),"")</f>
        <v/>
      </c>
    </row>
    <row r="192">
      <c r="B192" s="85" t="str">
        <f t="array" ref="B192">IFerror(INDEX(Papers!C$2:C$995,MATCH($A192, Papers!$A$2:$A$995,0)),"")</f>
        <v/>
      </c>
      <c r="C192" s="85" t="str">
        <f t="array" ref="C192">IFerror(INDEX(Papers!D$2:D$995,MATCH($A192, Papers!$A$2:$A$995,0)),"")</f>
        <v/>
      </c>
      <c r="D192" s="86" t="str">
        <f t="array" ref="D192">IFerror(INDEX(Papers!F$2:F$995,MATCH($A192, Papers!$A$2:$A$995,0)),"")</f>
        <v/>
      </c>
      <c r="E192" s="59" t="str">
        <f t="array" ref="E192">IFerror(INDEX(Papers!G$2:G$995,MATCH($A192, Papers!$A$2:$A$995,0)),"")</f>
        <v/>
      </c>
    </row>
    <row r="193">
      <c r="B193" s="85" t="str">
        <f t="array" ref="B193">IFerror(INDEX(Papers!C$2:C$995,MATCH($A193, Papers!$A$2:$A$995,0)),"")</f>
        <v/>
      </c>
      <c r="C193" s="85" t="str">
        <f t="array" ref="C193">IFerror(INDEX(Papers!D$2:D$995,MATCH($A193, Papers!$A$2:$A$995,0)),"")</f>
        <v/>
      </c>
      <c r="D193" s="86" t="str">
        <f t="array" ref="D193">IFerror(INDEX(Papers!F$2:F$995,MATCH($A193, Papers!$A$2:$A$995,0)),"")</f>
        <v/>
      </c>
      <c r="E193" s="59" t="str">
        <f t="array" ref="E193">IFerror(INDEX(Papers!G$2:G$995,MATCH($A193, Papers!$A$2:$A$995,0)),"")</f>
        <v/>
      </c>
    </row>
    <row r="194">
      <c r="B194" s="85" t="str">
        <f t="array" ref="B194">IFerror(INDEX(Papers!C$2:C$995,MATCH($A194, Papers!$A$2:$A$995,0)),"")</f>
        <v/>
      </c>
      <c r="C194" s="85" t="str">
        <f t="array" ref="C194">IFerror(INDEX(Papers!D$2:D$995,MATCH($A194, Papers!$A$2:$A$995,0)),"")</f>
        <v/>
      </c>
      <c r="D194" s="86" t="str">
        <f t="array" ref="D194">IFerror(INDEX(Papers!F$2:F$995,MATCH($A194, Papers!$A$2:$A$995,0)),"")</f>
        <v/>
      </c>
      <c r="E194" s="59" t="str">
        <f t="array" ref="E194">IFerror(INDEX(Papers!G$2:G$995,MATCH($A194, Papers!$A$2:$A$995,0)),"")</f>
        <v/>
      </c>
    </row>
    <row r="195">
      <c r="B195" s="85" t="str">
        <f t="array" ref="B195">IFerror(INDEX(Papers!C$2:C$995,MATCH($A195, Papers!$A$2:$A$995,0)),"")</f>
        <v/>
      </c>
      <c r="C195" s="85" t="str">
        <f t="array" ref="C195">IFerror(INDEX(Papers!D$2:D$995,MATCH($A195, Papers!$A$2:$A$995,0)),"")</f>
        <v/>
      </c>
      <c r="D195" s="86" t="str">
        <f t="array" ref="D195">IFerror(INDEX(Papers!F$2:F$995,MATCH($A195, Papers!$A$2:$A$995,0)),"")</f>
        <v/>
      </c>
      <c r="E195" s="59" t="str">
        <f t="array" ref="E195">IFerror(INDEX(Papers!G$2:G$995,MATCH($A195, Papers!$A$2:$A$995,0)),"")</f>
        <v/>
      </c>
    </row>
    <row r="196">
      <c r="B196" s="85" t="str">
        <f t="array" ref="B196">IFerror(INDEX(Papers!C$2:C$995,MATCH($A196, Papers!$A$2:$A$995,0)),"")</f>
        <v/>
      </c>
      <c r="C196" s="85" t="str">
        <f t="array" ref="C196">IFerror(INDEX(Papers!D$2:D$995,MATCH($A196, Papers!$A$2:$A$995,0)),"")</f>
        <v/>
      </c>
      <c r="D196" s="86" t="str">
        <f t="array" ref="D196">IFerror(INDEX(Papers!F$2:F$995,MATCH($A196, Papers!$A$2:$A$995,0)),"")</f>
        <v/>
      </c>
      <c r="E196" s="59" t="str">
        <f t="array" ref="E196">IFerror(INDEX(Papers!G$2:G$995,MATCH($A196, Papers!$A$2:$A$995,0)),"")</f>
        <v/>
      </c>
    </row>
    <row r="197">
      <c r="B197" s="85" t="str">
        <f t="array" ref="B197">IFerror(INDEX(Papers!C$2:C$995,MATCH($A197, Papers!$A$2:$A$995,0)),"")</f>
        <v/>
      </c>
      <c r="C197" s="85" t="str">
        <f t="array" ref="C197">IFerror(INDEX(Papers!D$2:D$995,MATCH($A197, Papers!$A$2:$A$995,0)),"")</f>
        <v/>
      </c>
      <c r="D197" s="86" t="str">
        <f t="array" ref="D197">IFerror(INDEX(Papers!F$2:F$995,MATCH($A197, Papers!$A$2:$A$995,0)),"")</f>
        <v/>
      </c>
      <c r="E197" s="59" t="str">
        <f t="array" ref="E197">IFerror(INDEX(Papers!G$2:G$995,MATCH($A197, Papers!$A$2:$A$995,0)),"")</f>
        <v/>
      </c>
    </row>
    <row r="198">
      <c r="B198" s="85" t="str">
        <f t="array" ref="B198">IFerror(INDEX(Papers!C$2:C$995,MATCH($A198, Papers!$A$2:$A$995,0)),"")</f>
        <v/>
      </c>
      <c r="C198" s="85" t="str">
        <f t="array" ref="C198">IFerror(INDEX(Papers!D$2:D$995,MATCH($A198, Papers!$A$2:$A$995,0)),"")</f>
        <v/>
      </c>
      <c r="D198" s="86" t="str">
        <f t="array" ref="D198">IFerror(INDEX(Papers!F$2:F$995,MATCH($A198, Papers!$A$2:$A$995,0)),"")</f>
        <v/>
      </c>
      <c r="E198" s="59" t="str">
        <f t="array" ref="E198">IFerror(INDEX(Papers!G$2:G$995,MATCH($A198, Papers!$A$2:$A$995,0)),"")</f>
        <v/>
      </c>
    </row>
    <row r="199">
      <c r="B199" s="85" t="str">
        <f t="array" ref="B199">IFerror(INDEX(Papers!C$2:C$995,MATCH($A199, Papers!$A$2:$A$995,0)),"")</f>
        <v/>
      </c>
      <c r="C199" s="85" t="str">
        <f t="array" ref="C199">IFerror(INDEX(Papers!D$2:D$995,MATCH($A199, Papers!$A$2:$A$995,0)),"")</f>
        <v/>
      </c>
      <c r="D199" s="86" t="str">
        <f t="array" ref="D199">IFerror(INDEX(Papers!F$2:F$995,MATCH($A199, Papers!$A$2:$A$995,0)),"")</f>
        <v/>
      </c>
      <c r="E199" s="59" t="str">
        <f t="array" ref="E199">IFerror(INDEX(Papers!G$2:G$995,MATCH($A199, Papers!$A$2:$A$995,0)),"")</f>
        <v/>
      </c>
    </row>
    <row r="200">
      <c r="B200" s="85" t="str">
        <f t="array" ref="B200">IFerror(INDEX(Papers!C$2:C$995,MATCH($A200, Papers!$A$2:$A$995,0)),"")</f>
        <v/>
      </c>
      <c r="C200" s="85" t="str">
        <f t="array" ref="C200">IFerror(INDEX(Papers!D$2:D$995,MATCH($A200, Papers!$A$2:$A$995,0)),"")</f>
        <v/>
      </c>
      <c r="D200" s="86" t="str">
        <f t="array" ref="D200">IFerror(INDEX(Papers!F$2:F$995,MATCH($A200, Papers!$A$2:$A$995,0)),"")</f>
        <v/>
      </c>
      <c r="E200" s="59" t="str">
        <f t="array" ref="E200">IFerror(INDEX(Papers!G$2:G$995,MATCH($A200, Papers!$A$2:$A$995,0)),"")</f>
        <v/>
      </c>
    </row>
    <row r="201">
      <c r="B201" s="85" t="str">
        <f t="array" ref="B201">IFerror(INDEX(Papers!C$2:C$995,MATCH($A201, Papers!$A$2:$A$995,0)),"")</f>
        <v/>
      </c>
      <c r="C201" s="85" t="str">
        <f t="array" ref="C201">IFerror(INDEX(Papers!D$2:D$995,MATCH($A201, Papers!$A$2:$A$995,0)),"")</f>
        <v/>
      </c>
      <c r="D201" s="86" t="str">
        <f t="array" ref="D201">IFerror(INDEX(Papers!F$2:F$995,MATCH($A201, Papers!$A$2:$A$995,0)),"")</f>
        <v/>
      </c>
      <c r="E201" s="59" t="str">
        <f t="array" ref="E201">IFerror(INDEX(Papers!G$2:G$995,MATCH($A201, Papers!$A$2:$A$995,0)),"")</f>
        <v/>
      </c>
    </row>
    <row r="202">
      <c r="B202" s="85" t="str">
        <f t="array" ref="B202">IFerror(INDEX(Papers!C$2:C$995,MATCH($A202, Papers!$A$2:$A$995,0)),"")</f>
        <v/>
      </c>
      <c r="C202" s="85" t="str">
        <f t="array" ref="C202">IFerror(INDEX(Papers!D$2:D$995,MATCH($A202, Papers!$A$2:$A$995,0)),"")</f>
        <v/>
      </c>
      <c r="D202" s="86" t="str">
        <f t="array" ref="D202">IFerror(INDEX(Papers!F$2:F$995,MATCH($A202, Papers!$A$2:$A$995,0)),"")</f>
        <v/>
      </c>
      <c r="E202" s="59" t="str">
        <f t="array" ref="E202">IFerror(INDEX(Papers!G$2:G$995,MATCH($A202, Papers!$A$2:$A$995,0)),"")</f>
        <v/>
      </c>
    </row>
    <row r="203">
      <c r="B203" s="85" t="str">
        <f t="array" ref="B203">IFerror(INDEX(Papers!C$2:C$995,MATCH($A203, Papers!$A$2:$A$995,0)),"")</f>
        <v/>
      </c>
      <c r="C203" s="85" t="str">
        <f t="array" ref="C203">IFerror(INDEX(Papers!D$2:D$995,MATCH($A203, Papers!$A$2:$A$995,0)),"")</f>
        <v/>
      </c>
      <c r="D203" s="86" t="str">
        <f t="array" ref="D203">IFerror(INDEX(Papers!F$2:F$995,MATCH($A203, Papers!$A$2:$A$995,0)),"")</f>
        <v/>
      </c>
      <c r="E203" s="59" t="str">
        <f t="array" ref="E203">IFerror(INDEX(Papers!G$2:G$995,MATCH($A203, Papers!$A$2:$A$995,0)),"")</f>
        <v/>
      </c>
    </row>
    <row r="204">
      <c r="B204" s="85" t="str">
        <f t="array" ref="B204">IFerror(INDEX(Papers!C$2:C$995,MATCH($A204, Papers!$A$2:$A$995,0)),"")</f>
        <v/>
      </c>
      <c r="C204" s="85" t="str">
        <f t="array" ref="C204">IFerror(INDEX(Papers!D$2:D$995,MATCH($A204, Papers!$A$2:$A$995,0)),"")</f>
        <v/>
      </c>
      <c r="D204" s="86" t="str">
        <f t="array" ref="D204">IFerror(INDEX(Papers!F$2:F$995,MATCH($A204, Papers!$A$2:$A$995,0)),"")</f>
        <v/>
      </c>
      <c r="E204" s="59" t="str">
        <f t="array" ref="E204">IFerror(INDEX(Papers!G$2:G$995,MATCH($A204, Papers!$A$2:$A$995,0)),"")</f>
        <v/>
      </c>
    </row>
    <row r="205">
      <c r="B205" s="85" t="str">
        <f t="array" ref="B205">IFerror(INDEX(Papers!C$2:C$995,MATCH($A205, Papers!$A$2:$A$995,0)),"")</f>
        <v/>
      </c>
      <c r="C205" s="85" t="str">
        <f t="array" ref="C205">IFerror(INDEX(Papers!D$2:D$995,MATCH($A205, Papers!$A$2:$A$995,0)),"")</f>
        <v/>
      </c>
      <c r="D205" s="86" t="str">
        <f t="array" ref="D205">IFerror(INDEX(Papers!F$2:F$995,MATCH($A205, Papers!$A$2:$A$995,0)),"")</f>
        <v/>
      </c>
      <c r="E205" s="59" t="str">
        <f t="array" ref="E205">IFerror(INDEX(Papers!G$2:G$995,MATCH($A205, Papers!$A$2:$A$995,0)),"")</f>
        <v/>
      </c>
    </row>
    <row r="206">
      <c r="B206" s="85" t="str">
        <f t="array" ref="B206">IFerror(INDEX(Papers!C$2:C$995,MATCH($A206, Papers!$A$2:$A$995,0)),"")</f>
        <v/>
      </c>
      <c r="C206" s="85" t="str">
        <f t="array" ref="C206">IFerror(INDEX(Papers!D$2:D$995,MATCH($A206, Papers!$A$2:$A$995,0)),"")</f>
        <v/>
      </c>
      <c r="D206" s="86" t="str">
        <f t="array" ref="D206">IFerror(INDEX(Papers!F$2:F$995,MATCH($A206, Papers!$A$2:$A$995,0)),"")</f>
        <v/>
      </c>
      <c r="E206" s="59" t="str">
        <f t="array" ref="E206">IFerror(INDEX(Papers!G$2:G$995,MATCH($A206, Papers!$A$2:$A$995,0)),"")</f>
        <v/>
      </c>
    </row>
    <row r="207">
      <c r="B207" s="85" t="str">
        <f t="array" ref="B207">IFerror(INDEX(Papers!C$2:C$995,MATCH($A207, Papers!$A$2:$A$995,0)),"")</f>
        <v/>
      </c>
      <c r="C207" s="85" t="str">
        <f t="array" ref="C207">IFerror(INDEX(Papers!D$2:D$995,MATCH($A207, Papers!$A$2:$A$995,0)),"")</f>
        <v/>
      </c>
      <c r="D207" s="86" t="str">
        <f t="array" ref="D207">IFerror(INDEX(Papers!F$2:F$995,MATCH($A207, Papers!$A$2:$A$995,0)),"")</f>
        <v/>
      </c>
      <c r="E207" s="59" t="str">
        <f t="array" ref="E207">IFerror(INDEX(Papers!G$2:G$995,MATCH($A207, Papers!$A$2:$A$995,0)),"")</f>
        <v/>
      </c>
    </row>
    <row r="208">
      <c r="B208" s="85" t="str">
        <f t="array" ref="B208">IFerror(INDEX(Papers!C$2:C$995,MATCH($A208, Papers!$A$2:$A$995,0)),"")</f>
        <v/>
      </c>
      <c r="C208" s="85" t="str">
        <f t="array" ref="C208">IFerror(INDEX(Papers!D$2:D$995,MATCH($A208, Papers!$A$2:$A$995,0)),"")</f>
        <v/>
      </c>
      <c r="D208" s="86" t="str">
        <f t="array" ref="D208">IFerror(INDEX(Papers!F$2:F$995,MATCH($A208, Papers!$A$2:$A$995,0)),"")</f>
        <v/>
      </c>
      <c r="E208" s="59" t="str">
        <f t="array" ref="E208">IFerror(INDEX(Papers!G$2:G$995,MATCH($A208, Papers!$A$2:$A$995,0)),"")</f>
        <v/>
      </c>
    </row>
    <row r="209">
      <c r="B209" s="85" t="str">
        <f t="array" ref="B209">IFerror(INDEX(Papers!C$2:C$995,MATCH($A209, Papers!$A$2:$A$995,0)),"")</f>
        <v/>
      </c>
      <c r="C209" s="85" t="str">
        <f t="array" ref="C209">IFerror(INDEX(Papers!D$2:D$995,MATCH($A209, Papers!$A$2:$A$995,0)),"")</f>
        <v/>
      </c>
      <c r="D209" s="86" t="str">
        <f t="array" ref="D209">IFerror(INDEX(Papers!F$2:F$995,MATCH($A209, Papers!$A$2:$A$995,0)),"")</f>
        <v/>
      </c>
      <c r="E209" s="59" t="str">
        <f t="array" ref="E209">IFerror(INDEX(Papers!G$2:G$995,MATCH($A209, Papers!$A$2:$A$995,0)),"")</f>
        <v/>
      </c>
    </row>
    <row r="210">
      <c r="B210" s="85" t="str">
        <f t="array" ref="B210">IFerror(INDEX(Papers!C$2:C$995,MATCH($A210, Papers!$A$2:$A$995,0)),"")</f>
        <v/>
      </c>
      <c r="C210" s="85" t="str">
        <f t="array" ref="C210">IFerror(INDEX(Papers!D$2:D$995,MATCH($A210, Papers!$A$2:$A$995,0)),"")</f>
        <v/>
      </c>
      <c r="D210" s="86" t="str">
        <f t="array" ref="D210">IFerror(INDEX(Papers!F$2:F$995,MATCH($A210, Papers!$A$2:$A$995,0)),"")</f>
        <v/>
      </c>
      <c r="E210" s="59" t="str">
        <f t="array" ref="E210">IFerror(INDEX(Papers!G$2:G$995,MATCH($A210, Papers!$A$2:$A$995,0)),"")</f>
        <v/>
      </c>
    </row>
    <row r="211">
      <c r="B211" s="85" t="str">
        <f t="array" ref="B211">IFerror(INDEX(Papers!C$2:C$995,MATCH($A211, Papers!$A$2:$A$995,0)),"")</f>
        <v/>
      </c>
      <c r="C211" s="85" t="str">
        <f t="array" ref="C211">IFerror(INDEX(Papers!D$2:D$995,MATCH($A211, Papers!$A$2:$A$995,0)),"")</f>
        <v/>
      </c>
      <c r="D211" s="86" t="str">
        <f t="array" ref="D211">IFerror(INDEX(Papers!F$2:F$995,MATCH($A211, Papers!$A$2:$A$995,0)),"")</f>
        <v/>
      </c>
      <c r="E211" s="59" t="str">
        <f t="array" ref="E211">IFerror(INDEX(Papers!G$2:G$995,MATCH($A211, Papers!$A$2:$A$995,0)),"")</f>
        <v/>
      </c>
    </row>
    <row r="212">
      <c r="B212" s="85" t="str">
        <f t="array" ref="B212">IFerror(INDEX(Papers!C$2:C$995,MATCH($A212, Papers!$A$2:$A$995,0)),"")</f>
        <v/>
      </c>
      <c r="C212" s="85" t="str">
        <f t="array" ref="C212">IFerror(INDEX(Papers!D$2:D$995,MATCH($A212, Papers!$A$2:$A$995,0)),"")</f>
        <v/>
      </c>
      <c r="D212" s="86" t="str">
        <f t="array" ref="D212">IFerror(INDEX(Papers!F$2:F$995,MATCH($A212, Papers!$A$2:$A$995,0)),"")</f>
        <v/>
      </c>
      <c r="E212" s="59" t="str">
        <f t="array" ref="E212">IFerror(INDEX(Papers!G$2:G$995,MATCH($A212, Papers!$A$2:$A$995,0)),"")</f>
        <v/>
      </c>
    </row>
    <row r="213">
      <c r="B213" s="85" t="str">
        <f t="array" ref="B213">IFerror(INDEX(Papers!C$2:C$995,MATCH($A213, Papers!$A$2:$A$995,0)),"")</f>
        <v/>
      </c>
      <c r="C213" s="85" t="str">
        <f t="array" ref="C213">IFerror(INDEX(Papers!D$2:D$995,MATCH($A213, Papers!$A$2:$A$995,0)),"")</f>
        <v/>
      </c>
      <c r="D213" s="86" t="str">
        <f t="array" ref="D213">IFerror(INDEX(Papers!F$2:F$995,MATCH($A213, Papers!$A$2:$A$995,0)),"")</f>
        <v/>
      </c>
      <c r="E213" s="59" t="str">
        <f t="array" ref="E213">IFerror(INDEX(Papers!G$2:G$995,MATCH($A213, Papers!$A$2:$A$995,0)),"")</f>
        <v/>
      </c>
    </row>
    <row r="214">
      <c r="B214" s="85" t="str">
        <f t="array" ref="B214">IFerror(INDEX(Papers!C$2:C$995,MATCH($A214, Papers!$A$2:$A$995,0)),"")</f>
        <v/>
      </c>
      <c r="C214" s="85" t="str">
        <f t="array" ref="C214">IFerror(INDEX(Papers!D$2:D$995,MATCH($A214, Papers!$A$2:$A$995,0)),"")</f>
        <v/>
      </c>
      <c r="D214" s="86" t="str">
        <f t="array" ref="D214">IFerror(INDEX(Papers!F$2:F$995,MATCH($A214, Papers!$A$2:$A$995,0)),"")</f>
        <v/>
      </c>
      <c r="E214" s="59" t="str">
        <f t="array" ref="E214">IFerror(INDEX(Papers!G$2:G$995,MATCH($A214, Papers!$A$2:$A$995,0)),"")</f>
        <v/>
      </c>
    </row>
    <row r="215">
      <c r="B215" s="85" t="str">
        <f t="array" ref="B215">IFerror(INDEX(Papers!C$2:C$995,MATCH($A215, Papers!$A$2:$A$995,0)),"")</f>
        <v/>
      </c>
      <c r="C215" s="85" t="str">
        <f t="array" ref="C215">IFerror(INDEX(Papers!D$2:D$995,MATCH($A215, Papers!$A$2:$A$995,0)),"")</f>
        <v/>
      </c>
      <c r="D215" s="86" t="str">
        <f t="array" ref="D215">IFerror(INDEX(Papers!F$2:F$995,MATCH($A215, Papers!$A$2:$A$995,0)),"")</f>
        <v/>
      </c>
      <c r="E215" s="59" t="str">
        <f t="array" ref="E215">IFerror(INDEX(Papers!G$2:G$995,MATCH($A215, Papers!$A$2:$A$995,0)),"")</f>
        <v/>
      </c>
    </row>
    <row r="216">
      <c r="B216" s="85" t="str">
        <f t="array" ref="B216">IFerror(INDEX(Papers!C$2:C$995,MATCH($A216, Papers!$A$2:$A$995,0)),"")</f>
        <v/>
      </c>
      <c r="C216" s="85" t="str">
        <f t="array" ref="C216">IFerror(INDEX(Papers!D$2:D$995,MATCH($A216, Papers!$A$2:$A$995,0)),"")</f>
        <v/>
      </c>
      <c r="D216" s="86" t="str">
        <f t="array" ref="D216">IFerror(INDEX(Papers!F$2:F$995,MATCH($A216, Papers!$A$2:$A$995,0)),"")</f>
        <v/>
      </c>
      <c r="E216" s="59" t="str">
        <f t="array" ref="E216">IFerror(INDEX(Papers!G$2:G$995,MATCH($A216, Papers!$A$2:$A$995,0)),"")</f>
        <v/>
      </c>
    </row>
    <row r="217">
      <c r="B217" s="85" t="str">
        <f t="array" ref="B217">IFerror(INDEX(Papers!C$2:C$995,MATCH($A217, Papers!$A$2:$A$995,0)),"")</f>
        <v/>
      </c>
      <c r="C217" s="85" t="str">
        <f t="array" ref="C217">IFerror(INDEX(Papers!D$2:D$995,MATCH($A217, Papers!$A$2:$A$995,0)),"")</f>
        <v/>
      </c>
      <c r="D217" s="86" t="str">
        <f t="array" ref="D217">IFerror(INDEX(Papers!F$2:F$995,MATCH($A217, Papers!$A$2:$A$995,0)),"")</f>
        <v/>
      </c>
      <c r="E217" s="59" t="str">
        <f t="array" ref="E217">IFerror(INDEX(Papers!G$2:G$995,MATCH($A217, Papers!$A$2:$A$995,0)),"")</f>
        <v/>
      </c>
    </row>
    <row r="218">
      <c r="B218" s="85" t="str">
        <f t="array" ref="B218">IFerror(INDEX(Papers!C$2:C$995,MATCH($A218, Papers!$A$2:$A$995,0)),"")</f>
        <v/>
      </c>
      <c r="C218" s="85" t="str">
        <f t="array" ref="C218">IFerror(INDEX(Papers!D$2:D$995,MATCH($A218, Papers!$A$2:$A$995,0)),"")</f>
        <v/>
      </c>
      <c r="D218" s="86" t="str">
        <f t="array" ref="D218">IFerror(INDEX(Papers!F$2:F$995,MATCH($A218, Papers!$A$2:$A$995,0)),"")</f>
        <v/>
      </c>
      <c r="E218" s="59" t="str">
        <f t="array" ref="E218">IFerror(INDEX(Papers!G$2:G$995,MATCH($A218, Papers!$A$2:$A$995,0)),"")</f>
        <v/>
      </c>
    </row>
    <row r="219">
      <c r="B219" s="85" t="str">
        <f t="array" ref="B219">IFerror(INDEX(Papers!C$2:C$995,MATCH($A219, Papers!$A$2:$A$995,0)),"")</f>
        <v/>
      </c>
      <c r="C219" s="85" t="str">
        <f t="array" ref="C219">IFerror(INDEX(Papers!D$2:D$995,MATCH($A219, Papers!$A$2:$A$995,0)),"")</f>
        <v/>
      </c>
      <c r="D219" s="86" t="str">
        <f t="array" ref="D219">IFerror(INDEX(Papers!F$2:F$995,MATCH($A219, Papers!$A$2:$A$995,0)),"")</f>
        <v/>
      </c>
      <c r="E219" s="59" t="str">
        <f t="array" ref="E219">IFerror(INDEX(Papers!G$2:G$995,MATCH($A219, Papers!$A$2:$A$995,0)),"")</f>
        <v/>
      </c>
    </row>
    <row r="220">
      <c r="B220" s="85" t="str">
        <f t="array" ref="B220">IFerror(INDEX(Papers!C$2:C$995,MATCH($A220, Papers!$A$2:$A$995,0)),"")</f>
        <v/>
      </c>
      <c r="C220" s="85" t="str">
        <f t="array" ref="C220">IFerror(INDEX(Papers!D$2:D$995,MATCH($A220, Papers!$A$2:$A$995,0)),"")</f>
        <v/>
      </c>
      <c r="D220" s="86" t="str">
        <f t="array" ref="D220">IFerror(INDEX(Papers!F$2:F$995,MATCH($A220, Papers!$A$2:$A$995,0)),"")</f>
        <v/>
      </c>
      <c r="E220" s="59" t="str">
        <f t="array" ref="E220">IFerror(INDEX(Papers!G$2:G$995,MATCH($A220, Papers!$A$2:$A$995,0)),"")</f>
        <v/>
      </c>
    </row>
    <row r="221">
      <c r="B221" s="85" t="str">
        <f t="array" ref="B221">IFerror(INDEX(Papers!C$2:C$995,MATCH($A221, Papers!$A$2:$A$995,0)),"")</f>
        <v/>
      </c>
      <c r="C221" s="85" t="str">
        <f t="array" ref="C221">IFerror(INDEX(Papers!D$2:D$995,MATCH($A221, Papers!$A$2:$A$995,0)),"")</f>
        <v/>
      </c>
      <c r="D221" s="86" t="str">
        <f t="array" ref="D221">IFerror(INDEX(Papers!F$2:F$995,MATCH($A221, Papers!$A$2:$A$995,0)),"")</f>
        <v/>
      </c>
      <c r="E221" s="59" t="str">
        <f t="array" ref="E221">IFerror(INDEX(Papers!G$2:G$995,MATCH($A221, Papers!$A$2:$A$995,0)),"")</f>
        <v/>
      </c>
    </row>
    <row r="222">
      <c r="B222" s="85" t="str">
        <f t="array" ref="B222">IFerror(INDEX(Papers!C$2:C$995,MATCH($A222, Papers!$A$2:$A$995,0)),"")</f>
        <v/>
      </c>
      <c r="C222" s="85" t="str">
        <f t="array" ref="C222">IFerror(INDEX(Papers!D$2:D$995,MATCH($A222, Papers!$A$2:$A$995,0)),"")</f>
        <v/>
      </c>
      <c r="D222" s="86" t="str">
        <f t="array" ref="D222">IFerror(INDEX(Papers!F$2:F$995,MATCH($A222, Papers!$A$2:$A$995,0)),"")</f>
        <v/>
      </c>
      <c r="E222" s="59" t="str">
        <f t="array" ref="E222">IFerror(INDEX(Papers!G$2:G$995,MATCH($A222, Papers!$A$2:$A$995,0)),"")</f>
        <v/>
      </c>
    </row>
    <row r="223">
      <c r="B223" s="85" t="str">
        <f t="array" ref="B223">IFerror(INDEX(Papers!C$2:C$995,MATCH($A223, Papers!$A$2:$A$995,0)),"")</f>
        <v/>
      </c>
      <c r="C223" s="85" t="str">
        <f t="array" ref="C223">IFerror(INDEX(Papers!D$2:D$995,MATCH($A223, Papers!$A$2:$A$995,0)),"")</f>
        <v/>
      </c>
      <c r="D223" s="86" t="str">
        <f t="array" ref="D223">IFerror(INDEX(Papers!F$2:F$995,MATCH($A223, Papers!$A$2:$A$995,0)),"")</f>
        <v/>
      </c>
      <c r="E223" s="59" t="str">
        <f t="array" ref="E223">IFerror(INDEX(Papers!G$2:G$995,MATCH($A223, Papers!$A$2:$A$995,0)),"")</f>
        <v/>
      </c>
    </row>
    <row r="224">
      <c r="B224" s="85" t="str">
        <f t="array" ref="B224">IFerror(INDEX(Papers!C$2:C$995,MATCH($A224, Papers!$A$2:$A$995,0)),"")</f>
        <v/>
      </c>
      <c r="C224" s="85" t="str">
        <f t="array" ref="C224">IFerror(INDEX(Papers!D$2:D$995,MATCH($A224, Papers!$A$2:$A$995,0)),"")</f>
        <v/>
      </c>
      <c r="D224" s="86" t="str">
        <f t="array" ref="D224">IFerror(INDEX(Papers!F$2:F$995,MATCH($A224, Papers!$A$2:$A$995,0)),"")</f>
        <v/>
      </c>
      <c r="E224" s="59" t="str">
        <f t="array" ref="E224">IFerror(INDEX(Papers!G$2:G$995,MATCH($A224, Papers!$A$2:$A$995,0)),"")</f>
        <v/>
      </c>
    </row>
    <row r="225">
      <c r="B225" s="85" t="str">
        <f t="array" ref="B225">IFerror(INDEX(Papers!C$2:C$995,MATCH($A225, Papers!$A$2:$A$995,0)),"")</f>
        <v/>
      </c>
      <c r="C225" s="85" t="str">
        <f t="array" ref="C225">IFerror(INDEX(Papers!D$2:D$995,MATCH($A225, Papers!$A$2:$A$995,0)),"")</f>
        <v/>
      </c>
      <c r="D225" s="86" t="str">
        <f t="array" ref="D225">IFerror(INDEX(Papers!F$2:F$995,MATCH($A225, Papers!$A$2:$A$995,0)),"")</f>
        <v/>
      </c>
      <c r="E225" s="59" t="str">
        <f t="array" ref="E225">IFerror(INDEX(Papers!G$2:G$995,MATCH($A225, Papers!$A$2:$A$995,0)),"")</f>
        <v/>
      </c>
    </row>
    <row r="226">
      <c r="B226" s="85" t="str">
        <f t="array" ref="B226">IFerror(INDEX(Papers!C$2:C$995,MATCH($A226, Papers!$A$2:$A$995,0)),"")</f>
        <v/>
      </c>
      <c r="C226" s="85" t="str">
        <f t="array" ref="C226">IFerror(INDEX(Papers!D$2:D$995,MATCH($A226, Papers!$A$2:$A$995,0)),"")</f>
        <v/>
      </c>
      <c r="D226" s="86" t="str">
        <f t="array" ref="D226">IFerror(INDEX(Papers!F$2:F$995,MATCH($A226, Papers!$A$2:$A$995,0)),"")</f>
        <v/>
      </c>
      <c r="E226" s="59" t="str">
        <f t="array" ref="E226">IFerror(INDEX(Papers!G$2:G$995,MATCH($A226, Papers!$A$2:$A$995,0)),"")</f>
        <v/>
      </c>
    </row>
    <row r="227">
      <c r="B227" s="85" t="str">
        <f t="array" ref="B227">IFerror(INDEX(Papers!C$2:C$995,MATCH($A227, Papers!$A$2:$A$995,0)),"")</f>
        <v/>
      </c>
      <c r="C227" s="85" t="str">
        <f t="array" ref="C227">IFerror(INDEX(Papers!D$2:D$995,MATCH($A227, Papers!$A$2:$A$995,0)),"")</f>
        <v/>
      </c>
      <c r="D227" s="86" t="str">
        <f t="array" ref="D227">IFerror(INDEX(Papers!F$2:F$995,MATCH($A227, Papers!$A$2:$A$995,0)),"")</f>
        <v/>
      </c>
      <c r="E227" s="59" t="str">
        <f t="array" ref="E227">IFerror(INDEX(Papers!G$2:G$995,MATCH($A227, Papers!$A$2:$A$995,0)),"")</f>
        <v/>
      </c>
    </row>
    <row r="228">
      <c r="B228" s="85" t="str">
        <f t="array" ref="B228">IFerror(INDEX(Papers!C$2:C$995,MATCH($A228, Papers!$A$2:$A$995,0)),"")</f>
        <v/>
      </c>
      <c r="C228" s="85" t="str">
        <f t="array" ref="C228">IFerror(INDEX(Papers!D$2:D$995,MATCH($A228, Papers!$A$2:$A$995,0)),"")</f>
        <v/>
      </c>
      <c r="D228" s="86" t="str">
        <f t="array" ref="D228">IFerror(INDEX(Papers!F$2:F$995,MATCH($A228, Papers!$A$2:$A$995,0)),"")</f>
        <v/>
      </c>
      <c r="E228" s="59" t="str">
        <f t="array" ref="E228">IFerror(INDEX(Papers!G$2:G$995,MATCH($A228, Papers!$A$2:$A$995,0)),"")</f>
        <v/>
      </c>
    </row>
    <row r="229">
      <c r="B229" s="85" t="str">
        <f t="array" ref="B229">IFerror(INDEX(Papers!C$2:C$995,MATCH($A229, Papers!$A$2:$A$995,0)),"")</f>
        <v/>
      </c>
      <c r="C229" s="85" t="str">
        <f t="array" ref="C229">IFerror(INDEX(Papers!D$2:D$995,MATCH($A229, Papers!$A$2:$A$995,0)),"")</f>
        <v/>
      </c>
      <c r="D229" s="86" t="str">
        <f t="array" ref="D229">IFerror(INDEX(Papers!F$2:F$995,MATCH($A229, Papers!$A$2:$A$995,0)),"")</f>
        <v/>
      </c>
      <c r="E229" s="59" t="str">
        <f t="array" ref="E229">IFerror(INDEX(Papers!G$2:G$995,MATCH($A229, Papers!$A$2:$A$995,0)),"")</f>
        <v/>
      </c>
    </row>
    <row r="230">
      <c r="B230" s="85" t="str">
        <f t="array" ref="B230">IFerror(INDEX(Papers!C$2:C$995,MATCH($A230, Papers!$A$2:$A$995,0)),"")</f>
        <v/>
      </c>
      <c r="C230" s="85" t="str">
        <f t="array" ref="C230">IFerror(INDEX(Papers!D$2:D$995,MATCH($A230, Papers!$A$2:$A$995,0)),"")</f>
        <v/>
      </c>
      <c r="D230" s="86" t="str">
        <f t="array" ref="D230">IFerror(INDEX(Papers!F$2:F$995,MATCH($A230, Papers!$A$2:$A$995,0)),"")</f>
        <v/>
      </c>
      <c r="E230" s="59" t="str">
        <f t="array" ref="E230">IFerror(INDEX(Papers!G$2:G$995,MATCH($A230, Papers!$A$2:$A$995,0)),"")</f>
        <v/>
      </c>
    </row>
    <row r="231">
      <c r="B231" s="85" t="str">
        <f t="array" ref="B231">IFerror(INDEX(Papers!C$2:C$995,MATCH($A231, Papers!$A$2:$A$995,0)),"")</f>
        <v/>
      </c>
      <c r="C231" s="85" t="str">
        <f t="array" ref="C231">IFerror(INDEX(Papers!D$2:D$995,MATCH($A231, Papers!$A$2:$A$995,0)),"")</f>
        <v/>
      </c>
      <c r="D231" s="86" t="str">
        <f t="array" ref="D231">IFerror(INDEX(Papers!F$2:F$995,MATCH($A231, Papers!$A$2:$A$995,0)),"")</f>
        <v/>
      </c>
      <c r="E231" s="59" t="str">
        <f t="array" ref="E231">IFerror(INDEX(Papers!G$2:G$995,MATCH($A231, Papers!$A$2:$A$995,0)),"")</f>
        <v/>
      </c>
    </row>
    <row r="232">
      <c r="B232" s="85" t="str">
        <f t="array" ref="B232">IFerror(INDEX(Papers!C$2:C$995,MATCH($A232, Papers!$A$2:$A$995,0)),"")</f>
        <v/>
      </c>
      <c r="C232" s="85" t="str">
        <f t="array" ref="C232">IFerror(INDEX(Papers!D$2:D$995,MATCH($A232, Papers!$A$2:$A$995,0)),"")</f>
        <v/>
      </c>
      <c r="D232" s="86" t="str">
        <f t="array" ref="D232">IFerror(INDEX(Papers!F$2:F$995,MATCH($A232, Papers!$A$2:$A$995,0)),"")</f>
        <v/>
      </c>
      <c r="E232" s="59" t="str">
        <f t="array" ref="E232">IFerror(INDEX(Papers!G$2:G$995,MATCH($A232, Papers!$A$2:$A$995,0)),"")</f>
        <v/>
      </c>
    </row>
    <row r="233">
      <c r="B233" s="85" t="str">
        <f t="array" ref="B233">IFerror(INDEX(Papers!C$2:C$995,MATCH($A233, Papers!$A$2:$A$995,0)),"")</f>
        <v/>
      </c>
      <c r="C233" s="85" t="str">
        <f t="array" ref="C233">IFerror(INDEX(Papers!D$2:D$995,MATCH($A233, Papers!$A$2:$A$995,0)),"")</f>
        <v/>
      </c>
      <c r="D233" s="86" t="str">
        <f t="array" ref="D233">IFerror(INDEX(Papers!F$2:F$995,MATCH($A233, Papers!$A$2:$A$995,0)),"")</f>
        <v/>
      </c>
      <c r="E233" s="59" t="str">
        <f t="array" ref="E233">IFerror(INDEX(Papers!G$2:G$995,MATCH($A233, Papers!$A$2:$A$995,0)),"")</f>
        <v/>
      </c>
    </row>
    <row r="234">
      <c r="B234" s="85" t="str">
        <f t="array" ref="B234">IFerror(INDEX(Papers!C$2:C$995,MATCH($A234, Papers!$A$2:$A$995,0)),"")</f>
        <v/>
      </c>
      <c r="C234" s="85" t="str">
        <f t="array" ref="C234">IFerror(INDEX(Papers!D$2:D$995,MATCH($A234, Papers!$A$2:$A$995,0)),"")</f>
        <v/>
      </c>
      <c r="D234" s="86" t="str">
        <f t="array" ref="D234">IFerror(INDEX(Papers!F$2:F$995,MATCH($A234, Papers!$A$2:$A$995,0)),"")</f>
        <v/>
      </c>
      <c r="E234" s="59" t="str">
        <f t="array" ref="E234">IFerror(INDEX(Papers!G$2:G$995,MATCH($A234, Papers!$A$2:$A$995,0)),"")</f>
        <v/>
      </c>
    </row>
    <row r="235">
      <c r="B235" s="85" t="str">
        <f t="array" ref="B235">IFerror(INDEX(Papers!C$2:C$995,MATCH($A235, Papers!$A$2:$A$995,0)),"")</f>
        <v/>
      </c>
      <c r="C235" s="85" t="str">
        <f t="array" ref="C235">IFerror(INDEX(Papers!D$2:D$995,MATCH($A235, Papers!$A$2:$A$995,0)),"")</f>
        <v/>
      </c>
      <c r="D235" s="86" t="str">
        <f t="array" ref="D235">IFerror(INDEX(Papers!F$2:F$995,MATCH($A235, Papers!$A$2:$A$995,0)),"")</f>
        <v/>
      </c>
      <c r="E235" s="59" t="str">
        <f t="array" ref="E235">IFerror(INDEX(Papers!G$2:G$995,MATCH($A235, Papers!$A$2:$A$995,0)),"")</f>
        <v/>
      </c>
    </row>
    <row r="236">
      <c r="B236" s="85" t="str">
        <f t="array" ref="B236">IFerror(INDEX(Papers!C$2:C$995,MATCH($A236, Papers!$A$2:$A$995,0)),"")</f>
        <v/>
      </c>
      <c r="C236" s="85" t="str">
        <f t="array" ref="C236">IFerror(INDEX(Papers!D$2:D$995,MATCH($A236, Papers!$A$2:$A$995,0)),"")</f>
        <v/>
      </c>
      <c r="D236" s="86" t="str">
        <f t="array" ref="D236">IFerror(INDEX(Papers!F$2:F$995,MATCH($A236, Papers!$A$2:$A$995,0)),"")</f>
        <v/>
      </c>
      <c r="E236" s="59" t="str">
        <f t="array" ref="E236">IFerror(INDEX(Papers!G$2:G$995,MATCH($A236, Papers!$A$2:$A$995,0)),"")</f>
        <v/>
      </c>
    </row>
    <row r="237">
      <c r="B237" s="85" t="str">
        <f t="array" ref="B237">IFerror(INDEX(Papers!C$2:C$995,MATCH($A237, Papers!$A$2:$A$995,0)),"")</f>
        <v/>
      </c>
      <c r="C237" s="85" t="str">
        <f t="array" ref="C237">IFerror(INDEX(Papers!D$2:D$995,MATCH($A237, Papers!$A$2:$A$995,0)),"")</f>
        <v/>
      </c>
      <c r="D237" s="86" t="str">
        <f t="array" ref="D237">IFerror(INDEX(Papers!F$2:F$995,MATCH($A237, Papers!$A$2:$A$995,0)),"")</f>
        <v/>
      </c>
      <c r="E237" s="59" t="str">
        <f t="array" ref="E237">IFerror(INDEX(Papers!G$2:G$995,MATCH($A237, Papers!$A$2:$A$995,0)),"")</f>
        <v/>
      </c>
    </row>
    <row r="238">
      <c r="B238" s="85" t="str">
        <f t="array" ref="B238">IFerror(INDEX(Papers!C$2:C$995,MATCH($A238, Papers!$A$2:$A$995,0)),"")</f>
        <v/>
      </c>
      <c r="C238" s="85" t="str">
        <f t="array" ref="C238">IFerror(INDEX(Papers!D$2:D$995,MATCH($A238, Papers!$A$2:$A$995,0)),"")</f>
        <v/>
      </c>
      <c r="D238" s="86" t="str">
        <f t="array" ref="D238">IFerror(INDEX(Papers!F$2:F$995,MATCH($A238, Papers!$A$2:$A$995,0)),"")</f>
        <v/>
      </c>
      <c r="E238" s="59" t="str">
        <f t="array" ref="E238">IFerror(INDEX(Papers!G$2:G$995,MATCH($A238, Papers!$A$2:$A$995,0)),"")</f>
        <v/>
      </c>
    </row>
    <row r="239">
      <c r="B239" s="85" t="str">
        <f t="array" ref="B239">IFerror(INDEX(Papers!C$2:C$995,MATCH($A239, Papers!$A$2:$A$995,0)),"")</f>
        <v/>
      </c>
      <c r="C239" s="85" t="str">
        <f t="array" ref="C239">IFerror(INDEX(Papers!D$2:D$995,MATCH($A239, Papers!$A$2:$A$995,0)),"")</f>
        <v/>
      </c>
      <c r="D239" s="86" t="str">
        <f t="array" ref="D239">IFerror(INDEX(Papers!F$2:F$995,MATCH($A239, Papers!$A$2:$A$995,0)),"")</f>
        <v/>
      </c>
      <c r="E239" s="59" t="str">
        <f t="array" ref="E239">IFerror(INDEX(Papers!G$2:G$995,MATCH($A239, Papers!$A$2:$A$995,0)),"")</f>
        <v/>
      </c>
    </row>
    <row r="240">
      <c r="B240" s="85" t="str">
        <f t="array" ref="B240">IFerror(INDEX(Papers!C$2:C$995,MATCH($A240, Papers!$A$2:$A$995,0)),"")</f>
        <v/>
      </c>
      <c r="C240" s="85" t="str">
        <f t="array" ref="C240">IFerror(INDEX(Papers!D$2:D$995,MATCH($A240, Papers!$A$2:$A$995,0)),"")</f>
        <v/>
      </c>
      <c r="D240" s="86" t="str">
        <f t="array" ref="D240">IFerror(INDEX(Papers!F$2:F$995,MATCH($A240, Papers!$A$2:$A$995,0)),"")</f>
        <v/>
      </c>
      <c r="E240" s="59" t="str">
        <f t="array" ref="E240">IFerror(INDEX(Papers!G$2:G$995,MATCH($A240, Papers!$A$2:$A$995,0)),"")</f>
        <v/>
      </c>
    </row>
    <row r="241">
      <c r="B241" s="85" t="str">
        <f t="array" ref="B241">IFerror(INDEX(Papers!C$2:C$995,MATCH($A241, Papers!$A$2:$A$995,0)),"")</f>
        <v/>
      </c>
      <c r="C241" s="85" t="str">
        <f t="array" ref="C241">IFerror(INDEX(Papers!D$2:D$995,MATCH($A241, Papers!$A$2:$A$995,0)),"")</f>
        <v/>
      </c>
      <c r="D241" s="86" t="str">
        <f t="array" ref="D241">IFerror(INDEX(Papers!F$2:F$995,MATCH($A241, Papers!$A$2:$A$995,0)),"")</f>
        <v/>
      </c>
      <c r="E241" s="59" t="str">
        <f t="array" ref="E241">IFerror(INDEX(Papers!G$2:G$995,MATCH($A241, Papers!$A$2:$A$995,0)),"")</f>
        <v/>
      </c>
    </row>
    <row r="242">
      <c r="B242" s="85" t="str">
        <f t="array" ref="B242">IFerror(INDEX(Papers!C$2:C$995,MATCH($A242, Papers!$A$2:$A$995,0)),"")</f>
        <v/>
      </c>
      <c r="C242" s="85" t="str">
        <f t="array" ref="C242">IFerror(INDEX(Papers!D$2:D$995,MATCH($A242, Papers!$A$2:$A$995,0)),"")</f>
        <v/>
      </c>
      <c r="D242" s="86" t="str">
        <f t="array" ref="D242">IFerror(INDEX(Papers!F$2:F$995,MATCH($A242, Papers!$A$2:$A$995,0)),"")</f>
        <v/>
      </c>
      <c r="E242" s="59" t="str">
        <f t="array" ref="E242">IFerror(INDEX(Papers!G$2:G$995,MATCH($A242, Papers!$A$2:$A$995,0)),"")</f>
        <v/>
      </c>
    </row>
    <row r="243">
      <c r="B243" s="85" t="str">
        <f t="array" ref="B243">IFerror(INDEX(Papers!C$2:C$995,MATCH($A243, Papers!$A$2:$A$995,0)),"")</f>
        <v/>
      </c>
      <c r="C243" s="85" t="str">
        <f t="array" ref="C243">IFerror(INDEX(Papers!D$2:D$995,MATCH($A243, Papers!$A$2:$A$995,0)),"")</f>
        <v/>
      </c>
      <c r="D243" s="86" t="str">
        <f t="array" ref="D243">IFerror(INDEX(Papers!F$2:F$995,MATCH($A243, Papers!$A$2:$A$995,0)),"")</f>
        <v/>
      </c>
      <c r="E243" s="59" t="str">
        <f t="array" ref="E243">IFerror(INDEX(Papers!G$2:G$995,MATCH($A243, Papers!$A$2:$A$995,0)),"")</f>
        <v/>
      </c>
    </row>
    <row r="244">
      <c r="B244" s="85" t="str">
        <f t="array" ref="B244">IFerror(INDEX(Papers!C$2:C$995,MATCH($A244, Papers!$A$2:$A$995,0)),"")</f>
        <v/>
      </c>
      <c r="C244" s="85" t="str">
        <f t="array" ref="C244">IFerror(INDEX(Papers!D$2:D$995,MATCH($A244, Papers!$A$2:$A$995,0)),"")</f>
        <v/>
      </c>
      <c r="D244" s="86" t="str">
        <f t="array" ref="D244">IFerror(INDEX(Papers!F$2:F$995,MATCH($A244, Papers!$A$2:$A$995,0)),"")</f>
        <v/>
      </c>
      <c r="E244" s="59" t="str">
        <f t="array" ref="E244">IFerror(INDEX(Papers!G$2:G$995,MATCH($A244, Papers!$A$2:$A$995,0)),"")</f>
        <v/>
      </c>
    </row>
    <row r="245">
      <c r="B245" s="85" t="str">
        <f t="array" ref="B245">IFerror(INDEX(Papers!C$2:C$995,MATCH($A245, Papers!$A$2:$A$995,0)),"")</f>
        <v/>
      </c>
      <c r="C245" s="85" t="str">
        <f t="array" ref="C245">IFerror(INDEX(Papers!D$2:D$995,MATCH($A245, Papers!$A$2:$A$995,0)),"")</f>
        <v/>
      </c>
      <c r="D245" s="86" t="str">
        <f t="array" ref="D245">IFerror(INDEX(Papers!F$2:F$995,MATCH($A245, Papers!$A$2:$A$995,0)),"")</f>
        <v/>
      </c>
      <c r="E245" s="59" t="str">
        <f t="array" ref="E245">IFerror(INDEX(Papers!G$2:G$995,MATCH($A245, Papers!$A$2:$A$995,0)),"")</f>
        <v/>
      </c>
    </row>
    <row r="246">
      <c r="B246" s="85" t="str">
        <f t="array" ref="B246">IFerror(INDEX(Papers!C$2:C$995,MATCH($A246, Papers!$A$2:$A$995,0)),"")</f>
        <v/>
      </c>
      <c r="C246" s="85" t="str">
        <f t="array" ref="C246">IFerror(INDEX(Papers!D$2:D$995,MATCH($A246, Papers!$A$2:$A$995,0)),"")</f>
        <v/>
      </c>
      <c r="D246" s="86" t="str">
        <f t="array" ref="D246">IFerror(INDEX(Papers!F$2:F$995,MATCH($A246, Papers!$A$2:$A$995,0)),"")</f>
        <v/>
      </c>
      <c r="E246" s="59" t="str">
        <f t="array" ref="E246">IFerror(INDEX(Papers!G$2:G$995,MATCH($A246, Papers!$A$2:$A$995,0)),"")</f>
        <v/>
      </c>
    </row>
    <row r="247">
      <c r="B247" s="85" t="str">
        <f t="array" ref="B247">IFerror(INDEX(Papers!C$2:C$995,MATCH($A247, Papers!$A$2:$A$995,0)),"")</f>
        <v/>
      </c>
      <c r="C247" s="85" t="str">
        <f t="array" ref="C247">IFerror(INDEX(Papers!D$2:D$995,MATCH($A247, Papers!$A$2:$A$995,0)),"")</f>
        <v/>
      </c>
      <c r="D247" s="86" t="str">
        <f t="array" ref="D247">IFerror(INDEX(Papers!F$2:F$995,MATCH($A247, Papers!$A$2:$A$995,0)),"")</f>
        <v/>
      </c>
      <c r="E247" s="59" t="str">
        <f t="array" ref="E247">IFerror(INDEX(Papers!G$2:G$995,MATCH($A247, Papers!$A$2:$A$995,0)),"")</f>
        <v/>
      </c>
    </row>
    <row r="248">
      <c r="B248" s="85" t="str">
        <f t="array" ref="B248">IFerror(INDEX(Papers!C$2:C$995,MATCH($A248, Papers!$A$2:$A$995,0)),"")</f>
        <v/>
      </c>
      <c r="C248" s="85" t="str">
        <f t="array" ref="C248">IFerror(INDEX(Papers!D$2:D$995,MATCH($A248, Papers!$A$2:$A$995,0)),"")</f>
        <v/>
      </c>
      <c r="D248" s="86" t="str">
        <f t="array" ref="D248">IFerror(INDEX(Papers!F$2:F$995,MATCH($A248, Papers!$A$2:$A$995,0)),"")</f>
        <v/>
      </c>
      <c r="E248" s="59" t="str">
        <f t="array" ref="E248">IFerror(INDEX(Papers!G$2:G$995,MATCH($A248, Papers!$A$2:$A$995,0)),"")</f>
        <v/>
      </c>
    </row>
    <row r="249">
      <c r="B249" s="85" t="str">
        <f t="array" ref="B249">IFerror(INDEX(Papers!C$2:C$995,MATCH($A249, Papers!$A$2:$A$995,0)),"")</f>
        <v/>
      </c>
      <c r="C249" s="85" t="str">
        <f t="array" ref="C249">IFerror(INDEX(Papers!D$2:D$995,MATCH($A249, Papers!$A$2:$A$995,0)),"")</f>
        <v/>
      </c>
      <c r="D249" s="86" t="str">
        <f t="array" ref="D249">IFerror(INDEX(Papers!F$2:F$995,MATCH($A249, Papers!$A$2:$A$995,0)),"")</f>
        <v/>
      </c>
      <c r="E249" s="59" t="str">
        <f t="array" ref="E249">IFerror(INDEX(Papers!G$2:G$995,MATCH($A249, Papers!$A$2:$A$995,0)),"")</f>
        <v/>
      </c>
    </row>
    <row r="250">
      <c r="B250" s="85" t="str">
        <f t="array" ref="B250">IFerror(INDEX(Papers!C$2:C$995,MATCH($A250, Papers!$A$2:$A$995,0)),"")</f>
        <v/>
      </c>
      <c r="C250" s="85" t="str">
        <f t="array" ref="C250">IFerror(INDEX(Papers!D$2:D$995,MATCH($A250, Papers!$A$2:$A$995,0)),"")</f>
        <v/>
      </c>
      <c r="D250" s="86" t="str">
        <f t="array" ref="D250">IFerror(INDEX(Papers!F$2:F$995,MATCH($A250, Papers!$A$2:$A$995,0)),"")</f>
        <v/>
      </c>
      <c r="E250" s="59" t="str">
        <f t="array" ref="E250">IFerror(INDEX(Papers!G$2:G$995,MATCH($A250, Papers!$A$2:$A$995,0)),"")</f>
        <v/>
      </c>
    </row>
    <row r="251">
      <c r="B251" s="85" t="str">
        <f t="array" ref="B251">IFerror(INDEX(Papers!C$2:C$995,MATCH($A251, Papers!$A$2:$A$995,0)),"")</f>
        <v/>
      </c>
      <c r="C251" s="85" t="str">
        <f t="array" ref="C251">IFerror(INDEX(Papers!D$2:D$995,MATCH($A251, Papers!$A$2:$A$995,0)),"")</f>
        <v/>
      </c>
      <c r="D251" s="86" t="str">
        <f t="array" ref="D251">IFerror(INDEX(Papers!F$2:F$995,MATCH($A251, Papers!$A$2:$A$995,0)),"")</f>
        <v/>
      </c>
      <c r="E251" s="59" t="str">
        <f t="array" ref="E251">IFerror(INDEX(Papers!G$2:G$995,MATCH($A251, Papers!$A$2:$A$995,0)),"")</f>
        <v/>
      </c>
    </row>
    <row r="252">
      <c r="B252" s="85" t="str">
        <f t="array" ref="B252">IFerror(INDEX(Papers!C$2:C$995,MATCH($A252, Papers!$A$2:$A$995,0)),"")</f>
        <v/>
      </c>
      <c r="C252" s="85" t="str">
        <f t="array" ref="C252">IFerror(INDEX(Papers!D$2:D$995,MATCH($A252, Papers!$A$2:$A$995,0)),"")</f>
        <v/>
      </c>
      <c r="D252" s="86" t="str">
        <f t="array" ref="D252">IFerror(INDEX(Papers!F$2:F$995,MATCH($A252, Papers!$A$2:$A$995,0)),"")</f>
        <v/>
      </c>
      <c r="E252" s="59" t="str">
        <f t="array" ref="E252">IFerror(INDEX(Papers!G$2:G$995,MATCH($A252, Papers!$A$2:$A$995,0)),"")</f>
        <v/>
      </c>
    </row>
    <row r="253">
      <c r="B253" s="85" t="str">
        <f t="array" ref="B253">IFerror(INDEX(Papers!C$2:C$995,MATCH($A253, Papers!$A$2:$A$995,0)),"")</f>
        <v/>
      </c>
      <c r="C253" s="85" t="str">
        <f t="array" ref="C253">IFerror(INDEX(Papers!D$2:D$995,MATCH($A253, Papers!$A$2:$A$995,0)),"")</f>
        <v/>
      </c>
      <c r="D253" s="86" t="str">
        <f t="array" ref="D253">IFerror(INDEX(Papers!F$2:F$995,MATCH($A253, Papers!$A$2:$A$995,0)),"")</f>
        <v/>
      </c>
      <c r="E253" s="59" t="str">
        <f t="array" ref="E253">IFerror(INDEX(Papers!G$2:G$995,MATCH($A253, Papers!$A$2:$A$995,0)),"")</f>
        <v/>
      </c>
    </row>
    <row r="254">
      <c r="B254" s="85" t="str">
        <f t="array" ref="B254">IFerror(INDEX(Papers!C$2:C$995,MATCH($A254, Papers!$A$2:$A$995,0)),"")</f>
        <v/>
      </c>
      <c r="C254" s="85" t="str">
        <f t="array" ref="C254">IFerror(INDEX(Papers!D$2:D$995,MATCH($A254, Papers!$A$2:$A$995,0)),"")</f>
        <v/>
      </c>
      <c r="D254" s="86" t="str">
        <f t="array" ref="D254">IFerror(INDEX(Papers!F$2:F$995,MATCH($A254, Papers!$A$2:$A$995,0)),"")</f>
        <v/>
      </c>
      <c r="E254" s="59" t="str">
        <f t="array" ref="E254">IFerror(INDEX(Papers!G$2:G$995,MATCH($A254, Papers!$A$2:$A$995,0)),"")</f>
        <v/>
      </c>
    </row>
    <row r="255">
      <c r="B255" s="85" t="str">
        <f t="array" ref="B255">IFerror(INDEX(Papers!C$2:C$995,MATCH($A255, Papers!$A$2:$A$995,0)),"")</f>
        <v/>
      </c>
      <c r="C255" s="85" t="str">
        <f t="array" ref="C255">IFerror(INDEX(Papers!D$2:D$995,MATCH($A255, Papers!$A$2:$A$995,0)),"")</f>
        <v/>
      </c>
      <c r="D255" s="86" t="str">
        <f t="array" ref="D255">IFerror(INDEX(Papers!F$2:F$995,MATCH($A255, Papers!$A$2:$A$995,0)),"")</f>
        <v/>
      </c>
      <c r="E255" s="59" t="str">
        <f t="array" ref="E255">IFerror(INDEX(Papers!G$2:G$995,MATCH($A255, Papers!$A$2:$A$995,0)),"")</f>
        <v/>
      </c>
    </row>
    <row r="256">
      <c r="B256" s="85" t="str">
        <f t="array" ref="B256">IFerror(INDEX(Papers!C$2:C$995,MATCH($A256, Papers!$A$2:$A$995,0)),"")</f>
        <v/>
      </c>
      <c r="C256" s="85" t="str">
        <f t="array" ref="C256">IFerror(INDEX(Papers!D$2:D$995,MATCH($A256, Papers!$A$2:$A$995,0)),"")</f>
        <v/>
      </c>
      <c r="D256" s="86" t="str">
        <f t="array" ref="D256">IFerror(INDEX(Papers!F$2:F$995,MATCH($A256, Papers!$A$2:$A$995,0)),"")</f>
        <v/>
      </c>
      <c r="E256" s="59" t="str">
        <f t="array" ref="E256">IFerror(INDEX(Papers!G$2:G$995,MATCH($A256, Papers!$A$2:$A$995,0)),"")</f>
        <v/>
      </c>
    </row>
    <row r="257">
      <c r="B257" s="85" t="str">
        <f t="array" ref="B257">IFerror(INDEX(Papers!C$2:C$995,MATCH($A257, Papers!$A$2:$A$995,0)),"")</f>
        <v/>
      </c>
      <c r="C257" s="85" t="str">
        <f t="array" ref="C257">IFerror(INDEX(Papers!D$2:D$995,MATCH($A257, Papers!$A$2:$A$995,0)),"")</f>
        <v/>
      </c>
      <c r="D257" s="86" t="str">
        <f t="array" ref="D257">IFerror(INDEX(Papers!F$2:F$995,MATCH($A257, Papers!$A$2:$A$995,0)),"")</f>
        <v/>
      </c>
      <c r="E257" s="59" t="str">
        <f t="array" ref="E257">IFerror(INDEX(Papers!G$2:G$995,MATCH($A257, Papers!$A$2:$A$995,0)),"")</f>
        <v/>
      </c>
    </row>
    <row r="258">
      <c r="B258" s="85" t="str">
        <f t="array" ref="B258">IFerror(INDEX(Papers!C$2:C$995,MATCH($A258, Papers!$A$2:$A$995,0)),"")</f>
        <v/>
      </c>
      <c r="C258" s="85" t="str">
        <f t="array" ref="C258">IFerror(INDEX(Papers!D$2:D$995,MATCH($A258, Papers!$A$2:$A$995,0)),"")</f>
        <v/>
      </c>
      <c r="D258" s="86" t="str">
        <f t="array" ref="D258">IFerror(INDEX(Papers!F$2:F$995,MATCH($A258, Papers!$A$2:$A$995,0)),"")</f>
        <v/>
      </c>
      <c r="E258" s="59" t="str">
        <f t="array" ref="E258">IFerror(INDEX(Papers!G$2:G$995,MATCH($A258, Papers!$A$2:$A$995,0)),"")</f>
        <v/>
      </c>
    </row>
    <row r="259">
      <c r="B259" s="85" t="str">
        <f t="array" ref="B259">IFerror(INDEX(Papers!C$2:C$995,MATCH($A259, Papers!$A$2:$A$995,0)),"")</f>
        <v/>
      </c>
      <c r="C259" s="85" t="str">
        <f t="array" ref="C259">IFerror(INDEX(Papers!D$2:D$995,MATCH($A259, Papers!$A$2:$A$995,0)),"")</f>
        <v/>
      </c>
      <c r="D259" s="86" t="str">
        <f t="array" ref="D259">IFerror(INDEX(Papers!F$2:F$995,MATCH($A259, Papers!$A$2:$A$995,0)),"")</f>
        <v/>
      </c>
      <c r="E259" s="59" t="str">
        <f t="array" ref="E259">IFerror(INDEX(Papers!G$2:G$995,MATCH($A259, Papers!$A$2:$A$995,0)),"")</f>
        <v/>
      </c>
    </row>
    <row r="260">
      <c r="B260" s="85" t="str">
        <f t="array" ref="B260">IFerror(INDEX(Papers!C$2:C$995,MATCH($A260, Papers!$A$2:$A$995,0)),"")</f>
        <v/>
      </c>
      <c r="C260" s="85" t="str">
        <f t="array" ref="C260">IFerror(INDEX(Papers!D$2:D$995,MATCH($A260, Papers!$A$2:$A$995,0)),"")</f>
        <v/>
      </c>
      <c r="D260" s="86" t="str">
        <f t="array" ref="D260">IFerror(INDEX(Papers!F$2:F$995,MATCH($A260, Papers!$A$2:$A$995,0)),"")</f>
        <v/>
      </c>
      <c r="E260" s="59" t="str">
        <f t="array" ref="E260">IFerror(INDEX(Papers!G$2:G$995,MATCH($A260, Papers!$A$2:$A$995,0)),"")</f>
        <v/>
      </c>
    </row>
    <row r="261">
      <c r="B261" s="85" t="str">
        <f t="array" ref="B261">IFerror(INDEX(Papers!C$2:C$995,MATCH($A261, Papers!$A$2:$A$995,0)),"")</f>
        <v/>
      </c>
      <c r="C261" s="85" t="str">
        <f t="array" ref="C261">IFerror(INDEX(Papers!D$2:D$995,MATCH($A261, Papers!$A$2:$A$995,0)),"")</f>
        <v/>
      </c>
      <c r="D261" s="86" t="str">
        <f t="array" ref="D261">IFerror(INDEX(Papers!F$2:F$995,MATCH($A261, Papers!$A$2:$A$995,0)),"")</f>
        <v/>
      </c>
      <c r="E261" s="59" t="str">
        <f t="array" ref="E261">IFerror(INDEX(Papers!G$2:G$995,MATCH($A261, Papers!$A$2:$A$995,0)),"")</f>
        <v/>
      </c>
    </row>
    <row r="262">
      <c r="B262" s="85" t="str">
        <f t="array" ref="B262">IFerror(INDEX(Papers!C$2:C$995,MATCH($A262, Papers!$A$2:$A$995,0)),"")</f>
        <v/>
      </c>
      <c r="C262" s="85" t="str">
        <f t="array" ref="C262">IFerror(INDEX(Papers!D$2:D$995,MATCH($A262, Papers!$A$2:$A$995,0)),"")</f>
        <v/>
      </c>
      <c r="D262" s="86" t="str">
        <f t="array" ref="D262">IFerror(INDEX(Papers!F$2:F$995,MATCH($A262, Papers!$A$2:$A$995,0)),"")</f>
        <v/>
      </c>
      <c r="E262" s="59" t="str">
        <f t="array" ref="E262">IFerror(INDEX(Papers!G$2:G$995,MATCH($A262, Papers!$A$2:$A$995,0)),"")</f>
        <v/>
      </c>
    </row>
    <row r="263">
      <c r="B263" s="85" t="str">
        <f t="array" ref="B263">IFerror(INDEX(Papers!C$2:C$995,MATCH($A263, Papers!$A$2:$A$995,0)),"")</f>
        <v/>
      </c>
      <c r="C263" s="85" t="str">
        <f t="array" ref="C263">IFerror(INDEX(Papers!D$2:D$995,MATCH($A263, Papers!$A$2:$A$995,0)),"")</f>
        <v/>
      </c>
      <c r="D263" s="86" t="str">
        <f t="array" ref="D263">IFerror(INDEX(Papers!F$2:F$995,MATCH($A263, Papers!$A$2:$A$995,0)),"")</f>
        <v/>
      </c>
      <c r="E263" s="59" t="str">
        <f t="array" ref="E263">IFerror(INDEX(Papers!G$2:G$995,MATCH($A263, Papers!$A$2:$A$995,0)),"")</f>
        <v/>
      </c>
    </row>
    <row r="264">
      <c r="B264" s="85" t="str">
        <f t="array" ref="B264">IFerror(INDEX(Papers!C$2:C$995,MATCH($A264, Papers!$A$2:$A$995,0)),"")</f>
        <v/>
      </c>
      <c r="C264" s="85" t="str">
        <f t="array" ref="C264">IFerror(INDEX(Papers!D$2:D$995,MATCH($A264, Papers!$A$2:$A$995,0)),"")</f>
        <v/>
      </c>
      <c r="D264" s="86" t="str">
        <f t="array" ref="D264">IFerror(INDEX(Papers!F$2:F$995,MATCH($A264, Papers!$A$2:$A$995,0)),"")</f>
        <v/>
      </c>
      <c r="E264" s="59" t="str">
        <f t="array" ref="E264">IFerror(INDEX(Papers!G$2:G$995,MATCH($A264, Papers!$A$2:$A$995,0)),"")</f>
        <v/>
      </c>
    </row>
    <row r="265">
      <c r="B265" s="85" t="str">
        <f t="array" ref="B265">IFerror(INDEX(Papers!C$2:C$995,MATCH($A265, Papers!$A$2:$A$995,0)),"")</f>
        <v/>
      </c>
      <c r="C265" s="85" t="str">
        <f t="array" ref="C265">IFerror(INDEX(Papers!D$2:D$995,MATCH($A265, Papers!$A$2:$A$995,0)),"")</f>
        <v/>
      </c>
      <c r="D265" s="86" t="str">
        <f t="array" ref="D265">IFerror(INDEX(Papers!F$2:F$995,MATCH($A265, Papers!$A$2:$A$995,0)),"")</f>
        <v/>
      </c>
      <c r="E265" s="59" t="str">
        <f t="array" ref="E265">IFerror(INDEX(Papers!G$2:G$995,MATCH($A265, Papers!$A$2:$A$995,0)),"")</f>
        <v/>
      </c>
    </row>
    <row r="266">
      <c r="B266" s="85" t="str">
        <f t="array" ref="B266">IFerror(INDEX(Papers!C$2:C$995,MATCH($A266, Papers!$A$2:$A$995,0)),"")</f>
        <v/>
      </c>
      <c r="C266" s="85" t="str">
        <f t="array" ref="C266">IFerror(INDEX(Papers!D$2:D$995,MATCH($A266, Papers!$A$2:$A$995,0)),"")</f>
        <v/>
      </c>
      <c r="D266" s="86" t="str">
        <f t="array" ref="D266">IFerror(INDEX(Papers!F$2:F$995,MATCH($A266, Papers!$A$2:$A$995,0)),"")</f>
        <v/>
      </c>
      <c r="E266" s="59" t="str">
        <f t="array" ref="E266">IFerror(INDEX(Papers!G$2:G$995,MATCH($A266, Papers!$A$2:$A$995,0)),"")</f>
        <v/>
      </c>
    </row>
    <row r="267">
      <c r="B267" s="85" t="str">
        <f t="array" ref="B267">IFerror(INDEX(Papers!C$2:C$995,MATCH($A267, Papers!$A$2:$A$995,0)),"")</f>
        <v/>
      </c>
      <c r="C267" s="85" t="str">
        <f t="array" ref="C267">IFerror(INDEX(Papers!D$2:D$995,MATCH($A267, Papers!$A$2:$A$995,0)),"")</f>
        <v/>
      </c>
      <c r="D267" s="86" t="str">
        <f t="array" ref="D267">IFerror(INDEX(Papers!F$2:F$995,MATCH($A267, Papers!$A$2:$A$995,0)),"")</f>
        <v/>
      </c>
      <c r="E267" s="59" t="str">
        <f t="array" ref="E267">IFerror(INDEX(Papers!G$2:G$995,MATCH($A267, Papers!$A$2:$A$995,0)),"")</f>
        <v/>
      </c>
    </row>
    <row r="268">
      <c r="B268" s="85" t="str">
        <f t="array" ref="B268">IFerror(INDEX(Papers!C$2:C$995,MATCH($A268, Papers!$A$2:$A$995,0)),"")</f>
        <v/>
      </c>
      <c r="C268" s="85" t="str">
        <f t="array" ref="C268">IFerror(INDEX(Papers!D$2:D$995,MATCH($A268, Papers!$A$2:$A$995,0)),"")</f>
        <v/>
      </c>
      <c r="D268" s="86" t="str">
        <f t="array" ref="D268">IFerror(INDEX(Papers!F$2:F$995,MATCH($A268, Papers!$A$2:$A$995,0)),"")</f>
        <v/>
      </c>
      <c r="E268" s="59" t="str">
        <f t="array" ref="E268">IFerror(INDEX(Papers!G$2:G$995,MATCH($A268, Papers!$A$2:$A$995,0)),"")</f>
        <v/>
      </c>
    </row>
    <row r="269">
      <c r="B269" s="85" t="str">
        <f t="array" ref="B269">IFerror(INDEX(Papers!C$2:C$995,MATCH($A269, Papers!$A$2:$A$995,0)),"")</f>
        <v/>
      </c>
      <c r="C269" s="85" t="str">
        <f t="array" ref="C269">IFerror(INDEX(Papers!D$2:D$995,MATCH($A269, Papers!$A$2:$A$995,0)),"")</f>
        <v/>
      </c>
      <c r="D269" s="86" t="str">
        <f t="array" ref="D269">IFerror(INDEX(Papers!F$2:F$995,MATCH($A269, Papers!$A$2:$A$995,0)),"")</f>
        <v/>
      </c>
      <c r="E269" s="59" t="str">
        <f t="array" ref="E269">IFerror(INDEX(Papers!G$2:G$995,MATCH($A269, Papers!$A$2:$A$995,0)),"")</f>
        <v/>
      </c>
    </row>
    <row r="270">
      <c r="B270" s="85" t="str">
        <f t="array" ref="B270">IFerror(INDEX(Papers!C$2:C$995,MATCH($A270, Papers!$A$2:$A$995,0)),"")</f>
        <v/>
      </c>
      <c r="C270" s="85" t="str">
        <f t="array" ref="C270">IFerror(INDEX(Papers!D$2:D$995,MATCH($A270, Papers!$A$2:$A$995,0)),"")</f>
        <v/>
      </c>
      <c r="D270" s="86" t="str">
        <f t="array" ref="D270">IFerror(INDEX(Papers!F$2:F$995,MATCH($A270, Papers!$A$2:$A$995,0)),"")</f>
        <v/>
      </c>
      <c r="E270" s="59" t="str">
        <f t="array" ref="E270">IFerror(INDEX(Papers!G$2:G$995,MATCH($A270, Papers!$A$2:$A$995,0)),"")</f>
        <v/>
      </c>
    </row>
    <row r="271">
      <c r="B271" s="85" t="str">
        <f t="array" ref="B271">IFerror(INDEX(Papers!C$2:C$995,MATCH($A271, Papers!$A$2:$A$995,0)),"")</f>
        <v/>
      </c>
      <c r="C271" s="85" t="str">
        <f t="array" ref="C271">IFerror(INDEX(Papers!D$2:D$995,MATCH($A271, Papers!$A$2:$A$995,0)),"")</f>
        <v/>
      </c>
      <c r="D271" s="86" t="str">
        <f t="array" ref="D271">IFerror(INDEX(Papers!F$2:F$995,MATCH($A271, Papers!$A$2:$A$995,0)),"")</f>
        <v/>
      </c>
      <c r="E271" s="59" t="str">
        <f t="array" ref="E271">IFerror(INDEX(Papers!G$2:G$995,MATCH($A271, Papers!$A$2:$A$995,0)),"")</f>
        <v/>
      </c>
    </row>
    <row r="272">
      <c r="B272" s="85" t="str">
        <f t="array" ref="B272">IFerror(INDEX(Papers!C$2:C$995,MATCH($A272, Papers!$A$2:$A$995,0)),"")</f>
        <v/>
      </c>
      <c r="C272" s="85" t="str">
        <f t="array" ref="C272">IFerror(INDEX(Papers!D$2:D$995,MATCH($A272, Papers!$A$2:$A$995,0)),"")</f>
        <v/>
      </c>
      <c r="D272" s="86" t="str">
        <f t="array" ref="D272">IFerror(INDEX(Papers!F$2:F$995,MATCH($A272, Papers!$A$2:$A$995,0)),"")</f>
        <v/>
      </c>
      <c r="E272" s="59" t="str">
        <f t="array" ref="E272">IFerror(INDEX(Papers!G$2:G$995,MATCH($A272, Papers!$A$2:$A$995,0)),"")</f>
        <v/>
      </c>
    </row>
    <row r="273">
      <c r="B273" s="85" t="str">
        <f t="array" ref="B273">IFerror(INDEX(Papers!C$2:C$995,MATCH($A273, Papers!$A$2:$A$995,0)),"")</f>
        <v/>
      </c>
      <c r="C273" s="85" t="str">
        <f t="array" ref="C273">IFerror(INDEX(Papers!D$2:D$995,MATCH($A273, Papers!$A$2:$A$995,0)),"")</f>
        <v/>
      </c>
      <c r="D273" s="86" t="str">
        <f t="array" ref="D273">IFerror(INDEX(Papers!F$2:F$995,MATCH($A273, Papers!$A$2:$A$995,0)),"")</f>
        <v/>
      </c>
      <c r="E273" s="59" t="str">
        <f t="array" ref="E273">IFerror(INDEX(Papers!G$2:G$995,MATCH($A273, Papers!$A$2:$A$995,0)),"")</f>
        <v/>
      </c>
    </row>
    <row r="274">
      <c r="B274" s="85" t="str">
        <f t="array" ref="B274">IFerror(INDEX(Papers!C$2:C$995,MATCH($A274, Papers!$A$2:$A$995,0)),"")</f>
        <v/>
      </c>
      <c r="C274" s="85" t="str">
        <f t="array" ref="C274">IFerror(INDEX(Papers!D$2:D$995,MATCH($A274, Papers!$A$2:$A$995,0)),"")</f>
        <v/>
      </c>
      <c r="D274" s="86" t="str">
        <f t="array" ref="D274">IFerror(INDEX(Papers!F$2:F$995,MATCH($A274, Papers!$A$2:$A$995,0)),"")</f>
        <v/>
      </c>
      <c r="E274" s="59" t="str">
        <f t="array" ref="E274">IFerror(INDEX(Papers!G$2:G$995,MATCH($A274, Papers!$A$2:$A$995,0)),"")</f>
        <v/>
      </c>
    </row>
    <row r="275">
      <c r="B275" s="85" t="str">
        <f t="array" ref="B275">IFerror(INDEX(Papers!C$2:C$995,MATCH($A275, Papers!$A$2:$A$995,0)),"")</f>
        <v/>
      </c>
      <c r="C275" s="85" t="str">
        <f t="array" ref="C275">IFerror(INDEX(Papers!D$2:D$995,MATCH($A275, Papers!$A$2:$A$995,0)),"")</f>
        <v/>
      </c>
      <c r="D275" s="86" t="str">
        <f t="array" ref="D275">IFerror(INDEX(Papers!F$2:F$995,MATCH($A275, Papers!$A$2:$A$995,0)),"")</f>
        <v/>
      </c>
      <c r="E275" s="59" t="str">
        <f t="array" ref="E275">IFerror(INDEX(Papers!G$2:G$995,MATCH($A275, Papers!$A$2:$A$995,0)),"")</f>
        <v/>
      </c>
    </row>
    <row r="276">
      <c r="B276" s="85" t="str">
        <f t="array" ref="B276">IFerror(INDEX(Papers!C$2:C$995,MATCH($A276, Papers!$A$2:$A$995,0)),"")</f>
        <v/>
      </c>
      <c r="C276" s="85" t="str">
        <f t="array" ref="C276">IFerror(INDEX(Papers!D$2:D$995,MATCH($A276, Papers!$A$2:$A$995,0)),"")</f>
        <v/>
      </c>
      <c r="D276" s="86" t="str">
        <f t="array" ref="D276">IFerror(INDEX(Papers!F$2:F$995,MATCH($A276, Papers!$A$2:$A$995,0)),"")</f>
        <v/>
      </c>
      <c r="E276" s="59" t="str">
        <f t="array" ref="E276">IFerror(INDEX(Papers!G$2:G$995,MATCH($A276, Papers!$A$2:$A$995,0)),"")</f>
        <v/>
      </c>
    </row>
    <row r="277">
      <c r="B277" s="85" t="str">
        <f t="array" ref="B277">IFerror(INDEX(Papers!C$2:C$995,MATCH($A277, Papers!$A$2:$A$995,0)),"")</f>
        <v/>
      </c>
      <c r="C277" s="85" t="str">
        <f t="array" ref="C277">IFerror(INDEX(Papers!D$2:D$995,MATCH($A277, Papers!$A$2:$A$995,0)),"")</f>
        <v/>
      </c>
      <c r="D277" s="86" t="str">
        <f t="array" ref="D277">IFerror(INDEX(Papers!F$2:F$995,MATCH($A277, Papers!$A$2:$A$995,0)),"")</f>
        <v/>
      </c>
      <c r="E277" s="59" t="str">
        <f t="array" ref="E277">IFerror(INDEX(Papers!G$2:G$995,MATCH($A277, Papers!$A$2:$A$995,0)),"")</f>
        <v/>
      </c>
    </row>
    <row r="278">
      <c r="B278" s="85" t="str">
        <f t="array" ref="B278">IFerror(INDEX(Papers!C$2:C$995,MATCH($A278, Papers!$A$2:$A$995,0)),"")</f>
        <v/>
      </c>
      <c r="C278" s="85" t="str">
        <f t="array" ref="C278">IFerror(INDEX(Papers!D$2:D$995,MATCH($A278, Papers!$A$2:$A$995,0)),"")</f>
        <v/>
      </c>
      <c r="D278" s="86" t="str">
        <f t="array" ref="D278">IFerror(INDEX(Papers!F$2:F$995,MATCH($A278, Papers!$A$2:$A$995,0)),"")</f>
        <v/>
      </c>
      <c r="E278" s="59" t="str">
        <f t="array" ref="E278">IFerror(INDEX(Papers!G$2:G$995,MATCH($A278, Papers!$A$2:$A$995,0)),"")</f>
        <v/>
      </c>
    </row>
    <row r="279">
      <c r="B279" s="85" t="str">
        <f t="array" ref="B279">IFerror(INDEX(Papers!C$2:C$995,MATCH($A279, Papers!$A$2:$A$995,0)),"")</f>
        <v/>
      </c>
      <c r="C279" s="85" t="str">
        <f t="array" ref="C279">IFerror(INDEX(Papers!D$2:D$995,MATCH($A279, Papers!$A$2:$A$995,0)),"")</f>
        <v/>
      </c>
      <c r="D279" s="86" t="str">
        <f t="array" ref="D279">IFerror(INDEX(Papers!F$2:F$995,MATCH($A279, Papers!$A$2:$A$995,0)),"")</f>
        <v/>
      </c>
      <c r="E279" s="59" t="str">
        <f t="array" ref="E279">IFerror(INDEX(Papers!G$2:G$995,MATCH($A279, Papers!$A$2:$A$995,0)),"")</f>
        <v/>
      </c>
    </row>
    <row r="280">
      <c r="B280" s="85" t="str">
        <f t="array" ref="B280">IFerror(INDEX(Papers!C$2:C$995,MATCH($A280, Papers!$A$2:$A$995,0)),"")</f>
        <v/>
      </c>
      <c r="C280" s="85" t="str">
        <f t="array" ref="C280">IFerror(INDEX(Papers!D$2:D$995,MATCH($A280, Papers!$A$2:$A$995,0)),"")</f>
        <v/>
      </c>
      <c r="D280" s="86" t="str">
        <f t="array" ref="D280">IFerror(INDEX(Papers!F$2:F$995,MATCH($A280, Papers!$A$2:$A$995,0)),"")</f>
        <v/>
      </c>
      <c r="E280" s="59" t="str">
        <f t="array" ref="E280">IFerror(INDEX(Papers!G$2:G$995,MATCH($A280, Papers!$A$2:$A$995,0)),"")</f>
        <v/>
      </c>
    </row>
    <row r="281">
      <c r="B281" s="85" t="str">
        <f t="array" ref="B281">IFerror(INDEX(Papers!C$2:C$995,MATCH($A281, Papers!$A$2:$A$995,0)),"")</f>
        <v/>
      </c>
      <c r="C281" s="85" t="str">
        <f t="array" ref="C281">IFerror(INDEX(Papers!D$2:D$995,MATCH($A281, Papers!$A$2:$A$995,0)),"")</f>
        <v/>
      </c>
      <c r="D281" s="86" t="str">
        <f t="array" ref="D281">IFerror(INDEX(Papers!F$2:F$995,MATCH($A281, Papers!$A$2:$A$995,0)),"")</f>
        <v/>
      </c>
      <c r="E281" s="59" t="str">
        <f t="array" ref="E281">IFerror(INDEX(Papers!G$2:G$995,MATCH($A281, Papers!$A$2:$A$995,0)),"")</f>
        <v/>
      </c>
    </row>
    <row r="282">
      <c r="B282" s="85" t="str">
        <f t="array" ref="B282">IFerror(INDEX(Papers!C$2:C$995,MATCH($A282, Papers!$A$2:$A$995,0)),"")</f>
        <v/>
      </c>
      <c r="C282" s="85" t="str">
        <f t="array" ref="C282">IFerror(INDEX(Papers!D$2:D$995,MATCH($A282, Papers!$A$2:$A$995,0)),"")</f>
        <v/>
      </c>
      <c r="D282" s="86" t="str">
        <f t="array" ref="D282">IFerror(INDEX(Papers!F$2:F$995,MATCH($A282, Papers!$A$2:$A$995,0)),"")</f>
        <v/>
      </c>
      <c r="E282" s="59" t="str">
        <f t="array" ref="E282">IFerror(INDEX(Papers!G$2:G$995,MATCH($A282, Papers!$A$2:$A$995,0)),"")</f>
        <v/>
      </c>
    </row>
    <row r="283">
      <c r="B283" s="85" t="str">
        <f t="array" ref="B283">IFerror(INDEX(Papers!C$2:C$995,MATCH($A283, Papers!$A$2:$A$995,0)),"")</f>
        <v/>
      </c>
      <c r="C283" s="85" t="str">
        <f t="array" ref="C283">IFerror(INDEX(Papers!D$2:D$995,MATCH($A283, Papers!$A$2:$A$995,0)),"")</f>
        <v/>
      </c>
      <c r="D283" s="86" t="str">
        <f t="array" ref="D283">IFerror(INDEX(Papers!F$2:F$995,MATCH($A283, Papers!$A$2:$A$995,0)),"")</f>
        <v/>
      </c>
      <c r="E283" s="59" t="str">
        <f t="array" ref="E283">IFerror(INDEX(Papers!G$2:G$995,MATCH($A283, Papers!$A$2:$A$995,0)),"")</f>
        <v/>
      </c>
    </row>
    <row r="284">
      <c r="B284" s="85" t="str">
        <f t="array" ref="B284">IFerror(INDEX(Papers!C$2:C$995,MATCH($A284, Papers!$A$2:$A$995,0)),"")</f>
        <v/>
      </c>
      <c r="C284" s="85" t="str">
        <f t="array" ref="C284">IFerror(INDEX(Papers!D$2:D$995,MATCH($A284, Papers!$A$2:$A$995,0)),"")</f>
        <v/>
      </c>
      <c r="D284" s="86" t="str">
        <f t="array" ref="D284">IFerror(INDEX(Papers!F$2:F$995,MATCH($A284, Papers!$A$2:$A$995,0)),"")</f>
        <v/>
      </c>
      <c r="E284" s="59" t="str">
        <f t="array" ref="E284">IFerror(INDEX(Papers!G$2:G$995,MATCH($A284, Papers!$A$2:$A$995,0)),"")</f>
        <v/>
      </c>
    </row>
    <row r="285">
      <c r="B285" s="85" t="str">
        <f t="array" ref="B285">IFerror(INDEX(Papers!C$2:C$995,MATCH($A285, Papers!$A$2:$A$995,0)),"")</f>
        <v/>
      </c>
      <c r="C285" s="85" t="str">
        <f t="array" ref="C285">IFerror(INDEX(Papers!D$2:D$995,MATCH($A285, Papers!$A$2:$A$995,0)),"")</f>
        <v/>
      </c>
      <c r="D285" s="86" t="str">
        <f t="array" ref="D285">IFerror(INDEX(Papers!F$2:F$995,MATCH($A285, Papers!$A$2:$A$995,0)),"")</f>
        <v/>
      </c>
      <c r="E285" s="59" t="str">
        <f t="array" ref="E285">IFerror(INDEX(Papers!G$2:G$995,MATCH($A285, Papers!$A$2:$A$995,0)),"")</f>
        <v/>
      </c>
    </row>
    <row r="286">
      <c r="B286" s="85" t="str">
        <f t="array" ref="B286">IFerror(INDEX(Papers!C$2:C$995,MATCH($A286, Papers!$A$2:$A$995,0)),"")</f>
        <v/>
      </c>
      <c r="C286" s="85" t="str">
        <f t="array" ref="C286">IFerror(INDEX(Papers!D$2:D$995,MATCH($A286, Papers!$A$2:$A$995,0)),"")</f>
        <v/>
      </c>
      <c r="D286" s="86" t="str">
        <f t="array" ref="D286">IFerror(INDEX(Papers!F$2:F$995,MATCH($A286, Papers!$A$2:$A$995,0)),"")</f>
        <v/>
      </c>
      <c r="E286" s="59" t="str">
        <f t="array" ref="E286">IFerror(INDEX(Papers!G$2:G$995,MATCH($A286, Papers!$A$2:$A$995,0)),"")</f>
        <v/>
      </c>
    </row>
    <row r="287">
      <c r="B287" s="85" t="str">
        <f t="array" ref="B287">IFerror(INDEX(Papers!C$2:C$995,MATCH($A287, Papers!$A$2:$A$995,0)),"")</f>
        <v/>
      </c>
      <c r="C287" s="85" t="str">
        <f t="array" ref="C287">IFerror(INDEX(Papers!D$2:D$995,MATCH($A287, Papers!$A$2:$A$995,0)),"")</f>
        <v/>
      </c>
      <c r="D287" s="86" t="str">
        <f t="array" ref="D287">IFerror(INDEX(Papers!F$2:F$995,MATCH($A287, Papers!$A$2:$A$995,0)),"")</f>
        <v/>
      </c>
      <c r="E287" s="59" t="str">
        <f t="array" ref="E287">IFerror(INDEX(Papers!G$2:G$995,MATCH($A287, Papers!$A$2:$A$995,0)),"")</f>
        <v/>
      </c>
    </row>
    <row r="288">
      <c r="B288" s="85" t="str">
        <f t="array" ref="B288">IFerror(INDEX(Papers!C$2:C$995,MATCH($A288, Papers!$A$2:$A$995,0)),"")</f>
        <v/>
      </c>
      <c r="C288" s="85" t="str">
        <f t="array" ref="C288">IFerror(INDEX(Papers!D$2:D$995,MATCH($A288, Papers!$A$2:$A$995,0)),"")</f>
        <v/>
      </c>
      <c r="D288" s="86" t="str">
        <f t="array" ref="D288">IFerror(INDEX(Papers!F$2:F$995,MATCH($A288, Papers!$A$2:$A$995,0)),"")</f>
        <v/>
      </c>
      <c r="E288" s="59" t="str">
        <f t="array" ref="E288">IFerror(INDEX(Papers!G$2:G$995,MATCH($A288, Papers!$A$2:$A$995,0)),"")</f>
        <v/>
      </c>
    </row>
    <row r="289">
      <c r="B289" s="85" t="str">
        <f t="array" ref="B289">IFerror(INDEX(Papers!C$2:C$995,MATCH($A289, Papers!$A$2:$A$995,0)),"")</f>
        <v/>
      </c>
      <c r="C289" s="85" t="str">
        <f t="array" ref="C289">IFerror(INDEX(Papers!D$2:D$995,MATCH($A289, Papers!$A$2:$A$995,0)),"")</f>
        <v/>
      </c>
      <c r="D289" s="86" t="str">
        <f t="array" ref="D289">IFerror(INDEX(Papers!F$2:F$995,MATCH($A289, Papers!$A$2:$A$995,0)),"")</f>
        <v/>
      </c>
      <c r="E289" s="59" t="str">
        <f t="array" ref="E289">IFerror(INDEX(Papers!G$2:G$995,MATCH($A289, Papers!$A$2:$A$995,0)),"")</f>
        <v/>
      </c>
    </row>
    <row r="290">
      <c r="B290" s="85" t="str">
        <f t="array" ref="B290">IFerror(INDEX(Papers!C$2:C$995,MATCH($A290, Papers!$A$2:$A$995,0)),"")</f>
        <v/>
      </c>
      <c r="C290" s="85" t="str">
        <f t="array" ref="C290">IFerror(INDEX(Papers!D$2:D$995,MATCH($A290, Papers!$A$2:$A$995,0)),"")</f>
        <v/>
      </c>
      <c r="D290" s="86" t="str">
        <f t="array" ref="D290">IFerror(INDEX(Papers!F$2:F$995,MATCH($A290, Papers!$A$2:$A$995,0)),"")</f>
        <v/>
      </c>
      <c r="E290" s="59" t="str">
        <f t="array" ref="E290">IFerror(INDEX(Papers!G$2:G$995,MATCH($A290, Papers!$A$2:$A$995,0)),"")</f>
        <v/>
      </c>
    </row>
    <row r="291">
      <c r="B291" s="85" t="str">
        <f t="array" ref="B291">IFerror(INDEX(Papers!C$2:C$995,MATCH($A291, Papers!$A$2:$A$995,0)),"")</f>
        <v/>
      </c>
      <c r="C291" s="85" t="str">
        <f t="array" ref="C291">IFerror(INDEX(Papers!D$2:D$995,MATCH($A291, Papers!$A$2:$A$995,0)),"")</f>
        <v/>
      </c>
      <c r="D291" s="86" t="str">
        <f t="array" ref="D291">IFerror(INDEX(Papers!F$2:F$995,MATCH($A291, Papers!$A$2:$A$995,0)),"")</f>
        <v/>
      </c>
      <c r="E291" s="59" t="str">
        <f t="array" ref="E291">IFerror(INDEX(Papers!G$2:G$995,MATCH($A291, Papers!$A$2:$A$995,0)),"")</f>
        <v/>
      </c>
    </row>
    <row r="292">
      <c r="B292" s="85" t="str">
        <f t="array" ref="B292">IFerror(INDEX(Papers!C$2:C$995,MATCH($A292, Papers!$A$2:$A$995,0)),"")</f>
        <v/>
      </c>
      <c r="C292" s="85" t="str">
        <f t="array" ref="C292">IFerror(INDEX(Papers!D$2:D$995,MATCH($A292, Papers!$A$2:$A$995,0)),"")</f>
        <v/>
      </c>
      <c r="D292" s="86" t="str">
        <f t="array" ref="D292">IFerror(INDEX(Papers!F$2:F$995,MATCH($A292, Papers!$A$2:$A$995,0)),"")</f>
        <v/>
      </c>
      <c r="E292" s="59" t="str">
        <f t="array" ref="E292">IFerror(INDEX(Papers!G$2:G$995,MATCH($A292, Papers!$A$2:$A$995,0)),"")</f>
        <v/>
      </c>
    </row>
    <row r="293">
      <c r="B293" s="85" t="str">
        <f t="array" ref="B293">IFerror(INDEX(Papers!C$2:C$995,MATCH($A293, Papers!$A$2:$A$995,0)),"")</f>
        <v/>
      </c>
      <c r="C293" s="85" t="str">
        <f t="array" ref="C293">IFerror(INDEX(Papers!D$2:D$995,MATCH($A293, Papers!$A$2:$A$995,0)),"")</f>
        <v/>
      </c>
      <c r="D293" s="86" t="str">
        <f t="array" ref="D293">IFerror(INDEX(Papers!F$2:F$995,MATCH($A293, Papers!$A$2:$A$995,0)),"")</f>
        <v/>
      </c>
      <c r="E293" s="59" t="str">
        <f t="array" ref="E293">IFerror(INDEX(Papers!G$2:G$995,MATCH($A293, Papers!$A$2:$A$995,0)),"")</f>
        <v/>
      </c>
    </row>
    <row r="294">
      <c r="B294" s="85" t="str">
        <f t="array" ref="B294">IFerror(INDEX(Papers!C$2:C$995,MATCH($A294, Papers!$A$2:$A$995,0)),"")</f>
        <v/>
      </c>
      <c r="C294" s="85" t="str">
        <f t="array" ref="C294">IFerror(INDEX(Papers!D$2:D$995,MATCH($A294, Papers!$A$2:$A$995,0)),"")</f>
        <v/>
      </c>
      <c r="D294" s="86" t="str">
        <f t="array" ref="D294">IFerror(INDEX(Papers!F$2:F$995,MATCH($A294, Papers!$A$2:$A$995,0)),"")</f>
        <v/>
      </c>
      <c r="E294" s="59" t="str">
        <f t="array" ref="E294">IFerror(INDEX(Papers!G$2:G$995,MATCH($A294, Papers!$A$2:$A$995,0)),"")</f>
        <v/>
      </c>
    </row>
    <row r="295">
      <c r="B295" s="85" t="str">
        <f t="array" ref="B295">IFerror(INDEX(Papers!C$2:C$995,MATCH($A295, Papers!$A$2:$A$995,0)),"")</f>
        <v/>
      </c>
      <c r="C295" s="85" t="str">
        <f t="array" ref="C295">IFerror(INDEX(Papers!D$2:D$995,MATCH($A295, Papers!$A$2:$A$995,0)),"")</f>
        <v/>
      </c>
      <c r="D295" s="86" t="str">
        <f t="array" ref="D295">IFerror(INDEX(Papers!F$2:F$995,MATCH($A295, Papers!$A$2:$A$995,0)),"")</f>
        <v/>
      </c>
      <c r="E295" s="59" t="str">
        <f t="array" ref="E295">IFerror(INDEX(Papers!G$2:G$995,MATCH($A295, Papers!$A$2:$A$995,0)),"")</f>
        <v/>
      </c>
    </row>
    <row r="296">
      <c r="B296" s="85" t="str">
        <f t="array" ref="B296">IFerror(INDEX(Papers!C$2:C$995,MATCH($A296, Papers!$A$2:$A$995,0)),"")</f>
        <v/>
      </c>
      <c r="C296" s="85" t="str">
        <f t="array" ref="C296">IFerror(INDEX(Papers!D$2:D$995,MATCH($A296, Papers!$A$2:$A$995,0)),"")</f>
        <v/>
      </c>
      <c r="D296" s="86" t="str">
        <f t="array" ref="D296">IFerror(INDEX(Papers!F$2:F$995,MATCH($A296, Papers!$A$2:$A$995,0)),"")</f>
        <v/>
      </c>
      <c r="E296" s="59" t="str">
        <f t="array" ref="E296">IFerror(INDEX(Papers!G$2:G$995,MATCH($A296, Papers!$A$2:$A$995,0)),"")</f>
        <v/>
      </c>
    </row>
    <row r="297">
      <c r="B297" s="85" t="str">
        <f t="array" ref="B297">IFerror(INDEX(Papers!C$2:C$995,MATCH($A297, Papers!$A$2:$A$995,0)),"")</f>
        <v/>
      </c>
      <c r="C297" s="85" t="str">
        <f t="array" ref="C297">IFerror(INDEX(Papers!D$2:D$995,MATCH($A297, Papers!$A$2:$A$995,0)),"")</f>
        <v/>
      </c>
      <c r="D297" s="86" t="str">
        <f t="array" ref="D297">IFerror(INDEX(Papers!F$2:F$995,MATCH($A297, Papers!$A$2:$A$995,0)),"")</f>
        <v/>
      </c>
      <c r="E297" s="59" t="str">
        <f t="array" ref="E297">IFerror(INDEX(Papers!G$2:G$995,MATCH($A297, Papers!$A$2:$A$995,0)),"")</f>
        <v/>
      </c>
    </row>
    <row r="298">
      <c r="B298" s="85" t="str">
        <f t="array" ref="B298">IFerror(INDEX(Papers!C$2:C$995,MATCH($A298, Papers!$A$2:$A$995,0)),"")</f>
        <v/>
      </c>
      <c r="C298" s="85" t="str">
        <f t="array" ref="C298">IFerror(INDEX(Papers!D$2:D$995,MATCH($A298, Papers!$A$2:$A$995,0)),"")</f>
        <v/>
      </c>
      <c r="D298" s="86" t="str">
        <f t="array" ref="D298">IFerror(INDEX(Papers!F$2:F$995,MATCH($A298, Papers!$A$2:$A$995,0)),"")</f>
        <v/>
      </c>
      <c r="E298" s="59" t="str">
        <f t="array" ref="E298">IFerror(INDEX(Papers!G$2:G$995,MATCH($A298, Papers!$A$2:$A$995,0)),"")</f>
        <v/>
      </c>
    </row>
    <row r="299">
      <c r="B299" s="85" t="str">
        <f t="array" ref="B299">IFerror(INDEX(Papers!C$2:C$995,MATCH($A299, Papers!$A$2:$A$995,0)),"")</f>
        <v/>
      </c>
      <c r="C299" s="85" t="str">
        <f t="array" ref="C299">IFerror(INDEX(Papers!D$2:D$995,MATCH($A299, Papers!$A$2:$A$995,0)),"")</f>
        <v/>
      </c>
      <c r="D299" s="86" t="str">
        <f t="array" ref="D299">IFerror(INDEX(Papers!F$2:F$995,MATCH($A299, Papers!$A$2:$A$995,0)),"")</f>
        <v/>
      </c>
      <c r="E299" s="59" t="str">
        <f t="array" ref="E299">IFerror(INDEX(Papers!G$2:G$995,MATCH($A299, Papers!$A$2:$A$995,0)),"")</f>
        <v/>
      </c>
    </row>
    <row r="300">
      <c r="B300" s="85" t="str">
        <f t="array" ref="B300">IFerror(INDEX(Papers!C$2:C$995,MATCH($A300, Papers!$A$2:$A$995,0)),"")</f>
        <v/>
      </c>
      <c r="C300" s="85" t="str">
        <f t="array" ref="C300">IFerror(INDEX(Papers!D$2:D$995,MATCH($A300, Papers!$A$2:$A$995,0)),"")</f>
        <v/>
      </c>
      <c r="D300" s="86" t="str">
        <f t="array" ref="D300">IFerror(INDEX(Papers!F$2:F$995,MATCH($A300, Papers!$A$2:$A$995,0)),"")</f>
        <v/>
      </c>
      <c r="E300" s="59" t="str">
        <f t="array" ref="E300">IFerror(INDEX(Papers!G$2:G$995,MATCH($A300, Papers!$A$2:$A$995,0)),"")</f>
        <v/>
      </c>
    </row>
    <row r="301">
      <c r="B301" s="85" t="str">
        <f t="array" ref="B301">IFerror(INDEX(Papers!C$2:C$995,MATCH($A301, Papers!$A$2:$A$995,0)),"")</f>
        <v/>
      </c>
      <c r="C301" s="85" t="str">
        <f t="array" ref="C301">IFerror(INDEX(Papers!D$2:D$995,MATCH($A301, Papers!$A$2:$A$995,0)),"")</f>
        <v/>
      </c>
      <c r="D301" s="86" t="str">
        <f t="array" ref="D301">IFerror(INDEX(Papers!F$2:F$995,MATCH($A301, Papers!$A$2:$A$995,0)),"")</f>
        <v/>
      </c>
      <c r="E301" s="59" t="str">
        <f t="array" ref="E301">IFerror(INDEX(Papers!G$2:G$995,MATCH($A301, Papers!$A$2:$A$995,0)),"")</f>
        <v/>
      </c>
    </row>
    <row r="302">
      <c r="B302" s="85" t="str">
        <f t="array" ref="B302">IFerror(INDEX(Papers!C$2:C$995,MATCH($A302, Papers!$A$2:$A$995,0)),"")</f>
        <v/>
      </c>
      <c r="C302" s="85" t="str">
        <f t="array" ref="C302">IFerror(INDEX(Papers!D$2:D$995,MATCH($A302, Papers!$A$2:$A$995,0)),"")</f>
        <v/>
      </c>
      <c r="D302" s="86" t="str">
        <f t="array" ref="D302">IFerror(INDEX(Papers!F$2:F$995,MATCH($A302, Papers!$A$2:$A$995,0)),"")</f>
        <v/>
      </c>
      <c r="E302" s="59" t="str">
        <f t="array" ref="E302">IFerror(INDEX(Papers!G$2:G$995,MATCH($A302, Papers!$A$2:$A$995,0)),"")</f>
        <v/>
      </c>
    </row>
    <row r="303">
      <c r="B303" s="85" t="str">
        <f t="array" ref="B303">IFerror(INDEX(Papers!C$2:C$995,MATCH($A303, Papers!$A$2:$A$995,0)),"")</f>
        <v/>
      </c>
      <c r="C303" s="85" t="str">
        <f t="array" ref="C303">IFerror(INDEX(Papers!D$2:D$995,MATCH($A303, Papers!$A$2:$A$995,0)),"")</f>
        <v/>
      </c>
      <c r="D303" s="86" t="str">
        <f t="array" ref="D303">IFerror(INDEX(Papers!F$2:F$995,MATCH($A303, Papers!$A$2:$A$995,0)),"")</f>
        <v/>
      </c>
      <c r="E303" s="59" t="str">
        <f t="array" ref="E303">IFerror(INDEX(Papers!G$2:G$995,MATCH($A303, Papers!$A$2:$A$995,0)),"")</f>
        <v/>
      </c>
    </row>
    <row r="304">
      <c r="B304" s="85" t="str">
        <f t="array" ref="B304">IFerror(INDEX(Papers!C$2:C$995,MATCH($A304, Papers!$A$2:$A$995,0)),"")</f>
        <v/>
      </c>
      <c r="C304" s="85" t="str">
        <f t="array" ref="C304">IFerror(INDEX(Papers!D$2:D$995,MATCH($A304, Papers!$A$2:$A$995,0)),"")</f>
        <v/>
      </c>
      <c r="D304" s="86" t="str">
        <f t="array" ref="D304">IFerror(INDEX(Papers!F$2:F$995,MATCH($A304, Papers!$A$2:$A$995,0)),"")</f>
        <v/>
      </c>
      <c r="E304" s="59" t="str">
        <f t="array" ref="E304">IFerror(INDEX(Papers!G$2:G$995,MATCH($A304, Papers!$A$2:$A$995,0)),"")</f>
        <v/>
      </c>
    </row>
    <row r="305">
      <c r="B305" s="85" t="str">
        <f t="array" ref="B305">IFerror(INDEX(Papers!C$2:C$995,MATCH($A305, Papers!$A$2:$A$995,0)),"")</f>
        <v/>
      </c>
      <c r="C305" s="85" t="str">
        <f t="array" ref="C305">IFerror(INDEX(Papers!D$2:D$995,MATCH($A305, Papers!$A$2:$A$995,0)),"")</f>
        <v/>
      </c>
      <c r="D305" s="86" t="str">
        <f t="array" ref="D305">IFerror(INDEX(Papers!F$2:F$995,MATCH($A305, Papers!$A$2:$A$995,0)),"")</f>
        <v/>
      </c>
      <c r="E305" s="59" t="str">
        <f t="array" ref="E305">IFerror(INDEX(Papers!G$2:G$995,MATCH($A305, Papers!$A$2:$A$995,0)),"")</f>
        <v/>
      </c>
    </row>
    <row r="306">
      <c r="B306" s="85" t="str">
        <f t="array" ref="B306">IFerror(INDEX(Papers!C$2:C$995,MATCH($A306, Papers!$A$2:$A$995,0)),"")</f>
        <v/>
      </c>
      <c r="C306" s="85" t="str">
        <f t="array" ref="C306">IFerror(INDEX(Papers!D$2:D$995,MATCH($A306, Papers!$A$2:$A$995,0)),"")</f>
        <v/>
      </c>
      <c r="D306" s="86" t="str">
        <f t="array" ref="D306">IFerror(INDEX(Papers!F$2:F$995,MATCH($A306, Papers!$A$2:$A$995,0)),"")</f>
        <v/>
      </c>
      <c r="E306" s="59" t="str">
        <f t="array" ref="E306">IFerror(INDEX(Papers!G$2:G$995,MATCH($A306, Papers!$A$2:$A$995,0)),"")</f>
        <v/>
      </c>
    </row>
    <row r="307">
      <c r="B307" s="85" t="str">
        <f t="array" ref="B307">IFerror(INDEX(Papers!C$2:C$995,MATCH($A307, Papers!$A$2:$A$995,0)),"")</f>
        <v/>
      </c>
      <c r="C307" s="85" t="str">
        <f t="array" ref="C307">IFerror(INDEX(Papers!D$2:D$995,MATCH($A307, Papers!$A$2:$A$995,0)),"")</f>
        <v/>
      </c>
      <c r="D307" s="86" t="str">
        <f t="array" ref="D307">IFerror(INDEX(Papers!F$2:F$995,MATCH($A307, Papers!$A$2:$A$995,0)),"")</f>
        <v/>
      </c>
      <c r="E307" s="59" t="str">
        <f t="array" ref="E307">IFerror(INDEX(Papers!G$2:G$995,MATCH($A307, Papers!$A$2:$A$995,0)),"")</f>
        <v/>
      </c>
    </row>
    <row r="308">
      <c r="B308" s="85" t="str">
        <f t="array" ref="B308">IFerror(INDEX(Papers!C$2:C$995,MATCH($A308, Papers!$A$2:$A$995,0)),"")</f>
        <v/>
      </c>
      <c r="C308" s="85" t="str">
        <f t="array" ref="C308">IFerror(INDEX(Papers!D$2:D$995,MATCH($A308, Papers!$A$2:$A$995,0)),"")</f>
        <v/>
      </c>
      <c r="D308" s="86" t="str">
        <f t="array" ref="D308">IFerror(INDEX(Papers!F$2:F$995,MATCH($A308, Papers!$A$2:$A$995,0)),"")</f>
        <v/>
      </c>
      <c r="E308" s="59" t="str">
        <f t="array" ref="E308">IFerror(INDEX(Papers!G$2:G$995,MATCH($A308, Papers!$A$2:$A$995,0)),"")</f>
        <v/>
      </c>
    </row>
    <row r="309">
      <c r="B309" s="85" t="str">
        <f t="array" ref="B309">IFerror(INDEX(Papers!C$2:C$995,MATCH($A309, Papers!$A$2:$A$995,0)),"")</f>
        <v/>
      </c>
      <c r="C309" s="85" t="str">
        <f t="array" ref="C309">IFerror(INDEX(Papers!D$2:D$995,MATCH($A309, Papers!$A$2:$A$995,0)),"")</f>
        <v/>
      </c>
      <c r="D309" s="86" t="str">
        <f t="array" ref="D309">IFerror(INDEX(Papers!F$2:F$995,MATCH($A309, Papers!$A$2:$A$995,0)),"")</f>
        <v/>
      </c>
      <c r="E309" s="59" t="str">
        <f t="array" ref="E309">IFerror(INDEX(Papers!G$2:G$995,MATCH($A309, Papers!$A$2:$A$995,0)),"")</f>
        <v/>
      </c>
    </row>
    <row r="310">
      <c r="B310" s="85" t="str">
        <f t="array" ref="B310">IFerror(INDEX(Papers!C$2:C$995,MATCH($A310, Papers!$A$2:$A$995,0)),"")</f>
        <v/>
      </c>
      <c r="C310" s="85" t="str">
        <f t="array" ref="C310">IFerror(INDEX(Papers!D$2:D$995,MATCH($A310, Papers!$A$2:$A$995,0)),"")</f>
        <v/>
      </c>
      <c r="D310" s="86" t="str">
        <f t="array" ref="D310">IFerror(INDEX(Papers!F$2:F$995,MATCH($A310, Papers!$A$2:$A$995,0)),"")</f>
        <v/>
      </c>
      <c r="E310" s="59" t="str">
        <f t="array" ref="E310">IFerror(INDEX(Papers!G$2:G$995,MATCH($A310, Papers!$A$2:$A$995,0)),"")</f>
        <v/>
      </c>
    </row>
    <row r="311">
      <c r="B311" s="85" t="str">
        <f t="array" ref="B311">IFerror(INDEX(Papers!C$2:C$995,MATCH($A311, Papers!$A$2:$A$995,0)),"")</f>
        <v/>
      </c>
      <c r="C311" s="85" t="str">
        <f t="array" ref="C311">IFerror(INDEX(Papers!D$2:D$995,MATCH($A311, Papers!$A$2:$A$995,0)),"")</f>
        <v/>
      </c>
      <c r="D311" s="86" t="str">
        <f t="array" ref="D311">IFerror(INDEX(Papers!F$2:F$995,MATCH($A311, Papers!$A$2:$A$995,0)),"")</f>
        <v/>
      </c>
      <c r="E311" s="59" t="str">
        <f t="array" ref="E311">IFerror(INDEX(Papers!G$2:G$995,MATCH($A311, Papers!$A$2:$A$995,0)),"")</f>
        <v/>
      </c>
    </row>
    <row r="312">
      <c r="B312" s="85" t="str">
        <f t="array" ref="B312">IFerror(INDEX(Papers!C$2:C$995,MATCH($A312, Papers!$A$2:$A$995,0)),"")</f>
        <v/>
      </c>
      <c r="C312" s="85" t="str">
        <f t="array" ref="C312">IFerror(INDEX(Papers!D$2:D$995,MATCH($A312, Papers!$A$2:$A$995,0)),"")</f>
        <v/>
      </c>
      <c r="D312" s="86" t="str">
        <f t="array" ref="D312">IFerror(INDEX(Papers!F$2:F$995,MATCH($A312, Papers!$A$2:$A$995,0)),"")</f>
        <v/>
      </c>
      <c r="E312" s="59" t="str">
        <f t="array" ref="E312">IFerror(INDEX(Papers!G$2:G$995,MATCH($A312, Papers!$A$2:$A$995,0)),"")</f>
        <v/>
      </c>
    </row>
    <row r="313">
      <c r="B313" s="85" t="str">
        <f t="array" ref="B313">IFerror(INDEX(Papers!C$2:C$995,MATCH($A313, Papers!$A$2:$A$995,0)),"")</f>
        <v/>
      </c>
      <c r="C313" s="85" t="str">
        <f t="array" ref="C313">IFerror(INDEX(Papers!D$2:D$995,MATCH($A313, Papers!$A$2:$A$995,0)),"")</f>
        <v/>
      </c>
      <c r="D313" s="86" t="str">
        <f t="array" ref="D313">IFerror(INDEX(Papers!F$2:F$995,MATCH($A313, Papers!$A$2:$A$995,0)),"")</f>
        <v/>
      </c>
      <c r="E313" s="59" t="str">
        <f t="array" ref="E313">IFerror(INDEX(Papers!G$2:G$995,MATCH($A313, Papers!$A$2:$A$995,0)),"")</f>
        <v/>
      </c>
    </row>
    <row r="314">
      <c r="B314" s="85" t="str">
        <f t="array" ref="B314">IFerror(INDEX(Papers!C$2:C$995,MATCH($A314, Papers!$A$2:$A$995,0)),"")</f>
        <v/>
      </c>
      <c r="C314" s="85" t="str">
        <f t="array" ref="C314">IFerror(INDEX(Papers!D$2:D$995,MATCH($A314, Papers!$A$2:$A$995,0)),"")</f>
        <v/>
      </c>
      <c r="D314" s="86" t="str">
        <f t="array" ref="D314">IFerror(INDEX(Papers!F$2:F$995,MATCH($A314, Papers!$A$2:$A$995,0)),"")</f>
        <v/>
      </c>
      <c r="E314" s="59" t="str">
        <f t="array" ref="E314">IFerror(INDEX(Papers!G$2:G$995,MATCH($A314, Papers!$A$2:$A$995,0)),"")</f>
        <v/>
      </c>
    </row>
    <row r="315">
      <c r="B315" s="85" t="str">
        <f t="array" ref="B315">IFerror(INDEX(Papers!C$2:C$995,MATCH($A315, Papers!$A$2:$A$995,0)),"")</f>
        <v/>
      </c>
      <c r="C315" s="85" t="str">
        <f t="array" ref="C315">IFerror(INDEX(Papers!D$2:D$995,MATCH($A315, Papers!$A$2:$A$995,0)),"")</f>
        <v/>
      </c>
      <c r="D315" s="86" t="str">
        <f t="array" ref="D315">IFerror(INDEX(Papers!F$2:F$995,MATCH($A315, Papers!$A$2:$A$995,0)),"")</f>
        <v/>
      </c>
      <c r="E315" s="59" t="str">
        <f t="array" ref="E315">IFerror(INDEX(Papers!G$2:G$995,MATCH($A315, Papers!$A$2:$A$995,0)),"")</f>
        <v/>
      </c>
    </row>
    <row r="316">
      <c r="B316" s="85" t="str">
        <f t="array" ref="B316">IFerror(INDEX(Papers!C$2:C$995,MATCH($A316, Papers!$A$2:$A$995,0)),"")</f>
        <v/>
      </c>
      <c r="C316" s="85" t="str">
        <f t="array" ref="C316">IFerror(INDEX(Papers!D$2:D$995,MATCH($A316, Papers!$A$2:$A$995,0)),"")</f>
        <v/>
      </c>
      <c r="D316" s="86" t="str">
        <f t="array" ref="D316">IFerror(INDEX(Papers!F$2:F$995,MATCH($A316, Papers!$A$2:$A$995,0)),"")</f>
        <v/>
      </c>
      <c r="E316" s="59" t="str">
        <f t="array" ref="E316">IFerror(INDEX(Papers!G$2:G$995,MATCH($A316, Papers!$A$2:$A$995,0)),"")</f>
        <v/>
      </c>
    </row>
    <row r="317">
      <c r="B317" s="85" t="str">
        <f t="array" ref="B317">IFerror(INDEX(Papers!C$2:C$995,MATCH($A317, Papers!$A$2:$A$995,0)),"")</f>
        <v/>
      </c>
      <c r="C317" s="85" t="str">
        <f t="array" ref="C317">IFerror(INDEX(Papers!D$2:D$995,MATCH($A317, Papers!$A$2:$A$995,0)),"")</f>
        <v/>
      </c>
      <c r="D317" s="86" t="str">
        <f t="array" ref="D317">IFerror(INDEX(Papers!F$2:F$995,MATCH($A317, Papers!$A$2:$A$995,0)),"")</f>
        <v/>
      </c>
      <c r="E317" s="59" t="str">
        <f t="array" ref="E317">IFerror(INDEX(Papers!G$2:G$995,MATCH($A317, Papers!$A$2:$A$995,0)),"")</f>
        <v/>
      </c>
    </row>
    <row r="318">
      <c r="B318" s="85" t="str">
        <f t="array" ref="B318">IFerror(INDEX(Papers!C$2:C$995,MATCH($A318, Papers!$A$2:$A$995,0)),"")</f>
        <v/>
      </c>
      <c r="C318" s="85" t="str">
        <f t="array" ref="C318">IFerror(INDEX(Papers!D$2:D$995,MATCH($A318, Papers!$A$2:$A$995,0)),"")</f>
        <v/>
      </c>
      <c r="D318" s="86" t="str">
        <f t="array" ref="D318">IFerror(INDEX(Papers!F$2:F$995,MATCH($A318, Papers!$A$2:$A$995,0)),"")</f>
        <v/>
      </c>
      <c r="E318" s="59" t="str">
        <f t="array" ref="E318">IFerror(INDEX(Papers!G$2:G$995,MATCH($A318, Papers!$A$2:$A$995,0)),"")</f>
        <v/>
      </c>
    </row>
    <row r="319">
      <c r="B319" s="85" t="str">
        <f t="array" ref="B319">IFerror(INDEX(Papers!C$2:C$995,MATCH($A319, Papers!$A$2:$A$995,0)),"")</f>
        <v/>
      </c>
      <c r="C319" s="85" t="str">
        <f t="array" ref="C319">IFerror(INDEX(Papers!D$2:D$995,MATCH($A319, Papers!$A$2:$A$995,0)),"")</f>
        <v/>
      </c>
      <c r="D319" s="86" t="str">
        <f t="array" ref="D319">IFerror(INDEX(Papers!F$2:F$995,MATCH($A319, Papers!$A$2:$A$995,0)),"")</f>
        <v/>
      </c>
      <c r="E319" s="59" t="str">
        <f t="array" ref="E319">IFerror(INDEX(Papers!G$2:G$995,MATCH($A319, Papers!$A$2:$A$995,0)),"")</f>
        <v/>
      </c>
    </row>
    <row r="320">
      <c r="B320" s="85" t="str">
        <f t="array" ref="B320">IFerror(INDEX(Papers!C$2:C$995,MATCH($A320, Papers!$A$2:$A$995,0)),"")</f>
        <v/>
      </c>
      <c r="C320" s="85" t="str">
        <f t="array" ref="C320">IFerror(INDEX(Papers!D$2:D$995,MATCH($A320, Papers!$A$2:$A$995,0)),"")</f>
        <v/>
      </c>
      <c r="D320" s="86" t="str">
        <f t="array" ref="D320">IFerror(INDEX(Papers!F$2:F$995,MATCH($A320, Papers!$A$2:$A$995,0)),"")</f>
        <v/>
      </c>
      <c r="E320" s="59" t="str">
        <f t="array" ref="E320">IFerror(INDEX(Papers!G$2:G$995,MATCH($A320, Papers!$A$2:$A$995,0)),"")</f>
        <v/>
      </c>
    </row>
    <row r="321">
      <c r="B321" s="85" t="str">
        <f t="array" ref="B321">IFerror(INDEX(Papers!C$2:C$995,MATCH($A321, Papers!$A$2:$A$995,0)),"")</f>
        <v/>
      </c>
      <c r="C321" s="85" t="str">
        <f t="array" ref="C321">IFerror(INDEX(Papers!D$2:D$995,MATCH($A321, Papers!$A$2:$A$995,0)),"")</f>
        <v/>
      </c>
      <c r="D321" s="86" t="str">
        <f t="array" ref="D321">IFerror(INDEX(Papers!F$2:F$995,MATCH($A321, Papers!$A$2:$A$995,0)),"")</f>
        <v/>
      </c>
      <c r="E321" s="59" t="str">
        <f t="array" ref="E321">IFerror(INDEX(Papers!G$2:G$995,MATCH($A321, Papers!$A$2:$A$995,0)),"")</f>
        <v/>
      </c>
    </row>
    <row r="322">
      <c r="B322" s="85" t="str">
        <f t="array" ref="B322">IFerror(INDEX(Papers!C$2:C$995,MATCH($A322, Papers!$A$2:$A$995,0)),"")</f>
        <v/>
      </c>
      <c r="C322" s="85" t="str">
        <f t="array" ref="C322">IFerror(INDEX(Papers!D$2:D$995,MATCH($A322, Papers!$A$2:$A$995,0)),"")</f>
        <v/>
      </c>
      <c r="D322" s="86" t="str">
        <f t="array" ref="D322">IFerror(INDEX(Papers!F$2:F$995,MATCH($A322, Papers!$A$2:$A$995,0)),"")</f>
        <v/>
      </c>
      <c r="E322" s="59" t="str">
        <f t="array" ref="E322">IFerror(INDEX(Papers!G$2:G$995,MATCH($A322, Papers!$A$2:$A$995,0)),"")</f>
        <v/>
      </c>
    </row>
    <row r="323">
      <c r="B323" s="85" t="str">
        <f t="array" ref="B323">IFerror(INDEX(Papers!C$2:C$995,MATCH($A323, Papers!$A$2:$A$995,0)),"")</f>
        <v/>
      </c>
      <c r="C323" s="85" t="str">
        <f t="array" ref="C323">IFerror(INDEX(Papers!D$2:D$995,MATCH($A323, Papers!$A$2:$A$995,0)),"")</f>
        <v/>
      </c>
      <c r="D323" s="86" t="str">
        <f t="array" ref="D323">IFerror(INDEX(Papers!F$2:F$995,MATCH($A323, Papers!$A$2:$A$995,0)),"")</f>
        <v/>
      </c>
      <c r="E323" s="59" t="str">
        <f t="array" ref="E323">IFerror(INDEX(Papers!G$2:G$995,MATCH($A323, Papers!$A$2:$A$995,0)),"")</f>
        <v/>
      </c>
    </row>
    <row r="324">
      <c r="B324" s="85" t="str">
        <f t="array" ref="B324">IFerror(INDEX(Papers!C$2:C$995,MATCH($A324, Papers!$A$2:$A$995,0)),"")</f>
        <v/>
      </c>
      <c r="C324" s="85" t="str">
        <f t="array" ref="C324">IFerror(INDEX(Papers!D$2:D$995,MATCH($A324, Papers!$A$2:$A$995,0)),"")</f>
        <v/>
      </c>
      <c r="D324" s="86" t="str">
        <f t="array" ref="D324">IFerror(INDEX(Papers!F$2:F$995,MATCH($A324, Papers!$A$2:$A$995,0)),"")</f>
        <v/>
      </c>
      <c r="E324" s="59" t="str">
        <f t="array" ref="E324">IFerror(INDEX(Papers!G$2:G$995,MATCH($A324, Papers!$A$2:$A$995,0)),"")</f>
        <v/>
      </c>
    </row>
    <row r="325">
      <c r="B325" s="85" t="str">
        <f t="array" ref="B325">IFerror(INDEX(Papers!C$2:C$995,MATCH($A325, Papers!$A$2:$A$995,0)),"")</f>
        <v/>
      </c>
      <c r="C325" s="85" t="str">
        <f t="array" ref="C325">IFerror(INDEX(Papers!D$2:D$995,MATCH($A325, Papers!$A$2:$A$995,0)),"")</f>
        <v/>
      </c>
      <c r="D325" s="86" t="str">
        <f t="array" ref="D325">IFerror(INDEX(Papers!F$2:F$995,MATCH($A325, Papers!$A$2:$A$995,0)),"")</f>
        <v/>
      </c>
      <c r="E325" s="59" t="str">
        <f t="array" ref="E325">IFerror(INDEX(Papers!G$2:G$995,MATCH($A325, Papers!$A$2:$A$995,0)),"")</f>
        <v/>
      </c>
    </row>
    <row r="326">
      <c r="B326" s="85" t="str">
        <f t="array" ref="B326">IFerror(INDEX(Papers!C$2:C$995,MATCH($A326, Papers!$A$2:$A$995,0)),"")</f>
        <v/>
      </c>
      <c r="C326" s="85" t="str">
        <f t="array" ref="C326">IFerror(INDEX(Papers!D$2:D$995,MATCH($A326, Papers!$A$2:$A$995,0)),"")</f>
        <v/>
      </c>
      <c r="D326" s="86" t="str">
        <f t="array" ref="D326">IFerror(INDEX(Papers!F$2:F$995,MATCH($A326, Papers!$A$2:$A$995,0)),"")</f>
        <v/>
      </c>
      <c r="E326" s="59" t="str">
        <f t="array" ref="E326">IFerror(INDEX(Papers!G$2:G$995,MATCH($A326, Papers!$A$2:$A$995,0)),"")</f>
        <v/>
      </c>
    </row>
    <row r="327">
      <c r="B327" s="85" t="str">
        <f t="array" ref="B327">IFerror(INDEX(Papers!C$2:C$995,MATCH($A327, Papers!$A$2:$A$995,0)),"")</f>
        <v/>
      </c>
      <c r="C327" s="85" t="str">
        <f t="array" ref="C327">IFerror(INDEX(Papers!D$2:D$995,MATCH($A327, Papers!$A$2:$A$995,0)),"")</f>
        <v/>
      </c>
      <c r="D327" s="86" t="str">
        <f t="array" ref="D327">IFerror(INDEX(Papers!F$2:F$995,MATCH($A327, Papers!$A$2:$A$995,0)),"")</f>
        <v/>
      </c>
      <c r="E327" s="59" t="str">
        <f t="array" ref="E327">IFerror(INDEX(Papers!G$2:G$995,MATCH($A327, Papers!$A$2:$A$995,0)),"")</f>
        <v/>
      </c>
    </row>
    <row r="328">
      <c r="B328" s="85" t="str">
        <f t="array" ref="B328">IFerror(INDEX(Papers!C$2:C$995,MATCH($A328, Papers!$A$2:$A$995,0)),"")</f>
        <v/>
      </c>
      <c r="C328" s="85" t="str">
        <f t="array" ref="C328">IFerror(INDEX(Papers!D$2:D$995,MATCH($A328, Papers!$A$2:$A$995,0)),"")</f>
        <v/>
      </c>
      <c r="D328" s="86" t="str">
        <f t="array" ref="D328">IFerror(INDEX(Papers!F$2:F$995,MATCH($A328, Papers!$A$2:$A$995,0)),"")</f>
        <v/>
      </c>
      <c r="E328" s="59" t="str">
        <f t="array" ref="E328">IFerror(INDEX(Papers!G$2:G$995,MATCH($A328, Papers!$A$2:$A$995,0)),"")</f>
        <v/>
      </c>
    </row>
    <row r="329">
      <c r="B329" s="85" t="str">
        <f t="array" ref="B329">IFerror(INDEX(Papers!C$2:C$995,MATCH($A329, Papers!$A$2:$A$995,0)),"")</f>
        <v/>
      </c>
      <c r="C329" s="85" t="str">
        <f t="array" ref="C329">IFerror(INDEX(Papers!D$2:D$995,MATCH($A329, Papers!$A$2:$A$995,0)),"")</f>
        <v/>
      </c>
      <c r="D329" s="86" t="str">
        <f t="array" ref="D329">IFerror(INDEX(Papers!F$2:F$995,MATCH($A329, Papers!$A$2:$A$995,0)),"")</f>
        <v/>
      </c>
      <c r="E329" s="59" t="str">
        <f t="array" ref="E329">IFerror(INDEX(Papers!G$2:G$995,MATCH($A329, Papers!$A$2:$A$995,0)),"")</f>
        <v/>
      </c>
    </row>
    <row r="330">
      <c r="B330" s="85" t="str">
        <f t="array" ref="B330">IFerror(INDEX(Papers!C$2:C$995,MATCH($A330, Papers!$A$2:$A$995,0)),"")</f>
        <v/>
      </c>
      <c r="C330" s="85" t="str">
        <f t="array" ref="C330">IFerror(INDEX(Papers!D$2:D$995,MATCH($A330, Papers!$A$2:$A$995,0)),"")</f>
        <v/>
      </c>
      <c r="D330" s="86" t="str">
        <f t="array" ref="D330">IFerror(INDEX(Papers!F$2:F$995,MATCH($A330, Papers!$A$2:$A$995,0)),"")</f>
        <v/>
      </c>
      <c r="E330" s="59" t="str">
        <f t="array" ref="E330">IFerror(INDEX(Papers!G$2:G$995,MATCH($A330, Papers!$A$2:$A$995,0)),"")</f>
        <v/>
      </c>
    </row>
    <row r="331">
      <c r="B331" s="85" t="str">
        <f t="array" ref="B331">IFerror(INDEX(Papers!C$2:C$995,MATCH($A331, Papers!$A$2:$A$995,0)),"")</f>
        <v/>
      </c>
      <c r="C331" s="85" t="str">
        <f t="array" ref="C331">IFerror(INDEX(Papers!D$2:D$995,MATCH($A331, Papers!$A$2:$A$995,0)),"")</f>
        <v/>
      </c>
      <c r="D331" s="86" t="str">
        <f t="array" ref="D331">IFerror(INDEX(Papers!F$2:F$995,MATCH($A331, Papers!$A$2:$A$995,0)),"")</f>
        <v/>
      </c>
      <c r="E331" s="59" t="str">
        <f t="array" ref="E331">IFerror(INDEX(Papers!G$2:G$995,MATCH($A331, Papers!$A$2:$A$995,0)),"")</f>
        <v/>
      </c>
    </row>
    <row r="332">
      <c r="B332" s="85" t="str">
        <f t="array" ref="B332">IFerror(INDEX(Papers!C$2:C$995,MATCH($A332, Papers!$A$2:$A$995,0)),"")</f>
        <v/>
      </c>
      <c r="C332" s="85" t="str">
        <f t="array" ref="C332">IFerror(INDEX(Papers!D$2:D$995,MATCH($A332, Papers!$A$2:$A$995,0)),"")</f>
        <v/>
      </c>
      <c r="D332" s="86" t="str">
        <f t="array" ref="D332">IFerror(INDEX(Papers!F$2:F$995,MATCH($A332, Papers!$A$2:$A$995,0)),"")</f>
        <v/>
      </c>
      <c r="E332" s="59" t="str">
        <f t="array" ref="E332">IFerror(INDEX(Papers!G$2:G$995,MATCH($A332, Papers!$A$2:$A$995,0)),"")</f>
        <v/>
      </c>
    </row>
    <row r="333">
      <c r="B333" s="85" t="str">
        <f t="array" ref="B333">IFerror(INDEX(Papers!C$2:C$995,MATCH($A333, Papers!$A$2:$A$995,0)),"")</f>
        <v/>
      </c>
      <c r="C333" s="85" t="str">
        <f t="array" ref="C333">IFerror(INDEX(Papers!D$2:D$995,MATCH($A333, Papers!$A$2:$A$995,0)),"")</f>
        <v/>
      </c>
      <c r="D333" s="86" t="str">
        <f t="array" ref="D333">IFerror(INDEX(Papers!F$2:F$995,MATCH($A333, Papers!$A$2:$A$995,0)),"")</f>
        <v/>
      </c>
      <c r="E333" s="59" t="str">
        <f t="array" ref="E333">IFerror(INDEX(Papers!G$2:G$995,MATCH($A333, Papers!$A$2:$A$995,0)),"")</f>
        <v/>
      </c>
    </row>
    <row r="334">
      <c r="B334" s="85" t="str">
        <f t="array" ref="B334">IFerror(INDEX(Papers!C$2:C$995,MATCH($A334, Papers!$A$2:$A$995,0)),"")</f>
        <v/>
      </c>
      <c r="C334" s="85" t="str">
        <f t="array" ref="C334">IFerror(INDEX(Papers!D$2:D$995,MATCH($A334, Papers!$A$2:$A$995,0)),"")</f>
        <v/>
      </c>
      <c r="D334" s="86" t="str">
        <f t="array" ref="D334">IFerror(INDEX(Papers!F$2:F$995,MATCH($A334, Papers!$A$2:$A$995,0)),"")</f>
        <v/>
      </c>
      <c r="E334" s="59" t="str">
        <f t="array" ref="E334">IFerror(INDEX(Papers!G$2:G$995,MATCH($A334, Papers!$A$2:$A$995,0)),"")</f>
        <v/>
      </c>
    </row>
    <row r="335">
      <c r="B335" s="85" t="str">
        <f t="array" ref="B335">IFerror(INDEX(Papers!C$2:C$995,MATCH($A335, Papers!$A$2:$A$995,0)),"")</f>
        <v/>
      </c>
      <c r="C335" s="85" t="str">
        <f t="array" ref="C335">IFerror(INDEX(Papers!D$2:D$995,MATCH($A335, Papers!$A$2:$A$995,0)),"")</f>
        <v/>
      </c>
      <c r="D335" s="86" t="str">
        <f t="array" ref="D335">IFerror(INDEX(Papers!F$2:F$995,MATCH($A335, Papers!$A$2:$A$995,0)),"")</f>
        <v/>
      </c>
      <c r="E335" s="59" t="str">
        <f t="array" ref="E335">IFerror(INDEX(Papers!G$2:G$995,MATCH($A335, Papers!$A$2:$A$995,0)),"")</f>
        <v/>
      </c>
    </row>
    <row r="336">
      <c r="B336" s="85" t="str">
        <f t="array" ref="B336">IFerror(INDEX(Papers!C$2:C$995,MATCH($A336, Papers!$A$2:$A$995,0)),"")</f>
        <v/>
      </c>
      <c r="C336" s="85" t="str">
        <f t="array" ref="C336">IFerror(INDEX(Papers!D$2:D$995,MATCH($A336, Papers!$A$2:$A$995,0)),"")</f>
        <v/>
      </c>
      <c r="D336" s="86" t="str">
        <f t="array" ref="D336">IFerror(INDEX(Papers!F$2:F$995,MATCH($A336, Papers!$A$2:$A$995,0)),"")</f>
        <v/>
      </c>
      <c r="E336" s="59" t="str">
        <f t="array" ref="E336">IFerror(INDEX(Papers!G$2:G$995,MATCH($A336, Papers!$A$2:$A$995,0)),"")</f>
        <v/>
      </c>
    </row>
    <row r="337">
      <c r="B337" s="85" t="str">
        <f t="array" ref="B337">IFerror(INDEX(Papers!C$2:C$995,MATCH($A337, Papers!$A$2:$A$995,0)),"")</f>
        <v/>
      </c>
      <c r="C337" s="85" t="str">
        <f t="array" ref="C337">IFerror(INDEX(Papers!D$2:D$995,MATCH($A337, Papers!$A$2:$A$995,0)),"")</f>
        <v/>
      </c>
      <c r="D337" s="86" t="str">
        <f t="array" ref="D337">IFerror(INDEX(Papers!F$2:F$995,MATCH($A337, Papers!$A$2:$A$995,0)),"")</f>
        <v/>
      </c>
      <c r="E337" s="59" t="str">
        <f t="array" ref="E337">IFerror(INDEX(Papers!G$2:G$995,MATCH($A337, Papers!$A$2:$A$995,0)),"")</f>
        <v/>
      </c>
    </row>
    <row r="338">
      <c r="B338" s="85" t="str">
        <f t="array" ref="B338">IFerror(INDEX(Papers!C$2:C$995,MATCH($A338, Papers!$A$2:$A$995,0)),"")</f>
        <v/>
      </c>
      <c r="C338" s="85" t="str">
        <f t="array" ref="C338">IFerror(INDEX(Papers!D$2:D$995,MATCH($A338, Papers!$A$2:$A$995,0)),"")</f>
        <v/>
      </c>
      <c r="D338" s="86" t="str">
        <f t="array" ref="D338">IFerror(INDEX(Papers!F$2:F$995,MATCH($A338, Papers!$A$2:$A$995,0)),"")</f>
        <v/>
      </c>
      <c r="E338" s="59" t="str">
        <f t="array" ref="E338">IFerror(INDEX(Papers!G$2:G$995,MATCH($A338, Papers!$A$2:$A$995,0)),"")</f>
        <v/>
      </c>
    </row>
    <row r="339">
      <c r="B339" s="85" t="str">
        <f t="array" ref="B339">IFerror(INDEX(Papers!C$2:C$995,MATCH($A339, Papers!$A$2:$A$995,0)),"")</f>
        <v/>
      </c>
      <c r="C339" s="85" t="str">
        <f t="array" ref="C339">IFerror(INDEX(Papers!D$2:D$995,MATCH($A339, Papers!$A$2:$A$995,0)),"")</f>
        <v/>
      </c>
      <c r="D339" s="86" t="str">
        <f t="array" ref="D339">IFerror(INDEX(Papers!F$2:F$995,MATCH($A339, Papers!$A$2:$A$995,0)),"")</f>
        <v/>
      </c>
      <c r="E339" s="59" t="str">
        <f t="array" ref="E339">IFerror(INDEX(Papers!G$2:G$995,MATCH($A339, Papers!$A$2:$A$995,0)),"")</f>
        <v/>
      </c>
    </row>
    <row r="340">
      <c r="B340" s="85" t="str">
        <f t="array" ref="B340">IFerror(INDEX(Papers!C$2:C$995,MATCH($A340, Papers!$A$2:$A$995,0)),"")</f>
        <v/>
      </c>
      <c r="C340" s="85" t="str">
        <f t="array" ref="C340">IFerror(INDEX(Papers!D$2:D$995,MATCH($A340, Papers!$A$2:$A$995,0)),"")</f>
        <v/>
      </c>
      <c r="D340" s="86" t="str">
        <f t="array" ref="D340">IFerror(INDEX(Papers!F$2:F$995,MATCH($A340, Papers!$A$2:$A$995,0)),"")</f>
        <v/>
      </c>
      <c r="E340" s="59" t="str">
        <f t="array" ref="E340">IFerror(INDEX(Papers!G$2:G$995,MATCH($A340, Papers!$A$2:$A$995,0)),"")</f>
        <v/>
      </c>
    </row>
    <row r="341">
      <c r="B341" s="85" t="str">
        <f t="array" ref="B341">IFerror(INDEX(Papers!C$2:C$995,MATCH($A341, Papers!$A$2:$A$995,0)),"")</f>
        <v/>
      </c>
      <c r="C341" s="85" t="str">
        <f t="array" ref="C341">IFerror(INDEX(Papers!D$2:D$995,MATCH($A341, Papers!$A$2:$A$995,0)),"")</f>
        <v/>
      </c>
      <c r="D341" s="86" t="str">
        <f t="array" ref="D341">IFerror(INDEX(Papers!F$2:F$995,MATCH($A341, Papers!$A$2:$A$995,0)),"")</f>
        <v/>
      </c>
      <c r="E341" s="59" t="str">
        <f t="array" ref="E341">IFerror(INDEX(Papers!G$2:G$995,MATCH($A341, Papers!$A$2:$A$995,0)),"")</f>
        <v/>
      </c>
    </row>
    <row r="342">
      <c r="B342" s="85" t="str">
        <f t="array" ref="B342">IFerror(INDEX(Papers!C$2:C$995,MATCH($A342, Papers!$A$2:$A$995,0)),"")</f>
        <v/>
      </c>
      <c r="C342" s="85" t="str">
        <f t="array" ref="C342">IFerror(INDEX(Papers!D$2:D$995,MATCH($A342, Papers!$A$2:$A$995,0)),"")</f>
        <v/>
      </c>
      <c r="D342" s="86" t="str">
        <f t="array" ref="D342">IFerror(INDEX(Papers!F$2:F$995,MATCH($A342, Papers!$A$2:$A$995,0)),"")</f>
        <v/>
      </c>
      <c r="E342" s="59" t="str">
        <f t="array" ref="E342">IFerror(INDEX(Papers!G$2:G$995,MATCH($A342, Papers!$A$2:$A$995,0)),"")</f>
        <v/>
      </c>
    </row>
    <row r="343">
      <c r="B343" s="85" t="str">
        <f t="array" ref="B343">IFerror(INDEX(Papers!C$2:C$995,MATCH($A343, Papers!$A$2:$A$995,0)),"")</f>
        <v/>
      </c>
      <c r="C343" s="85" t="str">
        <f t="array" ref="C343">IFerror(INDEX(Papers!D$2:D$995,MATCH($A343, Papers!$A$2:$A$995,0)),"")</f>
        <v/>
      </c>
      <c r="D343" s="86" t="str">
        <f t="array" ref="D343">IFerror(INDEX(Papers!F$2:F$995,MATCH($A343, Papers!$A$2:$A$995,0)),"")</f>
        <v/>
      </c>
      <c r="E343" s="59" t="str">
        <f t="array" ref="E343">IFerror(INDEX(Papers!G$2:G$995,MATCH($A343, Papers!$A$2:$A$995,0)),"")</f>
        <v/>
      </c>
    </row>
    <row r="344">
      <c r="B344" s="85" t="str">
        <f t="array" ref="B344">IFerror(INDEX(Papers!C$2:C$995,MATCH($A344, Papers!$A$2:$A$995,0)),"")</f>
        <v/>
      </c>
      <c r="C344" s="85" t="str">
        <f t="array" ref="C344">IFerror(INDEX(Papers!D$2:D$995,MATCH($A344, Papers!$A$2:$A$995,0)),"")</f>
        <v/>
      </c>
      <c r="D344" s="86" t="str">
        <f t="array" ref="D344">IFerror(INDEX(Papers!F$2:F$995,MATCH($A344, Papers!$A$2:$A$995,0)),"")</f>
        <v/>
      </c>
      <c r="E344" s="59" t="str">
        <f t="array" ref="E344">IFerror(INDEX(Papers!G$2:G$995,MATCH($A344, Papers!$A$2:$A$995,0)),"")</f>
        <v/>
      </c>
    </row>
    <row r="345">
      <c r="B345" s="85" t="str">
        <f t="array" ref="B345">IFerror(INDEX(Papers!C$2:C$995,MATCH($A345, Papers!$A$2:$A$995,0)),"")</f>
        <v/>
      </c>
      <c r="C345" s="85" t="str">
        <f t="array" ref="C345">IFerror(INDEX(Papers!D$2:D$995,MATCH($A345, Papers!$A$2:$A$995,0)),"")</f>
        <v/>
      </c>
      <c r="D345" s="86" t="str">
        <f t="array" ref="D345">IFerror(INDEX(Papers!F$2:F$995,MATCH($A345, Papers!$A$2:$A$995,0)),"")</f>
        <v/>
      </c>
      <c r="E345" s="59" t="str">
        <f t="array" ref="E345">IFerror(INDEX(Papers!G$2:G$995,MATCH($A345, Papers!$A$2:$A$995,0)),"")</f>
        <v/>
      </c>
    </row>
    <row r="346">
      <c r="B346" s="85" t="str">
        <f t="array" ref="B346">IFerror(INDEX(Papers!C$2:C$995,MATCH($A346, Papers!$A$2:$A$995,0)),"")</f>
        <v/>
      </c>
      <c r="C346" s="85" t="str">
        <f t="array" ref="C346">IFerror(INDEX(Papers!D$2:D$995,MATCH($A346, Papers!$A$2:$A$995,0)),"")</f>
        <v/>
      </c>
      <c r="D346" s="86" t="str">
        <f t="array" ref="D346">IFerror(INDEX(Papers!F$2:F$995,MATCH($A346, Papers!$A$2:$A$995,0)),"")</f>
        <v/>
      </c>
      <c r="E346" s="59" t="str">
        <f t="array" ref="E346">IFerror(INDEX(Papers!G$2:G$995,MATCH($A346, Papers!$A$2:$A$995,0)),"")</f>
        <v/>
      </c>
    </row>
    <row r="347">
      <c r="B347" s="85" t="str">
        <f t="array" ref="B347">IFerror(INDEX(Papers!C$2:C$995,MATCH($A347, Papers!$A$2:$A$995,0)),"")</f>
        <v/>
      </c>
      <c r="C347" s="85" t="str">
        <f t="array" ref="C347">IFerror(INDEX(Papers!D$2:D$995,MATCH($A347, Papers!$A$2:$A$995,0)),"")</f>
        <v/>
      </c>
      <c r="D347" s="86" t="str">
        <f t="array" ref="D347">IFerror(INDEX(Papers!F$2:F$995,MATCH($A347, Papers!$A$2:$A$995,0)),"")</f>
        <v/>
      </c>
      <c r="E347" s="59" t="str">
        <f t="array" ref="E347">IFerror(INDEX(Papers!G$2:G$995,MATCH($A347, Papers!$A$2:$A$995,0)),"")</f>
        <v/>
      </c>
    </row>
    <row r="348">
      <c r="B348" s="85" t="str">
        <f t="array" ref="B348">IFerror(INDEX(Papers!C$2:C$995,MATCH($A348, Papers!$A$2:$A$995,0)),"")</f>
        <v/>
      </c>
      <c r="C348" s="85" t="str">
        <f t="array" ref="C348">IFerror(INDEX(Papers!D$2:D$995,MATCH($A348, Papers!$A$2:$A$995,0)),"")</f>
        <v/>
      </c>
      <c r="D348" s="86" t="str">
        <f t="array" ref="D348">IFerror(INDEX(Papers!F$2:F$995,MATCH($A348, Papers!$A$2:$A$995,0)),"")</f>
        <v/>
      </c>
      <c r="E348" s="59" t="str">
        <f t="array" ref="E348">IFerror(INDEX(Papers!G$2:G$995,MATCH($A348, Papers!$A$2:$A$995,0)),"")</f>
        <v/>
      </c>
    </row>
    <row r="349">
      <c r="B349" s="85" t="str">
        <f t="array" ref="B349">IFerror(INDEX(Papers!C$2:C$995,MATCH($A349, Papers!$A$2:$A$995,0)),"")</f>
        <v/>
      </c>
      <c r="C349" s="85" t="str">
        <f t="array" ref="C349">IFerror(INDEX(Papers!D$2:D$995,MATCH($A349, Papers!$A$2:$A$995,0)),"")</f>
        <v/>
      </c>
      <c r="D349" s="86" t="str">
        <f t="array" ref="D349">IFerror(INDEX(Papers!F$2:F$995,MATCH($A349, Papers!$A$2:$A$995,0)),"")</f>
        <v/>
      </c>
      <c r="E349" s="59" t="str">
        <f t="array" ref="E349">IFerror(INDEX(Papers!G$2:G$995,MATCH($A349, Papers!$A$2:$A$995,0)),"")</f>
        <v/>
      </c>
    </row>
    <row r="350">
      <c r="B350" s="85" t="str">
        <f t="array" ref="B350">IFerror(INDEX(Papers!C$2:C$995,MATCH($A350, Papers!$A$2:$A$995,0)),"")</f>
        <v/>
      </c>
      <c r="C350" s="85" t="str">
        <f t="array" ref="C350">IFerror(INDEX(Papers!D$2:D$995,MATCH($A350, Papers!$A$2:$A$995,0)),"")</f>
        <v/>
      </c>
      <c r="D350" s="86" t="str">
        <f t="array" ref="D350">IFerror(INDEX(Papers!F$2:F$995,MATCH($A350, Papers!$A$2:$A$995,0)),"")</f>
        <v/>
      </c>
      <c r="E350" s="59" t="str">
        <f t="array" ref="E350">IFerror(INDEX(Papers!G$2:G$995,MATCH($A350, Papers!$A$2:$A$995,0)),"")</f>
        <v/>
      </c>
    </row>
    <row r="351">
      <c r="B351" s="85" t="str">
        <f t="array" ref="B351">IFerror(INDEX(Papers!C$2:C$995,MATCH($A351, Papers!$A$2:$A$995,0)),"")</f>
        <v/>
      </c>
      <c r="C351" s="85" t="str">
        <f t="array" ref="C351">IFerror(INDEX(Papers!D$2:D$995,MATCH($A351, Papers!$A$2:$A$995,0)),"")</f>
        <v/>
      </c>
      <c r="D351" s="86" t="str">
        <f t="array" ref="D351">IFerror(INDEX(Papers!F$2:F$995,MATCH($A351, Papers!$A$2:$A$995,0)),"")</f>
        <v/>
      </c>
      <c r="E351" s="59" t="str">
        <f t="array" ref="E351">IFerror(INDEX(Papers!G$2:G$995,MATCH($A351, Papers!$A$2:$A$995,0)),"")</f>
        <v/>
      </c>
    </row>
    <row r="352">
      <c r="B352" s="85" t="str">
        <f t="array" ref="B352">IFerror(INDEX(Papers!C$2:C$995,MATCH($A352, Papers!$A$2:$A$995,0)),"")</f>
        <v/>
      </c>
      <c r="C352" s="85" t="str">
        <f t="array" ref="C352">IFerror(INDEX(Papers!D$2:D$995,MATCH($A352, Papers!$A$2:$A$995,0)),"")</f>
        <v/>
      </c>
      <c r="D352" s="86" t="str">
        <f t="array" ref="D352">IFerror(INDEX(Papers!F$2:F$995,MATCH($A352, Papers!$A$2:$A$995,0)),"")</f>
        <v/>
      </c>
      <c r="E352" s="59" t="str">
        <f t="array" ref="E352">IFerror(INDEX(Papers!G$2:G$995,MATCH($A352, Papers!$A$2:$A$995,0)),"")</f>
        <v/>
      </c>
    </row>
    <row r="353">
      <c r="B353" s="85" t="str">
        <f t="array" ref="B353">IFerror(INDEX(Papers!C$2:C$995,MATCH($A353, Papers!$A$2:$A$995,0)),"")</f>
        <v/>
      </c>
      <c r="C353" s="85" t="str">
        <f t="array" ref="C353">IFerror(INDEX(Papers!D$2:D$995,MATCH($A353, Papers!$A$2:$A$995,0)),"")</f>
        <v/>
      </c>
      <c r="D353" s="86" t="str">
        <f t="array" ref="D353">IFerror(INDEX(Papers!F$2:F$995,MATCH($A353, Papers!$A$2:$A$995,0)),"")</f>
        <v/>
      </c>
      <c r="E353" s="59" t="str">
        <f t="array" ref="E353">IFerror(INDEX(Papers!G$2:G$995,MATCH($A353, Papers!$A$2:$A$995,0)),"")</f>
        <v/>
      </c>
    </row>
    <row r="354">
      <c r="B354" s="85" t="str">
        <f t="array" ref="B354">IFerror(INDEX(Papers!C$2:C$995,MATCH($A354, Papers!$A$2:$A$995,0)),"")</f>
        <v/>
      </c>
      <c r="C354" s="85" t="str">
        <f t="array" ref="C354">IFerror(INDEX(Papers!D$2:D$995,MATCH($A354, Papers!$A$2:$A$995,0)),"")</f>
        <v/>
      </c>
      <c r="D354" s="86" t="str">
        <f t="array" ref="D354">IFerror(INDEX(Papers!F$2:F$995,MATCH($A354, Papers!$A$2:$A$995,0)),"")</f>
        <v/>
      </c>
      <c r="E354" s="59" t="str">
        <f t="array" ref="E354">IFerror(INDEX(Papers!G$2:G$995,MATCH($A354, Papers!$A$2:$A$995,0)),"")</f>
        <v/>
      </c>
    </row>
    <row r="355">
      <c r="B355" s="85" t="str">
        <f t="array" ref="B355">IFerror(INDEX(Papers!C$2:C$995,MATCH($A355, Papers!$A$2:$A$995,0)),"")</f>
        <v/>
      </c>
      <c r="C355" s="85" t="str">
        <f t="array" ref="C355">IFerror(INDEX(Papers!D$2:D$995,MATCH($A355, Papers!$A$2:$A$995,0)),"")</f>
        <v/>
      </c>
      <c r="D355" s="86" t="str">
        <f t="array" ref="D355">IFerror(INDEX(Papers!F$2:F$995,MATCH($A355, Papers!$A$2:$A$995,0)),"")</f>
        <v/>
      </c>
      <c r="E355" s="59" t="str">
        <f t="array" ref="E355">IFerror(INDEX(Papers!G$2:G$995,MATCH($A355, Papers!$A$2:$A$995,0)),"")</f>
        <v/>
      </c>
    </row>
    <row r="356">
      <c r="B356" s="85" t="str">
        <f t="array" ref="B356">IFerror(INDEX(Papers!C$2:C$995,MATCH($A356, Papers!$A$2:$A$995,0)),"")</f>
        <v/>
      </c>
      <c r="C356" s="85" t="str">
        <f t="array" ref="C356">IFerror(INDEX(Papers!D$2:D$995,MATCH($A356, Papers!$A$2:$A$995,0)),"")</f>
        <v/>
      </c>
      <c r="D356" s="86" t="str">
        <f t="array" ref="D356">IFerror(INDEX(Papers!F$2:F$995,MATCH($A356, Papers!$A$2:$A$995,0)),"")</f>
        <v/>
      </c>
      <c r="E356" s="59" t="str">
        <f t="array" ref="E356">IFerror(INDEX(Papers!G$2:G$995,MATCH($A356, Papers!$A$2:$A$995,0)),"")</f>
        <v/>
      </c>
    </row>
    <row r="357">
      <c r="B357" s="85" t="str">
        <f t="array" ref="B357">IFerror(INDEX(Papers!C$2:C$995,MATCH($A357, Papers!$A$2:$A$995,0)),"")</f>
        <v/>
      </c>
      <c r="C357" s="85" t="str">
        <f t="array" ref="C357">IFerror(INDEX(Papers!D$2:D$995,MATCH($A357, Papers!$A$2:$A$995,0)),"")</f>
        <v/>
      </c>
      <c r="D357" s="86" t="str">
        <f t="array" ref="D357">IFerror(INDEX(Papers!F$2:F$995,MATCH($A357, Papers!$A$2:$A$995,0)),"")</f>
        <v/>
      </c>
      <c r="E357" s="59" t="str">
        <f t="array" ref="E357">IFerror(INDEX(Papers!G$2:G$995,MATCH($A357, Papers!$A$2:$A$995,0)),"")</f>
        <v/>
      </c>
    </row>
    <row r="358">
      <c r="B358" s="85" t="str">
        <f t="array" ref="B358">IFerror(INDEX(Papers!C$2:C$995,MATCH($A358, Papers!$A$2:$A$995,0)),"")</f>
        <v/>
      </c>
      <c r="C358" s="85" t="str">
        <f t="array" ref="C358">IFerror(INDEX(Papers!D$2:D$995,MATCH($A358, Papers!$A$2:$A$995,0)),"")</f>
        <v/>
      </c>
      <c r="D358" s="86" t="str">
        <f t="array" ref="D358">IFerror(INDEX(Papers!F$2:F$995,MATCH($A358, Papers!$A$2:$A$995,0)),"")</f>
        <v/>
      </c>
      <c r="E358" s="59" t="str">
        <f t="array" ref="E358">IFerror(INDEX(Papers!G$2:G$995,MATCH($A358, Papers!$A$2:$A$995,0)),"")</f>
        <v/>
      </c>
    </row>
    <row r="359">
      <c r="B359" s="85" t="str">
        <f t="array" ref="B359">IFerror(INDEX(Papers!C$2:C$995,MATCH($A359, Papers!$A$2:$A$995,0)),"")</f>
        <v/>
      </c>
      <c r="C359" s="85" t="str">
        <f t="array" ref="C359">IFerror(INDEX(Papers!D$2:D$995,MATCH($A359, Papers!$A$2:$A$995,0)),"")</f>
        <v/>
      </c>
      <c r="D359" s="86" t="str">
        <f t="array" ref="D359">IFerror(INDEX(Papers!F$2:F$995,MATCH($A359, Papers!$A$2:$A$995,0)),"")</f>
        <v/>
      </c>
      <c r="E359" s="59" t="str">
        <f t="array" ref="E359">IFerror(INDEX(Papers!G$2:G$995,MATCH($A359, Papers!$A$2:$A$995,0)),"")</f>
        <v/>
      </c>
    </row>
    <row r="360">
      <c r="B360" s="85" t="str">
        <f t="array" ref="B360">IFerror(INDEX(Papers!C$2:C$995,MATCH($A360, Papers!$A$2:$A$995,0)),"")</f>
        <v/>
      </c>
      <c r="C360" s="85" t="str">
        <f t="array" ref="C360">IFerror(INDEX(Papers!D$2:D$995,MATCH($A360, Papers!$A$2:$A$995,0)),"")</f>
        <v/>
      </c>
      <c r="D360" s="86" t="str">
        <f t="array" ref="D360">IFerror(INDEX(Papers!F$2:F$995,MATCH($A360, Papers!$A$2:$A$995,0)),"")</f>
        <v/>
      </c>
      <c r="E360" s="59" t="str">
        <f t="array" ref="E360">IFerror(INDEX(Papers!G$2:G$995,MATCH($A360, Papers!$A$2:$A$995,0)),"")</f>
        <v/>
      </c>
    </row>
    <row r="361">
      <c r="B361" s="85" t="str">
        <f t="array" ref="B361">IFerror(INDEX(Papers!C$2:C$995,MATCH($A361, Papers!$A$2:$A$995,0)),"")</f>
        <v/>
      </c>
      <c r="C361" s="85" t="str">
        <f t="array" ref="C361">IFerror(INDEX(Papers!D$2:D$995,MATCH($A361, Papers!$A$2:$A$995,0)),"")</f>
        <v/>
      </c>
      <c r="D361" s="86" t="str">
        <f t="array" ref="D361">IFerror(INDEX(Papers!F$2:F$995,MATCH($A361, Papers!$A$2:$A$995,0)),"")</f>
        <v/>
      </c>
      <c r="E361" s="59" t="str">
        <f t="array" ref="E361">IFerror(INDEX(Papers!G$2:G$995,MATCH($A361, Papers!$A$2:$A$995,0)),"")</f>
        <v/>
      </c>
    </row>
    <row r="362">
      <c r="B362" s="85" t="str">
        <f t="array" ref="B362">IFerror(INDEX(Papers!C$2:C$995,MATCH($A362, Papers!$A$2:$A$995,0)),"")</f>
        <v/>
      </c>
      <c r="C362" s="85" t="str">
        <f t="array" ref="C362">IFerror(INDEX(Papers!D$2:D$995,MATCH($A362, Papers!$A$2:$A$995,0)),"")</f>
        <v/>
      </c>
      <c r="D362" s="86" t="str">
        <f t="array" ref="D362">IFerror(INDEX(Papers!F$2:F$995,MATCH($A362, Papers!$A$2:$A$995,0)),"")</f>
        <v/>
      </c>
      <c r="E362" s="59" t="str">
        <f t="array" ref="E362">IFerror(INDEX(Papers!G$2:G$995,MATCH($A362, Papers!$A$2:$A$995,0)),"")</f>
        <v/>
      </c>
    </row>
    <row r="363">
      <c r="B363" s="85" t="str">
        <f t="array" ref="B363">IFerror(INDEX(Papers!C$2:C$995,MATCH($A363, Papers!$A$2:$A$995,0)),"")</f>
        <v/>
      </c>
      <c r="C363" s="85" t="str">
        <f t="array" ref="C363">IFerror(INDEX(Papers!D$2:D$995,MATCH($A363, Papers!$A$2:$A$995,0)),"")</f>
        <v/>
      </c>
      <c r="D363" s="86" t="str">
        <f t="array" ref="D363">IFerror(INDEX(Papers!F$2:F$995,MATCH($A363, Papers!$A$2:$A$995,0)),"")</f>
        <v/>
      </c>
      <c r="E363" s="59" t="str">
        <f t="array" ref="E363">IFerror(INDEX(Papers!G$2:G$995,MATCH($A363, Papers!$A$2:$A$995,0)),"")</f>
        <v/>
      </c>
    </row>
    <row r="364">
      <c r="B364" s="85" t="str">
        <f t="array" ref="B364">IFerror(INDEX(Papers!C$2:C$995,MATCH($A364, Papers!$A$2:$A$995,0)),"")</f>
        <v/>
      </c>
      <c r="C364" s="85" t="str">
        <f t="array" ref="C364">IFerror(INDEX(Papers!D$2:D$995,MATCH($A364, Papers!$A$2:$A$995,0)),"")</f>
        <v/>
      </c>
      <c r="D364" s="86" t="str">
        <f t="array" ref="D364">IFerror(INDEX(Papers!F$2:F$995,MATCH($A364, Papers!$A$2:$A$995,0)),"")</f>
        <v/>
      </c>
      <c r="E364" s="59" t="str">
        <f t="array" ref="E364">IFerror(INDEX(Papers!G$2:G$995,MATCH($A364, Papers!$A$2:$A$995,0)),"")</f>
        <v/>
      </c>
    </row>
    <row r="365">
      <c r="B365" s="85" t="str">
        <f t="array" ref="B365">IFerror(INDEX(Papers!C$2:C$995,MATCH($A365, Papers!$A$2:$A$995,0)),"")</f>
        <v/>
      </c>
      <c r="C365" s="85" t="str">
        <f t="array" ref="C365">IFerror(INDEX(Papers!D$2:D$995,MATCH($A365, Papers!$A$2:$A$995,0)),"")</f>
        <v/>
      </c>
      <c r="D365" s="86" t="str">
        <f t="array" ref="D365">IFerror(INDEX(Papers!F$2:F$995,MATCH($A365, Papers!$A$2:$A$995,0)),"")</f>
        <v/>
      </c>
      <c r="E365" s="59" t="str">
        <f t="array" ref="E365">IFerror(INDEX(Papers!G$2:G$995,MATCH($A365, Papers!$A$2:$A$995,0)),"")</f>
        <v/>
      </c>
    </row>
    <row r="366">
      <c r="B366" s="85" t="str">
        <f t="array" ref="B366">IFerror(INDEX(Papers!C$2:C$995,MATCH($A366, Papers!$A$2:$A$995,0)),"")</f>
        <v/>
      </c>
      <c r="C366" s="85" t="str">
        <f t="array" ref="C366">IFerror(INDEX(Papers!D$2:D$995,MATCH($A366, Papers!$A$2:$A$995,0)),"")</f>
        <v/>
      </c>
      <c r="D366" s="86" t="str">
        <f t="array" ref="D366">IFerror(INDEX(Papers!F$2:F$995,MATCH($A366, Papers!$A$2:$A$995,0)),"")</f>
        <v/>
      </c>
      <c r="E366" s="59" t="str">
        <f t="array" ref="E366">IFerror(INDEX(Papers!G$2:G$995,MATCH($A366, Papers!$A$2:$A$995,0)),"")</f>
        <v/>
      </c>
    </row>
    <row r="367">
      <c r="B367" s="85" t="str">
        <f t="array" ref="B367">IFerror(INDEX(Papers!C$2:C$995,MATCH($A367, Papers!$A$2:$A$995,0)),"")</f>
        <v/>
      </c>
      <c r="C367" s="85" t="str">
        <f t="array" ref="C367">IFerror(INDEX(Papers!D$2:D$995,MATCH($A367, Papers!$A$2:$A$995,0)),"")</f>
        <v/>
      </c>
      <c r="D367" s="86" t="str">
        <f t="array" ref="D367">IFerror(INDEX(Papers!F$2:F$995,MATCH($A367, Papers!$A$2:$A$995,0)),"")</f>
        <v/>
      </c>
      <c r="E367" s="59" t="str">
        <f t="array" ref="E367">IFerror(INDEX(Papers!G$2:G$995,MATCH($A367, Papers!$A$2:$A$995,0)),"")</f>
        <v/>
      </c>
    </row>
    <row r="368">
      <c r="B368" s="85" t="str">
        <f t="array" ref="B368">IFerror(INDEX(Papers!C$2:C$995,MATCH($A368, Papers!$A$2:$A$995,0)),"")</f>
        <v/>
      </c>
      <c r="C368" s="85" t="str">
        <f t="array" ref="C368">IFerror(INDEX(Papers!D$2:D$995,MATCH($A368, Papers!$A$2:$A$995,0)),"")</f>
        <v/>
      </c>
      <c r="D368" s="86" t="str">
        <f t="array" ref="D368">IFerror(INDEX(Papers!F$2:F$995,MATCH($A368, Papers!$A$2:$A$995,0)),"")</f>
        <v/>
      </c>
      <c r="E368" s="59" t="str">
        <f t="array" ref="E368">IFerror(INDEX(Papers!G$2:G$995,MATCH($A368, Papers!$A$2:$A$995,0)),"")</f>
        <v/>
      </c>
    </row>
    <row r="369">
      <c r="B369" s="85" t="str">
        <f t="array" ref="B369">IFerror(INDEX(Papers!C$2:C$995,MATCH($A369, Papers!$A$2:$A$995,0)),"")</f>
        <v/>
      </c>
      <c r="C369" s="85" t="str">
        <f t="array" ref="C369">IFerror(INDEX(Papers!D$2:D$995,MATCH($A369, Papers!$A$2:$A$995,0)),"")</f>
        <v/>
      </c>
      <c r="D369" s="86" t="str">
        <f t="array" ref="D369">IFerror(INDEX(Papers!F$2:F$995,MATCH($A369, Papers!$A$2:$A$995,0)),"")</f>
        <v/>
      </c>
      <c r="E369" s="59" t="str">
        <f t="array" ref="E369">IFerror(INDEX(Papers!G$2:G$995,MATCH($A369, Papers!$A$2:$A$995,0)),"")</f>
        <v/>
      </c>
    </row>
    <row r="370">
      <c r="B370" s="85" t="str">
        <f t="array" ref="B370">IFerror(INDEX(Papers!C$2:C$995,MATCH($A370, Papers!$A$2:$A$995,0)),"")</f>
        <v/>
      </c>
      <c r="C370" s="85" t="str">
        <f t="array" ref="C370">IFerror(INDEX(Papers!D$2:D$995,MATCH($A370, Papers!$A$2:$A$995,0)),"")</f>
        <v/>
      </c>
      <c r="D370" s="86" t="str">
        <f t="array" ref="D370">IFerror(INDEX(Papers!F$2:F$995,MATCH($A370, Papers!$A$2:$A$995,0)),"")</f>
        <v/>
      </c>
      <c r="E370" s="59" t="str">
        <f t="array" ref="E370">IFerror(INDEX(Papers!G$2:G$995,MATCH($A370, Papers!$A$2:$A$995,0)),"")</f>
        <v/>
      </c>
    </row>
    <row r="371">
      <c r="B371" s="85" t="str">
        <f t="array" ref="B371">IFerror(INDEX(Papers!C$2:C$995,MATCH($A371, Papers!$A$2:$A$995,0)),"")</f>
        <v/>
      </c>
      <c r="C371" s="85" t="str">
        <f t="array" ref="C371">IFerror(INDEX(Papers!D$2:D$995,MATCH($A371, Papers!$A$2:$A$995,0)),"")</f>
        <v/>
      </c>
      <c r="D371" s="86" t="str">
        <f t="array" ref="D371">IFerror(INDEX(Papers!F$2:F$995,MATCH($A371, Papers!$A$2:$A$995,0)),"")</f>
        <v/>
      </c>
      <c r="E371" s="59" t="str">
        <f t="array" ref="E371">IFerror(INDEX(Papers!G$2:G$995,MATCH($A371, Papers!$A$2:$A$995,0)),"")</f>
        <v/>
      </c>
    </row>
    <row r="372">
      <c r="B372" s="85" t="str">
        <f t="array" ref="B372">IFerror(INDEX(Papers!C$2:C$995,MATCH($A372, Papers!$A$2:$A$995,0)),"")</f>
        <v/>
      </c>
      <c r="C372" s="85" t="str">
        <f t="array" ref="C372">IFerror(INDEX(Papers!D$2:D$995,MATCH($A372, Papers!$A$2:$A$995,0)),"")</f>
        <v/>
      </c>
      <c r="D372" s="86" t="str">
        <f t="array" ref="D372">IFerror(INDEX(Papers!F$2:F$995,MATCH($A372, Papers!$A$2:$A$995,0)),"")</f>
        <v/>
      </c>
      <c r="E372" s="59" t="str">
        <f t="array" ref="E372">IFerror(INDEX(Papers!G$2:G$995,MATCH($A372, Papers!$A$2:$A$995,0)),"")</f>
        <v/>
      </c>
    </row>
    <row r="373">
      <c r="B373" s="85" t="str">
        <f t="array" ref="B373">IFerror(INDEX(Papers!C$2:C$995,MATCH($A373, Papers!$A$2:$A$995,0)),"")</f>
        <v/>
      </c>
      <c r="C373" s="85" t="str">
        <f t="array" ref="C373">IFerror(INDEX(Papers!D$2:D$995,MATCH($A373, Papers!$A$2:$A$995,0)),"")</f>
        <v/>
      </c>
      <c r="D373" s="86" t="str">
        <f t="array" ref="D373">IFerror(INDEX(Papers!F$2:F$995,MATCH($A373, Papers!$A$2:$A$995,0)),"")</f>
        <v/>
      </c>
      <c r="E373" s="59" t="str">
        <f t="array" ref="E373">IFerror(INDEX(Papers!G$2:G$995,MATCH($A373, Papers!$A$2:$A$995,0)),"")</f>
        <v/>
      </c>
    </row>
    <row r="374">
      <c r="B374" s="85" t="str">
        <f t="array" ref="B374">IFerror(INDEX(Papers!C$2:C$995,MATCH($A374, Papers!$A$2:$A$995,0)),"")</f>
        <v/>
      </c>
      <c r="C374" s="85" t="str">
        <f t="array" ref="C374">IFerror(INDEX(Papers!D$2:D$995,MATCH($A374, Papers!$A$2:$A$995,0)),"")</f>
        <v/>
      </c>
      <c r="D374" s="86" t="str">
        <f t="array" ref="D374">IFerror(INDEX(Papers!F$2:F$995,MATCH($A374, Papers!$A$2:$A$995,0)),"")</f>
        <v/>
      </c>
      <c r="E374" s="59" t="str">
        <f t="array" ref="E374">IFerror(INDEX(Papers!G$2:G$995,MATCH($A374, Papers!$A$2:$A$995,0)),"")</f>
        <v/>
      </c>
    </row>
    <row r="375">
      <c r="B375" s="85" t="str">
        <f t="array" ref="B375">IFerror(INDEX(Papers!C$2:C$995,MATCH($A375, Papers!$A$2:$A$995,0)),"")</f>
        <v/>
      </c>
      <c r="C375" s="85" t="str">
        <f t="array" ref="C375">IFerror(INDEX(Papers!D$2:D$995,MATCH($A375, Papers!$A$2:$A$995,0)),"")</f>
        <v/>
      </c>
      <c r="D375" s="86" t="str">
        <f t="array" ref="D375">IFerror(INDEX(Papers!F$2:F$995,MATCH($A375, Papers!$A$2:$A$995,0)),"")</f>
        <v/>
      </c>
      <c r="E375" s="59" t="str">
        <f t="array" ref="E375">IFerror(INDEX(Papers!G$2:G$995,MATCH($A375, Papers!$A$2:$A$995,0)),"")</f>
        <v/>
      </c>
    </row>
    <row r="376">
      <c r="B376" s="85" t="str">
        <f t="array" ref="B376">IFerror(INDEX(Papers!C$2:C$995,MATCH($A376, Papers!$A$2:$A$995,0)),"")</f>
        <v/>
      </c>
      <c r="C376" s="85" t="str">
        <f t="array" ref="C376">IFerror(INDEX(Papers!D$2:D$995,MATCH($A376, Papers!$A$2:$A$995,0)),"")</f>
        <v/>
      </c>
      <c r="D376" s="86" t="str">
        <f t="array" ref="D376">IFerror(INDEX(Papers!F$2:F$995,MATCH($A376, Papers!$A$2:$A$995,0)),"")</f>
        <v/>
      </c>
      <c r="E376" s="59" t="str">
        <f t="array" ref="E376">IFerror(INDEX(Papers!G$2:G$995,MATCH($A376, Papers!$A$2:$A$995,0)),"")</f>
        <v/>
      </c>
    </row>
    <row r="377">
      <c r="B377" s="85" t="str">
        <f t="array" ref="B377">IFerror(INDEX(Papers!C$2:C$995,MATCH($A377, Papers!$A$2:$A$995,0)),"")</f>
        <v/>
      </c>
      <c r="C377" s="85" t="str">
        <f t="array" ref="C377">IFerror(INDEX(Papers!D$2:D$995,MATCH($A377, Papers!$A$2:$A$995,0)),"")</f>
        <v/>
      </c>
      <c r="D377" s="86" t="str">
        <f t="array" ref="D377">IFerror(INDEX(Papers!F$2:F$995,MATCH($A377, Papers!$A$2:$A$995,0)),"")</f>
        <v/>
      </c>
      <c r="E377" s="59" t="str">
        <f t="array" ref="E377">IFerror(INDEX(Papers!G$2:G$995,MATCH($A377, Papers!$A$2:$A$995,0)),"")</f>
        <v/>
      </c>
    </row>
    <row r="378">
      <c r="B378" s="85" t="str">
        <f t="array" ref="B378">IFerror(INDEX(Papers!C$2:C$995,MATCH($A378, Papers!$A$2:$A$995,0)),"")</f>
        <v/>
      </c>
      <c r="C378" s="85" t="str">
        <f t="array" ref="C378">IFerror(INDEX(Papers!D$2:D$995,MATCH($A378, Papers!$A$2:$A$995,0)),"")</f>
        <v/>
      </c>
      <c r="D378" s="86" t="str">
        <f t="array" ref="D378">IFerror(INDEX(Papers!F$2:F$995,MATCH($A378, Papers!$A$2:$A$995,0)),"")</f>
        <v/>
      </c>
      <c r="E378" s="59" t="str">
        <f t="array" ref="E378">IFerror(INDEX(Papers!G$2:G$995,MATCH($A378, Papers!$A$2:$A$995,0)),"")</f>
        <v/>
      </c>
    </row>
    <row r="379">
      <c r="B379" s="85" t="str">
        <f t="array" ref="B379">IFerror(INDEX(Papers!C$2:C$995,MATCH($A379, Papers!$A$2:$A$995,0)),"")</f>
        <v/>
      </c>
      <c r="C379" s="85" t="str">
        <f t="array" ref="C379">IFerror(INDEX(Papers!D$2:D$995,MATCH($A379, Papers!$A$2:$A$995,0)),"")</f>
        <v/>
      </c>
      <c r="D379" s="86" t="str">
        <f t="array" ref="D379">IFerror(INDEX(Papers!F$2:F$995,MATCH($A379, Papers!$A$2:$A$995,0)),"")</f>
        <v/>
      </c>
      <c r="E379" s="59" t="str">
        <f t="array" ref="E379">IFerror(INDEX(Papers!G$2:G$995,MATCH($A379, Papers!$A$2:$A$995,0)),"")</f>
        <v/>
      </c>
    </row>
    <row r="380">
      <c r="B380" s="85" t="str">
        <f t="array" ref="B380">IFerror(INDEX(Papers!C$2:C$995,MATCH($A380, Papers!$A$2:$A$995,0)),"")</f>
        <v/>
      </c>
      <c r="C380" s="85" t="str">
        <f t="array" ref="C380">IFerror(INDEX(Papers!D$2:D$995,MATCH($A380, Papers!$A$2:$A$995,0)),"")</f>
        <v/>
      </c>
      <c r="D380" s="86" t="str">
        <f t="array" ref="D380">IFerror(INDEX(Papers!F$2:F$995,MATCH($A380, Papers!$A$2:$A$995,0)),"")</f>
        <v/>
      </c>
      <c r="E380" s="59" t="str">
        <f t="array" ref="E380">IFerror(INDEX(Papers!G$2:G$995,MATCH($A380, Papers!$A$2:$A$995,0)),"")</f>
        <v/>
      </c>
    </row>
    <row r="381">
      <c r="B381" s="85" t="str">
        <f t="array" ref="B381">IFerror(INDEX(Papers!C$2:C$995,MATCH($A381, Papers!$A$2:$A$995,0)),"")</f>
        <v/>
      </c>
      <c r="C381" s="85" t="str">
        <f t="array" ref="C381">IFerror(INDEX(Papers!D$2:D$995,MATCH($A381, Papers!$A$2:$A$995,0)),"")</f>
        <v/>
      </c>
      <c r="D381" s="86" t="str">
        <f t="array" ref="D381">IFerror(INDEX(Papers!F$2:F$995,MATCH($A381, Papers!$A$2:$A$995,0)),"")</f>
        <v/>
      </c>
      <c r="E381" s="59" t="str">
        <f t="array" ref="E381">IFerror(INDEX(Papers!G$2:G$995,MATCH($A381, Papers!$A$2:$A$995,0)),"")</f>
        <v/>
      </c>
    </row>
    <row r="382">
      <c r="B382" s="85" t="str">
        <f t="array" ref="B382">IFerror(INDEX(Papers!C$2:C$995,MATCH($A382, Papers!$A$2:$A$995,0)),"")</f>
        <v/>
      </c>
      <c r="C382" s="85" t="str">
        <f t="array" ref="C382">IFerror(INDEX(Papers!D$2:D$995,MATCH($A382, Papers!$A$2:$A$995,0)),"")</f>
        <v/>
      </c>
      <c r="D382" s="86" t="str">
        <f t="array" ref="D382">IFerror(INDEX(Papers!F$2:F$995,MATCH($A382, Papers!$A$2:$A$995,0)),"")</f>
        <v/>
      </c>
      <c r="E382" s="59" t="str">
        <f t="array" ref="E382">IFerror(INDEX(Papers!G$2:G$995,MATCH($A382, Papers!$A$2:$A$995,0)),"")</f>
        <v/>
      </c>
    </row>
    <row r="383">
      <c r="B383" s="85" t="str">
        <f t="array" ref="B383">IFerror(INDEX(Papers!C$2:C$995,MATCH($A383, Papers!$A$2:$A$995,0)),"")</f>
        <v/>
      </c>
      <c r="C383" s="85" t="str">
        <f t="array" ref="C383">IFerror(INDEX(Papers!D$2:D$995,MATCH($A383, Papers!$A$2:$A$995,0)),"")</f>
        <v/>
      </c>
      <c r="D383" s="86" t="str">
        <f t="array" ref="D383">IFerror(INDEX(Papers!F$2:F$995,MATCH($A383, Papers!$A$2:$A$995,0)),"")</f>
        <v/>
      </c>
      <c r="E383" s="59" t="str">
        <f t="array" ref="E383">IFerror(INDEX(Papers!G$2:G$995,MATCH($A383, Papers!$A$2:$A$995,0)),"")</f>
        <v/>
      </c>
    </row>
    <row r="384">
      <c r="B384" s="85" t="str">
        <f t="array" ref="B384">IFerror(INDEX(Papers!C$2:C$995,MATCH($A384, Papers!$A$2:$A$995,0)),"")</f>
        <v/>
      </c>
      <c r="C384" s="85" t="str">
        <f t="array" ref="C384">IFerror(INDEX(Papers!D$2:D$995,MATCH($A384, Papers!$A$2:$A$995,0)),"")</f>
        <v/>
      </c>
      <c r="D384" s="86" t="str">
        <f t="array" ref="D384">IFerror(INDEX(Papers!F$2:F$995,MATCH($A384, Papers!$A$2:$A$995,0)),"")</f>
        <v/>
      </c>
      <c r="E384" s="59" t="str">
        <f t="array" ref="E384">IFerror(INDEX(Papers!G$2:G$995,MATCH($A384, Papers!$A$2:$A$995,0)),"")</f>
        <v/>
      </c>
    </row>
    <row r="385">
      <c r="B385" s="85" t="str">
        <f t="array" ref="B385">IFerror(INDEX(Papers!C$2:C$995,MATCH($A385, Papers!$A$2:$A$995,0)),"")</f>
        <v/>
      </c>
      <c r="C385" s="85" t="str">
        <f t="array" ref="C385">IFerror(INDEX(Papers!D$2:D$995,MATCH($A385, Papers!$A$2:$A$995,0)),"")</f>
        <v/>
      </c>
      <c r="D385" s="86" t="str">
        <f t="array" ref="D385">IFerror(INDEX(Papers!F$2:F$995,MATCH($A385, Papers!$A$2:$A$995,0)),"")</f>
        <v/>
      </c>
      <c r="E385" s="59" t="str">
        <f t="array" ref="E385">IFerror(INDEX(Papers!G$2:G$995,MATCH($A385, Papers!$A$2:$A$995,0)),"")</f>
        <v/>
      </c>
    </row>
    <row r="386">
      <c r="B386" s="85" t="str">
        <f t="array" ref="B386">IFerror(INDEX(Papers!C$2:C$995,MATCH($A386, Papers!$A$2:$A$995,0)),"")</f>
        <v/>
      </c>
      <c r="C386" s="85" t="str">
        <f t="array" ref="C386">IFerror(INDEX(Papers!D$2:D$995,MATCH($A386, Papers!$A$2:$A$995,0)),"")</f>
        <v/>
      </c>
      <c r="D386" s="86" t="str">
        <f t="array" ref="D386">IFerror(INDEX(Papers!F$2:F$995,MATCH($A386, Papers!$A$2:$A$995,0)),"")</f>
        <v/>
      </c>
      <c r="E386" s="59" t="str">
        <f t="array" ref="E386">IFerror(INDEX(Papers!G$2:G$995,MATCH($A386, Papers!$A$2:$A$995,0)),"")</f>
        <v/>
      </c>
    </row>
    <row r="387">
      <c r="B387" s="85" t="str">
        <f t="array" ref="B387">IFerror(INDEX(Papers!C$2:C$995,MATCH($A387, Papers!$A$2:$A$995,0)),"")</f>
        <v/>
      </c>
      <c r="C387" s="85" t="str">
        <f t="array" ref="C387">IFerror(INDEX(Papers!D$2:D$995,MATCH($A387, Papers!$A$2:$A$995,0)),"")</f>
        <v/>
      </c>
      <c r="D387" s="86" t="str">
        <f t="array" ref="D387">IFerror(INDEX(Papers!F$2:F$995,MATCH($A387, Papers!$A$2:$A$995,0)),"")</f>
        <v/>
      </c>
      <c r="E387" s="59" t="str">
        <f t="array" ref="E387">IFerror(INDEX(Papers!G$2:G$995,MATCH($A387, Papers!$A$2:$A$995,0)),"")</f>
        <v/>
      </c>
    </row>
    <row r="388">
      <c r="B388" s="85" t="str">
        <f t="array" ref="B388">IFerror(INDEX(Papers!C$2:C$995,MATCH($A388, Papers!$A$2:$A$995,0)),"")</f>
        <v/>
      </c>
      <c r="C388" s="85" t="str">
        <f t="array" ref="C388">IFerror(INDEX(Papers!D$2:D$995,MATCH($A388, Papers!$A$2:$A$995,0)),"")</f>
        <v/>
      </c>
      <c r="D388" s="86" t="str">
        <f t="array" ref="D388">IFerror(INDEX(Papers!F$2:F$995,MATCH($A388, Papers!$A$2:$A$995,0)),"")</f>
        <v/>
      </c>
      <c r="E388" s="59" t="str">
        <f t="array" ref="E388">IFerror(INDEX(Papers!G$2:G$995,MATCH($A388, Papers!$A$2:$A$995,0)),"")</f>
        <v/>
      </c>
    </row>
    <row r="389">
      <c r="B389" s="85" t="str">
        <f t="array" ref="B389">IFerror(INDEX(Papers!C$2:C$995,MATCH($A389, Papers!$A$2:$A$995,0)),"")</f>
        <v/>
      </c>
      <c r="C389" s="85" t="str">
        <f t="array" ref="C389">IFerror(INDEX(Papers!D$2:D$995,MATCH($A389, Papers!$A$2:$A$995,0)),"")</f>
        <v/>
      </c>
      <c r="D389" s="86" t="str">
        <f t="array" ref="D389">IFerror(INDEX(Papers!F$2:F$995,MATCH($A389, Papers!$A$2:$A$995,0)),"")</f>
        <v/>
      </c>
      <c r="E389" s="59" t="str">
        <f t="array" ref="E389">IFerror(INDEX(Papers!G$2:G$995,MATCH($A389, Papers!$A$2:$A$995,0)),"")</f>
        <v/>
      </c>
    </row>
    <row r="390">
      <c r="B390" s="85" t="str">
        <f t="array" ref="B390">IFerror(INDEX(Papers!C$2:C$995,MATCH($A390, Papers!$A$2:$A$995,0)),"")</f>
        <v/>
      </c>
      <c r="C390" s="85" t="str">
        <f t="array" ref="C390">IFerror(INDEX(Papers!D$2:D$995,MATCH($A390, Papers!$A$2:$A$995,0)),"")</f>
        <v/>
      </c>
      <c r="D390" s="86" t="str">
        <f t="array" ref="D390">IFerror(INDEX(Papers!F$2:F$995,MATCH($A390, Papers!$A$2:$A$995,0)),"")</f>
        <v/>
      </c>
      <c r="E390" s="59" t="str">
        <f t="array" ref="E390">IFerror(INDEX(Papers!G$2:G$995,MATCH($A390, Papers!$A$2:$A$995,0)),"")</f>
        <v/>
      </c>
    </row>
    <row r="391">
      <c r="B391" s="85" t="str">
        <f t="array" ref="B391">IFerror(INDEX(Papers!C$2:C$995,MATCH($A391, Papers!$A$2:$A$995,0)),"")</f>
        <v/>
      </c>
      <c r="C391" s="85" t="str">
        <f t="array" ref="C391">IFerror(INDEX(Papers!D$2:D$995,MATCH($A391, Papers!$A$2:$A$995,0)),"")</f>
        <v/>
      </c>
      <c r="D391" s="86" t="str">
        <f t="array" ref="D391">IFerror(INDEX(Papers!F$2:F$995,MATCH($A391, Papers!$A$2:$A$995,0)),"")</f>
        <v/>
      </c>
      <c r="E391" s="59" t="str">
        <f t="array" ref="E391">IFerror(INDEX(Papers!G$2:G$995,MATCH($A391, Papers!$A$2:$A$995,0)),"")</f>
        <v/>
      </c>
    </row>
    <row r="392">
      <c r="B392" s="85" t="str">
        <f t="array" ref="B392">IFerror(INDEX(Papers!C$2:C$995,MATCH($A392, Papers!$A$2:$A$995,0)),"")</f>
        <v/>
      </c>
      <c r="C392" s="85" t="str">
        <f t="array" ref="C392">IFerror(INDEX(Papers!D$2:D$995,MATCH($A392, Papers!$A$2:$A$995,0)),"")</f>
        <v/>
      </c>
      <c r="D392" s="86" t="str">
        <f t="array" ref="D392">IFerror(INDEX(Papers!F$2:F$995,MATCH($A392, Papers!$A$2:$A$995,0)),"")</f>
        <v/>
      </c>
      <c r="E392" s="59" t="str">
        <f t="array" ref="E392">IFerror(INDEX(Papers!G$2:G$995,MATCH($A392, Papers!$A$2:$A$995,0)),"")</f>
        <v/>
      </c>
    </row>
    <row r="393">
      <c r="B393" s="85" t="str">
        <f t="array" ref="B393">IFerror(INDEX(Papers!C$2:C$995,MATCH($A393, Papers!$A$2:$A$995,0)),"")</f>
        <v/>
      </c>
      <c r="C393" s="85" t="str">
        <f t="array" ref="C393">IFerror(INDEX(Papers!D$2:D$995,MATCH($A393, Papers!$A$2:$A$995,0)),"")</f>
        <v/>
      </c>
      <c r="D393" s="86" t="str">
        <f t="array" ref="D393">IFerror(INDEX(Papers!F$2:F$995,MATCH($A393, Papers!$A$2:$A$995,0)),"")</f>
        <v/>
      </c>
      <c r="E393" s="59" t="str">
        <f t="array" ref="E393">IFerror(INDEX(Papers!G$2:G$995,MATCH($A393, Papers!$A$2:$A$995,0)),"")</f>
        <v/>
      </c>
    </row>
    <row r="394">
      <c r="B394" s="85" t="str">
        <f t="array" ref="B394">IFerror(INDEX(Papers!C$2:C$995,MATCH($A394, Papers!$A$2:$A$995,0)),"")</f>
        <v/>
      </c>
      <c r="C394" s="85" t="str">
        <f t="array" ref="C394">IFerror(INDEX(Papers!D$2:D$995,MATCH($A394, Papers!$A$2:$A$995,0)),"")</f>
        <v/>
      </c>
      <c r="D394" s="86" t="str">
        <f t="array" ref="D394">IFerror(INDEX(Papers!F$2:F$995,MATCH($A394, Papers!$A$2:$A$995,0)),"")</f>
        <v/>
      </c>
      <c r="E394" s="59" t="str">
        <f t="array" ref="E394">IFerror(INDEX(Papers!G$2:G$995,MATCH($A394, Papers!$A$2:$A$995,0)),"")</f>
        <v/>
      </c>
    </row>
    <row r="395">
      <c r="B395" s="85" t="str">
        <f t="array" ref="B395">IFerror(INDEX(Papers!C$2:C$995,MATCH($A395, Papers!$A$2:$A$995,0)),"")</f>
        <v/>
      </c>
      <c r="C395" s="85" t="str">
        <f t="array" ref="C395">IFerror(INDEX(Papers!D$2:D$995,MATCH($A395, Papers!$A$2:$A$995,0)),"")</f>
        <v/>
      </c>
      <c r="D395" s="86" t="str">
        <f t="array" ref="D395">IFerror(INDEX(Papers!F$2:F$995,MATCH($A395, Papers!$A$2:$A$995,0)),"")</f>
        <v/>
      </c>
      <c r="E395" s="59" t="str">
        <f t="array" ref="E395">IFerror(INDEX(Papers!G$2:G$995,MATCH($A395, Papers!$A$2:$A$995,0)),"")</f>
        <v/>
      </c>
    </row>
    <row r="396">
      <c r="B396" s="85" t="str">
        <f t="array" ref="B396">IFerror(INDEX(Papers!C$2:C$995,MATCH($A396, Papers!$A$2:$A$995,0)),"")</f>
        <v/>
      </c>
      <c r="C396" s="85" t="str">
        <f t="array" ref="C396">IFerror(INDEX(Papers!D$2:D$995,MATCH($A396, Papers!$A$2:$A$995,0)),"")</f>
        <v/>
      </c>
      <c r="D396" s="86" t="str">
        <f t="array" ref="D396">IFerror(INDEX(Papers!F$2:F$995,MATCH($A396, Papers!$A$2:$A$995,0)),"")</f>
        <v/>
      </c>
      <c r="E396" s="59" t="str">
        <f t="array" ref="E396">IFerror(INDEX(Papers!G$2:G$995,MATCH($A396, Papers!$A$2:$A$995,0)),"")</f>
        <v/>
      </c>
    </row>
    <row r="397">
      <c r="B397" s="85" t="str">
        <f t="array" ref="B397">IFerror(INDEX(Papers!C$2:C$995,MATCH($A397, Papers!$A$2:$A$995,0)),"")</f>
        <v/>
      </c>
      <c r="C397" s="85" t="str">
        <f t="array" ref="C397">IFerror(INDEX(Papers!D$2:D$995,MATCH($A397, Papers!$A$2:$A$995,0)),"")</f>
        <v/>
      </c>
      <c r="D397" s="86" t="str">
        <f t="array" ref="D397">IFerror(INDEX(Papers!F$2:F$995,MATCH($A397, Papers!$A$2:$A$995,0)),"")</f>
        <v/>
      </c>
      <c r="E397" s="59" t="str">
        <f t="array" ref="E397">IFerror(INDEX(Papers!G$2:G$995,MATCH($A397, Papers!$A$2:$A$995,0)),"")</f>
        <v/>
      </c>
    </row>
    <row r="398">
      <c r="B398" s="85" t="str">
        <f t="array" ref="B398">IFerror(INDEX(Papers!C$2:C$995,MATCH($A398, Papers!$A$2:$A$995,0)),"")</f>
        <v/>
      </c>
      <c r="C398" s="85" t="str">
        <f t="array" ref="C398">IFerror(INDEX(Papers!D$2:D$995,MATCH($A398, Papers!$A$2:$A$995,0)),"")</f>
        <v/>
      </c>
      <c r="D398" s="86" t="str">
        <f t="array" ref="D398">IFerror(INDEX(Papers!F$2:F$995,MATCH($A398, Papers!$A$2:$A$995,0)),"")</f>
        <v/>
      </c>
      <c r="E398" s="59" t="str">
        <f t="array" ref="E398">IFerror(INDEX(Papers!G$2:G$995,MATCH($A398, Papers!$A$2:$A$995,0)),"")</f>
        <v/>
      </c>
    </row>
    <row r="399">
      <c r="B399" s="85" t="str">
        <f t="array" ref="B399">IFerror(INDEX(Papers!C$2:C$995,MATCH($A399, Papers!$A$2:$A$995,0)),"")</f>
        <v/>
      </c>
      <c r="C399" s="85" t="str">
        <f t="array" ref="C399">IFerror(INDEX(Papers!D$2:D$995,MATCH($A399, Papers!$A$2:$A$995,0)),"")</f>
        <v/>
      </c>
      <c r="D399" s="86" t="str">
        <f t="array" ref="D399">IFerror(INDEX(Papers!F$2:F$995,MATCH($A399, Papers!$A$2:$A$995,0)),"")</f>
        <v/>
      </c>
      <c r="E399" s="59" t="str">
        <f t="array" ref="E399">IFerror(INDEX(Papers!G$2:G$995,MATCH($A399, Papers!$A$2:$A$995,0)),"")</f>
        <v/>
      </c>
    </row>
    <row r="400">
      <c r="B400" s="85" t="str">
        <f t="array" ref="B400">IFerror(INDEX(Papers!C$2:C$995,MATCH($A400, Papers!$A$2:$A$995,0)),"")</f>
        <v/>
      </c>
      <c r="C400" s="85" t="str">
        <f t="array" ref="C400">IFerror(INDEX(Papers!D$2:D$995,MATCH($A400, Papers!$A$2:$A$995,0)),"")</f>
        <v/>
      </c>
      <c r="D400" s="86" t="str">
        <f t="array" ref="D400">IFerror(INDEX(Papers!F$2:F$995,MATCH($A400, Papers!$A$2:$A$995,0)),"")</f>
        <v/>
      </c>
      <c r="E400" s="59" t="str">
        <f t="array" ref="E400">IFerror(INDEX(Papers!G$2:G$995,MATCH($A400, Papers!$A$2:$A$995,0)),"")</f>
        <v/>
      </c>
    </row>
    <row r="401">
      <c r="B401" s="85" t="str">
        <f t="array" ref="B401">IFerror(INDEX(Papers!C$2:C$995,MATCH($A401, Papers!$A$2:$A$995,0)),"")</f>
        <v/>
      </c>
      <c r="C401" s="85" t="str">
        <f t="array" ref="C401">IFerror(INDEX(Papers!D$2:D$995,MATCH($A401, Papers!$A$2:$A$995,0)),"")</f>
        <v/>
      </c>
      <c r="D401" s="86" t="str">
        <f t="array" ref="D401">IFerror(INDEX(Papers!F$2:F$995,MATCH($A401, Papers!$A$2:$A$995,0)),"")</f>
        <v/>
      </c>
      <c r="E401" s="59" t="str">
        <f t="array" ref="E401">IFerror(INDEX(Papers!G$2:G$995,MATCH($A401, Papers!$A$2:$A$995,0)),"")</f>
        <v/>
      </c>
    </row>
    <row r="402">
      <c r="B402" s="85" t="str">
        <f t="array" ref="B402">IFerror(INDEX(Papers!C$2:C$995,MATCH($A402, Papers!$A$2:$A$995,0)),"")</f>
        <v/>
      </c>
      <c r="C402" s="85" t="str">
        <f t="array" ref="C402">IFerror(INDEX(Papers!D$2:D$995,MATCH($A402, Papers!$A$2:$A$995,0)),"")</f>
        <v/>
      </c>
      <c r="D402" s="86" t="str">
        <f t="array" ref="D402">IFerror(INDEX(Papers!F$2:F$995,MATCH($A402, Papers!$A$2:$A$995,0)),"")</f>
        <v/>
      </c>
      <c r="E402" s="59" t="str">
        <f t="array" ref="E402">IFerror(INDEX(Papers!G$2:G$995,MATCH($A402, Papers!$A$2:$A$995,0)),"")</f>
        <v/>
      </c>
    </row>
    <row r="403">
      <c r="B403" s="85" t="str">
        <f t="array" ref="B403">IFerror(INDEX(Papers!C$2:C$995,MATCH($A403, Papers!$A$2:$A$995,0)),"")</f>
        <v/>
      </c>
      <c r="C403" s="85" t="str">
        <f t="array" ref="C403">IFerror(INDEX(Papers!D$2:D$995,MATCH($A403, Papers!$A$2:$A$995,0)),"")</f>
        <v/>
      </c>
      <c r="D403" s="86" t="str">
        <f t="array" ref="D403">IFerror(INDEX(Papers!F$2:F$995,MATCH($A403, Papers!$A$2:$A$995,0)),"")</f>
        <v/>
      </c>
      <c r="E403" s="59" t="str">
        <f t="array" ref="E403">IFerror(INDEX(Papers!G$2:G$995,MATCH($A403, Papers!$A$2:$A$995,0)),"")</f>
        <v/>
      </c>
    </row>
    <row r="404">
      <c r="B404" s="85" t="str">
        <f t="array" ref="B404">IFerror(INDEX(Papers!C$2:C$995,MATCH($A404, Papers!$A$2:$A$995,0)),"")</f>
        <v/>
      </c>
      <c r="C404" s="85" t="str">
        <f t="array" ref="C404">IFerror(INDEX(Papers!D$2:D$995,MATCH($A404, Papers!$A$2:$A$995,0)),"")</f>
        <v/>
      </c>
      <c r="D404" s="86" t="str">
        <f t="array" ref="D404">IFerror(INDEX(Papers!F$2:F$995,MATCH($A404, Papers!$A$2:$A$995,0)),"")</f>
        <v/>
      </c>
      <c r="E404" s="59" t="str">
        <f t="array" ref="E404">IFerror(INDEX(Papers!G$2:G$995,MATCH($A404, Papers!$A$2:$A$995,0)),"")</f>
        <v/>
      </c>
    </row>
    <row r="405">
      <c r="B405" s="85" t="str">
        <f t="array" ref="B405">IFerror(INDEX(Papers!C$2:C$995,MATCH($A405, Papers!$A$2:$A$995,0)),"")</f>
        <v/>
      </c>
      <c r="C405" s="85" t="str">
        <f t="array" ref="C405">IFerror(INDEX(Papers!D$2:D$995,MATCH($A405, Papers!$A$2:$A$995,0)),"")</f>
        <v/>
      </c>
      <c r="D405" s="86" t="str">
        <f t="array" ref="D405">IFerror(INDEX(Papers!F$2:F$995,MATCH($A405, Papers!$A$2:$A$995,0)),"")</f>
        <v/>
      </c>
      <c r="E405" s="59" t="str">
        <f t="array" ref="E405">IFerror(INDEX(Papers!G$2:G$995,MATCH($A405, Papers!$A$2:$A$995,0)),"")</f>
        <v/>
      </c>
    </row>
    <row r="406">
      <c r="B406" s="85" t="str">
        <f t="array" ref="B406">IFerror(INDEX(Papers!C$2:C$995,MATCH($A406, Papers!$A$2:$A$995,0)),"")</f>
        <v/>
      </c>
      <c r="C406" s="85" t="str">
        <f t="array" ref="C406">IFerror(INDEX(Papers!D$2:D$995,MATCH($A406, Papers!$A$2:$A$995,0)),"")</f>
        <v/>
      </c>
      <c r="D406" s="86" t="str">
        <f t="array" ref="D406">IFerror(INDEX(Papers!F$2:F$995,MATCH($A406, Papers!$A$2:$A$995,0)),"")</f>
        <v/>
      </c>
      <c r="E406" s="59" t="str">
        <f t="array" ref="E406">IFerror(INDEX(Papers!G$2:G$995,MATCH($A406, Papers!$A$2:$A$995,0)),"")</f>
        <v/>
      </c>
    </row>
    <row r="407">
      <c r="B407" s="85" t="str">
        <f t="array" ref="B407">IFerror(INDEX(Papers!C$2:C$995,MATCH($A407, Papers!$A$2:$A$995,0)),"")</f>
        <v/>
      </c>
      <c r="C407" s="85" t="str">
        <f t="array" ref="C407">IFerror(INDEX(Papers!D$2:D$995,MATCH($A407, Papers!$A$2:$A$995,0)),"")</f>
        <v/>
      </c>
      <c r="D407" s="86" t="str">
        <f t="array" ref="D407">IFerror(INDEX(Papers!F$2:F$995,MATCH($A407, Papers!$A$2:$A$995,0)),"")</f>
        <v/>
      </c>
      <c r="E407" s="59" t="str">
        <f t="array" ref="E407">IFerror(INDEX(Papers!G$2:G$995,MATCH($A407, Papers!$A$2:$A$995,0)),"")</f>
        <v/>
      </c>
    </row>
    <row r="408">
      <c r="B408" s="85" t="str">
        <f t="array" ref="B408">IFerror(INDEX(Papers!C$2:C$995,MATCH($A408, Papers!$A$2:$A$995,0)),"")</f>
        <v/>
      </c>
      <c r="C408" s="85" t="str">
        <f t="array" ref="C408">IFerror(INDEX(Papers!D$2:D$995,MATCH($A408, Papers!$A$2:$A$995,0)),"")</f>
        <v/>
      </c>
      <c r="D408" s="86" t="str">
        <f t="array" ref="D408">IFerror(INDEX(Papers!F$2:F$995,MATCH($A408, Papers!$A$2:$A$995,0)),"")</f>
        <v/>
      </c>
      <c r="E408" s="59" t="str">
        <f t="array" ref="E408">IFerror(INDEX(Papers!G$2:G$995,MATCH($A408, Papers!$A$2:$A$995,0)),"")</f>
        <v/>
      </c>
    </row>
    <row r="409">
      <c r="B409" s="85" t="str">
        <f t="array" ref="B409">IFerror(INDEX(Papers!C$2:C$995,MATCH($A409, Papers!$A$2:$A$995,0)),"")</f>
        <v/>
      </c>
      <c r="C409" s="85" t="str">
        <f t="array" ref="C409">IFerror(INDEX(Papers!D$2:D$995,MATCH($A409, Papers!$A$2:$A$995,0)),"")</f>
        <v/>
      </c>
      <c r="D409" s="86" t="str">
        <f t="array" ref="D409">IFerror(INDEX(Papers!F$2:F$995,MATCH($A409, Papers!$A$2:$A$995,0)),"")</f>
        <v/>
      </c>
      <c r="E409" s="59" t="str">
        <f t="array" ref="E409">IFerror(INDEX(Papers!G$2:G$995,MATCH($A409, Papers!$A$2:$A$995,0)),"")</f>
        <v/>
      </c>
    </row>
    <row r="410">
      <c r="B410" s="85" t="str">
        <f t="array" ref="B410">IFerror(INDEX(Papers!C$2:C$995,MATCH($A410, Papers!$A$2:$A$995,0)),"")</f>
        <v/>
      </c>
      <c r="C410" s="85" t="str">
        <f t="array" ref="C410">IFerror(INDEX(Papers!D$2:D$995,MATCH($A410, Papers!$A$2:$A$995,0)),"")</f>
        <v/>
      </c>
      <c r="D410" s="86" t="str">
        <f t="array" ref="D410">IFerror(INDEX(Papers!F$2:F$995,MATCH($A410, Papers!$A$2:$A$995,0)),"")</f>
        <v/>
      </c>
      <c r="E410" s="59" t="str">
        <f t="array" ref="E410">IFerror(INDEX(Papers!G$2:G$995,MATCH($A410, Papers!$A$2:$A$995,0)),"")</f>
        <v/>
      </c>
    </row>
    <row r="411">
      <c r="B411" s="85" t="str">
        <f t="array" ref="B411">IFerror(INDEX(Papers!C$2:C$995,MATCH($A411, Papers!$A$2:$A$995,0)),"")</f>
        <v/>
      </c>
      <c r="C411" s="85" t="str">
        <f t="array" ref="C411">IFerror(INDEX(Papers!D$2:D$995,MATCH($A411, Papers!$A$2:$A$995,0)),"")</f>
        <v/>
      </c>
      <c r="D411" s="86" t="str">
        <f t="array" ref="D411">IFerror(INDEX(Papers!F$2:F$995,MATCH($A411, Papers!$A$2:$A$995,0)),"")</f>
        <v/>
      </c>
      <c r="E411" s="59" t="str">
        <f t="array" ref="E411">IFerror(INDEX(Papers!G$2:G$995,MATCH($A411, Papers!$A$2:$A$995,0)),"")</f>
        <v/>
      </c>
    </row>
    <row r="412">
      <c r="B412" s="85" t="str">
        <f t="array" ref="B412">IFerror(INDEX(Papers!C$2:C$995,MATCH($A412, Papers!$A$2:$A$995,0)),"")</f>
        <v/>
      </c>
      <c r="C412" s="85" t="str">
        <f t="array" ref="C412">IFerror(INDEX(Papers!D$2:D$995,MATCH($A412, Papers!$A$2:$A$995,0)),"")</f>
        <v/>
      </c>
      <c r="D412" s="86" t="str">
        <f t="array" ref="D412">IFerror(INDEX(Papers!F$2:F$995,MATCH($A412, Papers!$A$2:$A$995,0)),"")</f>
        <v/>
      </c>
      <c r="E412" s="59" t="str">
        <f t="array" ref="E412">IFerror(INDEX(Papers!G$2:G$995,MATCH($A412, Papers!$A$2:$A$995,0)),"")</f>
        <v/>
      </c>
    </row>
    <row r="413">
      <c r="B413" s="85" t="str">
        <f t="array" ref="B413">IFerror(INDEX(Papers!C$2:C$995,MATCH($A413, Papers!$A$2:$A$995,0)),"")</f>
        <v/>
      </c>
      <c r="C413" s="85" t="str">
        <f t="array" ref="C413">IFerror(INDEX(Papers!D$2:D$995,MATCH($A413, Papers!$A$2:$A$995,0)),"")</f>
        <v/>
      </c>
      <c r="D413" s="86" t="str">
        <f t="array" ref="D413">IFerror(INDEX(Papers!F$2:F$995,MATCH($A413, Papers!$A$2:$A$995,0)),"")</f>
        <v/>
      </c>
      <c r="E413" s="59" t="str">
        <f t="array" ref="E413">IFerror(INDEX(Papers!G$2:G$995,MATCH($A413, Papers!$A$2:$A$995,0)),"")</f>
        <v/>
      </c>
    </row>
    <row r="414">
      <c r="B414" s="85" t="str">
        <f t="array" ref="B414">IFerror(INDEX(Papers!C$2:C$995,MATCH($A414, Papers!$A$2:$A$995,0)),"")</f>
        <v/>
      </c>
      <c r="C414" s="85" t="str">
        <f t="array" ref="C414">IFerror(INDEX(Papers!D$2:D$995,MATCH($A414, Papers!$A$2:$A$995,0)),"")</f>
        <v/>
      </c>
      <c r="D414" s="86" t="str">
        <f t="array" ref="D414">IFerror(INDEX(Papers!F$2:F$995,MATCH($A414, Papers!$A$2:$A$995,0)),"")</f>
        <v/>
      </c>
      <c r="E414" s="59" t="str">
        <f t="array" ref="E414">IFerror(INDEX(Papers!G$2:G$995,MATCH($A414, Papers!$A$2:$A$995,0)),"")</f>
        <v/>
      </c>
    </row>
    <row r="415">
      <c r="B415" s="85" t="str">
        <f t="array" ref="B415">IFerror(INDEX(Papers!C$2:C$995,MATCH($A415, Papers!$A$2:$A$995,0)),"")</f>
        <v/>
      </c>
      <c r="C415" s="85" t="str">
        <f t="array" ref="C415">IFerror(INDEX(Papers!D$2:D$995,MATCH($A415, Papers!$A$2:$A$995,0)),"")</f>
        <v/>
      </c>
      <c r="D415" s="86" t="str">
        <f t="array" ref="D415">IFerror(INDEX(Papers!F$2:F$995,MATCH($A415, Papers!$A$2:$A$995,0)),"")</f>
        <v/>
      </c>
      <c r="E415" s="59" t="str">
        <f t="array" ref="E415">IFerror(INDEX(Papers!G$2:G$995,MATCH($A415, Papers!$A$2:$A$995,0)),"")</f>
        <v/>
      </c>
    </row>
    <row r="416">
      <c r="B416" s="85" t="str">
        <f t="array" ref="B416">IFerror(INDEX(Papers!C$2:C$995,MATCH($A416, Papers!$A$2:$A$995,0)),"")</f>
        <v/>
      </c>
      <c r="C416" s="85" t="str">
        <f t="array" ref="C416">IFerror(INDEX(Papers!D$2:D$995,MATCH($A416, Papers!$A$2:$A$995,0)),"")</f>
        <v/>
      </c>
      <c r="D416" s="86" t="str">
        <f t="array" ref="D416">IFerror(INDEX(Papers!F$2:F$995,MATCH($A416, Papers!$A$2:$A$995,0)),"")</f>
        <v/>
      </c>
      <c r="E416" s="59" t="str">
        <f t="array" ref="E416">IFerror(INDEX(Papers!G$2:G$995,MATCH($A416, Papers!$A$2:$A$995,0)),"")</f>
        <v/>
      </c>
    </row>
    <row r="417">
      <c r="B417" s="85" t="str">
        <f t="array" ref="B417">IFerror(INDEX(Papers!C$2:C$995,MATCH($A417, Papers!$A$2:$A$995,0)),"")</f>
        <v/>
      </c>
      <c r="C417" s="85" t="str">
        <f t="array" ref="C417">IFerror(INDEX(Papers!D$2:D$995,MATCH($A417, Papers!$A$2:$A$995,0)),"")</f>
        <v/>
      </c>
      <c r="D417" s="86" t="str">
        <f t="array" ref="D417">IFerror(INDEX(Papers!F$2:F$995,MATCH($A417, Papers!$A$2:$A$995,0)),"")</f>
        <v/>
      </c>
      <c r="E417" s="59" t="str">
        <f t="array" ref="E417">IFerror(INDEX(Papers!G$2:G$995,MATCH($A417, Papers!$A$2:$A$995,0)),"")</f>
        <v/>
      </c>
    </row>
    <row r="418">
      <c r="B418" s="85" t="str">
        <f t="array" ref="B418">IFerror(INDEX(Papers!C$2:C$995,MATCH($A418, Papers!$A$2:$A$995,0)),"")</f>
        <v/>
      </c>
      <c r="C418" s="85" t="str">
        <f t="array" ref="C418">IFerror(INDEX(Papers!D$2:D$995,MATCH($A418, Papers!$A$2:$A$995,0)),"")</f>
        <v/>
      </c>
      <c r="D418" s="86" t="str">
        <f t="array" ref="D418">IFerror(INDEX(Papers!F$2:F$995,MATCH($A418, Papers!$A$2:$A$995,0)),"")</f>
        <v/>
      </c>
      <c r="E418" s="59" t="str">
        <f t="array" ref="E418">IFerror(INDEX(Papers!G$2:G$995,MATCH($A418, Papers!$A$2:$A$995,0)),"")</f>
        <v/>
      </c>
    </row>
    <row r="419">
      <c r="B419" s="85" t="str">
        <f t="array" ref="B419">IFerror(INDEX(Papers!C$2:C$995,MATCH($A419, Papers!$A$2:$A$995,0)),"")</f>
        <v/>
      </c>
      <c r="C419" s="85" t="str">
        <f t="array" ref="C419">IFerror(INDEX(Papers!D$2:D$995,MATCH($A419, Papers!$A$2:$A$995,0)),"")</f>
        <v/>
      </c>
      <c r="D419" s="86" t="str">
        <f t="array" ref="D419">IFerror(INDEX(Papers!F$2:F$995,MATCH($A419, Papers!$A$2:$A$995,0)),"")</f>
        <v/>
      </c>
      <c r="E419" s="59" t="str">
        <f t="array" ref="E419">IFerror(INDEX(Papers!G$2:G$995,MATCH($A419, Papers!$A$2:$A$995,0)),"")</f>
        <v/>
      </c>
    </row>
    <row r="420">
      <c r="B420" s="85" t="str">
        <f t="array" ref="B420">IFerror(INDEX(Papers!C$2:C$995,MATCH($A420, Papers!$A$2:$A$995,0)),"")</f>
        <v/>
      </c>
      <c r="C420" s="85" t="str">
        <f t="array" ref="C420">IFerror(INDEX(Papers!D$2:D$995,MATCH($A420, Papers!$A$2:$A$995,0)),"")</f>
        <v/>
      </c>
      <c r="D420" s="86" t="str">
        <f t="array" ref="D420">IFerror(INDEX(Papers!F$2:F$995,MATCH($A420, Papers!$A$2:$A$995,0)),"")</f>
        <v/>
      </c>
      <c r="E420" s="59" t="str">
        <f t="array" ref="E420">IFerror(INDEX(Papers!G$2:G$995,MATCH($A420, Papers!$A$2:$A$995,0)),"")</f>
        <v/>
      </c>
    </row>
    <row r="421">
      <c r="B421" s="85" t="str">
        <f t="array" ref="B421">IFerror(INDEX(Papers!C$2:C$995,MATCH($A421, Papers!$A$2:$A$995,0)),"")</f>
        <v/>
      </c>
      <c r="C421" s="85" t="str">
        <f t="array" ref="C421">IFerror(INDEX(Papers!D$2:D$995,MATCH($A421, Papers!$A$2:$A$995,0)),"")</f>
        <v/>
      </c>
      <c r="D421" s="86" t="str">
        <f t="array" ref="D421">IFerror(INDEX(Papers!F$2:F$995,MATCH($A421, Papers!$A$2:$A$995,0)),"")</f>
        <v/>
      </c>
      <c r="E421" s="59" t="str">
        <f t="array" ref="E421">IFerror(INDEX(Papers!G$2:G$995,MATCH($A421, Papers!$A$2:$A$995,0)),"")</f>
        <v/>
      </c>
    </row>
    <row r="422">
      <c r="B422" s="85" t="str">
        <f t="array" ref="B422">IFerror(INDEX(Papers!C$2:C$995,MATCH($A422, Papers!$A$2:$A$995,0)),"")</f>
        <v/>
      </c>
      <c r="C422" s="85" t="str">
        <f t="array" ref="C422">IFerror(INDEX(Papers!D$2:D$995,MATCH($A422, Papers!$A$2:$A$995,0)),"")</f>
        <v/>
      </c>
      <c r="D422" s="86" t="str">
        <f t="array" ref="D422">IFerror(INDEX(Papers!F$2:F$995,MATCH($A422, Papers!$A$2:$A$995,0)),"")</f>
        <v/>
      </c>
      <c r="E422" s="59" t="str">
        <f t="array" ref="E422">IFerror(INDEX(Papers!G$2:G$995,MATCH($A422, Papers!$A$2:$A$995,0)),"")</f>
        <v/>
      </c>
    </row>
    <row r="423">
      <c r="B423" s="85" t="str">
        <f t="array" ref="B423">IFerror(INDEX(Papers!C$2:C$995,MATCH($A423, Papers!$A$2:$A$995,0)),"")</f>
        <v/>
      </c>
      <c r="C423" s="85" t="str">
        <f t="array" ref="C423">IFerror(INDEX(Papers!D$2:D$995,MATCH($A423, Papers!$A$2:$A$995,0)),"")</f>
        <v/>
      </c>
      <c r="D423" s="86" t="str">
        <f t="array" ref="D423">IFerror(INDEX(Papers!F$2:F$995,MATCH($A423, Papers!$A$2:$A$995,0)),"")</f>
        <v/>
      </c>
      <c r="E423" s="59" t="str">
        <f t="array" ref="E423">IFerror(INDEX(Papers!G$2:G$995,MATCH($A423, Papers!$A$2:$A$995,0)),"")</f>
        <v/>
      </c>
    </row>
    <row r="424">
      <c r="B424" s="85" t="str">
        <f t="array" ref="B424">IFerror(INDEX(Papers!C$2:C$995,MATCH($A424, Papers!$A$2:$A$995,0)),"")</f>
        <v/>
      </c>
      <c r="C424" s="85" t="str">
        <f t="array" ref="C424">IFerror(INDEX(Papers!D$2:D$995,MATCH($A424, Papers!$A$2:$A$995,0)),"")</f>
        <v/>
      </c>
      <c r="D424" s="86" t="str">
        <f t="array" ref="D424">IFerror(INDEX(Papers!F$2:F$995,MATCH($A424, Papers!$A$2:$A$995,0)),"")</f>
        <v/>
      </c>
      <c r="E424" s="59" t="str">
        <f t="array" ref="E424">IFerror(INDEX(Papers!G$2:G$995,MATCH($A424, Papers!$A$2:$A$995,0)),"")</f>
        <v/>
      </c>
    </row>
    <row r="425">
      <c r="B425" s="85" t="str">
        <f t="array" ref="B425">IFerror(INDEX(Papers!C$2:C$995,MATCH($A425, Papers!$A$2:$A$995,0)),"")</f>
        <v/>
      </c>
      <c r="C425" s="85" t="str">
        <f t="array" ref="C425">IFerror(INDEX(Papers!D$2:D$995,MATCH($A425, Papers!$A$2:$A$995,0)),"")</f>
        <v/>
      </c>
      <c r="D425" s="86" t="str">
        <f t="array" ref="D425">IFerror(INDEX(Papers!F$2:F$995,MATCH($A425, Papers!$A$2:$A$995,0)),"")</f>
        <v/>
      </c>
      <c r="E425" s="59" t="str">
        <f t="array" ref="E425">IFerror(INDEX(Papers!G$2:G$995,MATCH($A425, Papers!$A$2:$A$995,0)),"")</f>
        <v/>
      </c>
    </row>
    <row r="426">
      <c r="B426" s="85" t="str">
        <f t="array" ref="B426">IFerror(INDEX(Papers!C$2:C$995,MATCH($A426, Papers!$A$2:$A$995,0)),"")</f>
        <v/>
      </c>
      <c r="C426" s="85" t="str">
        <f t="array" ref="C426">IFerror(INDEX(Papers!D$2:D$995,MATCH($A426, Papers!$A$2:$A$995,0)),"")</f>
        <v/>
      </c>
      <c r="D426" s="86" t="str">
        <f t="array" ref="D426">IFerror(INDEX(Papers!F$2:F$995,MATCH($A426, Papers!$A$2:$A$995,0)),"")</f>
        <v/>
      </c>
      <c r="E426" s="59" t="str">
        <f t="array" ref="E426">IFerror(INDEX(Papers!G$2:G$995,MATCH($A426, Papers!$A$2:$A$995,0)),"")</f>
        <v/>
      </c>
    </row>
    <row r="427">
      <c r="B427" s="85" t="str">
        <f t="array" ref="B427">IFerror(INDEX(Papers!C$2:C$995,MATCH($A427, Papers!$A$2:$A$995,0)),"")</f>
        <v/>
      </c>
      <c r="C427" s="85" t="str">
        <f t="array" ref="C427">IFerror(INDEX(Papers!D$2:D$995,MATCH($A427, Papers!$A$2:$A$995,0)),"")</f>
        <v/>
      </c>
      <c r="D427" s="86" t="str">
        <f t="array" ref="D427">IFerror(INDEX(Papers!F$2:F$995,MATCH($A427, Papers!$A$2:$A$995,0)),"")</f>
        <v/>
      </c>
      <c r="E427" s="59" t="str">
        <f t="array" ref="E427">IFerror(INDEX(Papers!G$2:G$995,MATCH($A427, Papers!$A$2:$A$995,0)),"")</f>
        <v/>
      </c>
    </row>
    <row r="428">
      <c r="B428" s="85" t="str">
        <f t="array" ref="B428">IFerror(INDEX(Papers!C$2:C$995,MATCH($A428, Papers!$A$2:$A$995,0)),"")</f>
        <v/>
      </c>
      <c r="C428" s="85" t="str">
        <f t="array" ref="C428">IFerror(INDEX(Papers!D$2:D$995,MATCH($A428, Papers!$A$2:$A$995,0)),"")</f>
        <v/>
      </c>
      <c r="D428" s="86" t="str">
        <f t="array" ref="D428">IFerror(INDEX(Papers!F$2:F$995,MATCH($A428, Papers!$A$2:$A$995,0)),"")</f>
        <v/>
      </c>
      <c r="E428" s="59" t="str">
        <f t="array" ref="E428">IFerror(INDEX(Papers!G$2:G$995,MATCH($A428, Papers!$A$2:$A$995,0)),"")</f>
        <v/>
      </c>
    </row>
    <row r="429">
      <c r="B429" s="85" t="str">
        <f t="array" ref="B429">IFerror(INDEX(Papers!C$2:C$995,MATCH($A429, Papers!$A$2:$A$995,0)),"")</f>
        <v/>
      </c>
      <c r="C429" s="85" t="str">
        <f t="array" ref="C429">IFerror(INDEX(Papers!D$2:D$995,MATCH($A429, Papers!$A$2:$A$995,0)),"")</f>
        <v/>
      </c>
      <c r="D429" s="86" t="str">
        <f t="array" ref="D429">IFerror(INDEX(Papers!F$2:F$995,MATCH($A429, Papers!$A$2:$A$995,0)),"")</f>
        <v/>
      </c>
      <c r="E429" s="59" t="str">
        <f t="array" ref="E429">IFerror(INDEX(Papers!G$2:G$995,MATCH($A429, Papers!$A$2:$A$995,0)),"")</f>
        <v/>
      </c>
    </row>
    <row r="430">
      <c r="B430" s="85" t="str">
        <f t="array" ref="B430">IFerror(INDEX(Papers!C$2:C$995,MATCH($A430, Papers!$A$2:$A$995,0)),"")</f>
        <v/>
      </c>
      <c r="C430" s="85" t="str">
        <f t="array" ref="C430">IFerror(INDEX(Papers!D$2:D$995,MATCH($A430, Papers!$A$2:$A$995,0)),"")</f>
        <v/>
      </c>
      <c r="D430" s="86" t="str">
        <f t="array" ref="D430">IFerror(INDEX(Papers!F$2:F$995,MATCH($A430, Papers!$A$2:$A$995,0)),"")</f>
        <v/>
      </c>
      <c r="E430" s="59" t="str">
        <f t="array" ref="E430">IFerror(INDEX(Papers!G$2:G$995,MATCH($A430, Papers!$A$2:$A$995,0)),"")</f>
        <v/>
      </c>
    </row>
    <row r="431">
      <c r="B431" s="85" t="str">
        <f t="array" ref="B431">IFerror(INDEX(Papers!C$2:C$995,MATCH($A431, Papers!$A$2:$A$995,0)),"")</f>
        <v/>
      </c>
      <c r="C431" s="85" t="str">
        <f t="array" ref="C431">IFerror(INDEX(Papers!D$2:D$995,MATCH($A431, Papers!$A$2:$A$995,0)),"")</f>
        <v/>
      </c>
      <c r="D431" s="86" t="str">
        <f t="array" ref="D431">IFerror(INDEX(Papers!F$2:F$995,MATCH($A431, Papers!$A$2:$A$995,0)),"")</f>
        <v/>
      </c>
      <c r="E431" s="59" t="str">
        <f t="array" ref="E431">IFerror(INDEX(Papers!G$2:G$995,MATCH($A431, Papers!$A$2:$A$995,0)),"")</f>
        <v/>
      </c>
    </row>
    <row r="432">
      <c r="B432" s="85" t="str">
        <f t="array" ref="B432">IFerror(INDEX(Papers!C$2:C$995,MATCH($A432, Papers!$A$2:$A$995,0)),"")</f>
        <v/>
      </c>
      <c r="C432" s="85" t="str">
        <f t="array" ref="C432">IFerror(INDEX(Papers!D$2:D$995,MATCH($A432, Papers!$A$2:$A$995,0)),"")</f>
        <v/>
      </c>
      <c r="D432" s="86" t="str">
        <f t="array" ref="D432">IFerror(INDEX(Papers!F$2:F$995,MATCH($A432, Papers!$A$2:$A$995,0)),"")</f>
        <v/>
      </c>
      <c r="E432" s="59" t="str">
        <f t="array" ref="E432">IFerror(INDEX(Papers!G$2:G$995,MATCH($A432, Papers!$A$2:$A$995,0)),"")</f>
        <v/>
      </c>
    </row>
    <row r="433">
      <c r="B433" s="85" t="str">
        <f t="array" ref="B433">IFerror(INDEX(Papers!C$2:C$995,MATCH($A433, Papers!$A$2:$A$995,0)),"")</f>
        <v/>
      </c>
      <c r="C433" s="85" t="str">
        <f t="array" ref="C433">IFerror(INDEX(Papers!D$2:D$995,MATCH($A433, Papers!$A$2:$A$995,0)),"")</f>
        <v/>
      </c>
      <c r="D433" s="86" t="str">
        <f t="array" ref="D433">IFerror(INDEX(Papers!F$2:F$995,MATCH($A433, Papers!$A$2:$A$995,0)),"")</f>
        <v/>
      </c>
      <c r="E433" s="59" t="str">
        <f t="array" ref="E433">IFerror(INDEX(Papers!G$2:G$995,MATCH($A433, Papers!$A$2:$A$995,0)),"")</f>
        <v/>
      </c>
    </row>
    <row r="434">
      <c r="B434" s="85" t="str">
        <f t="array" ref="B434">IFerror(INDEX(Papers!C$2:C$995,MATCH($A434, Papers!$A$2:$A$995,0)),"")</f>
        <v/>
      </c>
      <c r="C434" s="85" t="str">
        <f t="array" ref="C434">IFerror(INDEX(Papers!D$2:D$995,MATCH($A434, Papers!$A$2:$A$995,0)),"")</f>
        <v/>
      </c>
      <c r="D434" s="86" t="str">
        <f t="array" ref="D434">IFerror(INDEX(Papers!F$2:F$995,MATCH($A434, Papers!$A$2:$A$995,0)),"")</f>
        <v/>
      </c>
      <c r="E434" s="59" t="str">
        <f t="array" ref="E434">IFerror(INDEX(Papers!G$2:G$995,MATCH($A434, Papers!$A$2:$A$995,0)),"")</f>
        <v/>
      </c>
    </row>
    <row r="435">
      <c r="B435" s="85" t="str">
        <f t="array" ref="B435">IFerror(INDEX(Papers!C$2:C$995,MATCH($A435, Papers!$A$2:$A$995,0)),"")</f>
        <v/>
      </c>
      <c r="C435" s="85" t="str">
        <f t="array" ref="C435">IFerror(INDEX(Papers!D$2:D$995,MATCH($A435, Papers!$A$2:$A$995,0)),"")</f>
        <v/>
      </c>
      <c r="D435" s="86" t="str">
        <f t="array" ref="D435">IFerror(INDEX(Papers!F$2:F$995,MATCH($A435, Papers!$A$2:$A$995,0)),"")</f>
        <v/>
      </c>
      <c r="E435" s="59" t="str">
        <f t="array" ref="E435">IFerror(INDEX(Papers!G$2:G$995,MATCH($A435, Papers!$A$2:$A$995,0)),"")</f>
        <v/>
      </c>
    </row>
    <row r="436">
      <c r="B436" s="85" t="str">
        <f t="array" ref="B436">IFerror(INDEX(Papers!C$2:C$995,MATCH($A436, Papers!$A$2:$A$995,0)),"")</f>
        <v/>
      </c>
      <c r="C436" s="85" t="str">
        <f t="array" ref="C436">IFerror(INDEX(Papers!D$2:D$995,MATCH($A436, Papers!$A$2:$A$995,0)),"")</f>
        <v/>
      </c>
      <c r="D436" s="86" t="str">
        <f t="array" ref="D436">IFerror(INDEX(Papers!F$2:F$995,MATCH($A436, Papers!$A$2:$A$995,0)),"")</f>
        <v/>
      </c>
      <c r="E436" s="59" t="str">
        <f t="array" ref="E436">IFerror(INDEX(Papers!G$2:G$995,MATCH($A436, Papers!$A$2:$A$995,0)),"")</f>
        <v/>
      </c>
    </row>
    <row r="437">
      <c r="B437" s="85" t="str">
        <f t="array" ref="B437">IFerror(INDEX(Papers!C$2:C$995,MATCH($A437, Papers!$A$2:$A$995,0)),"")</f>
        <v/>
      </c>
      <c r="C437" s="85" t="str">
        <f t="array" ref="C437">IFerror(INDEX(Papers!D$2:D$995,MATCH($A437, Papers!$A$2:$A$995,0)),"")</f>
        <v/>
      </c>
      <c r="D437" s="86" t="str">
        <f t="array" ref="D437">IFerror(INDEX(Papers!F$2:F$995,MATCH($A437, Papers!$A$2:$A$995,0)),"")</f>
        <v/>
      </c>
      <c r="E437" s="59" t="str">
        <f t="array" ref="E437">IFerror(INDEX(Papers!G$2:G$995,MATCH($A437, Papers!$A$2:$A$995,0)),"")</f>
        <v/>
      </c>
    </row>
    <row r="438">
      <c r="B438" s="85" t="str">
        <f t="array" ref="B438">IFerror(INDEX(Papers!C$2:C$995,MATCH($A438, Papers!$A$2:$A$995,0)),"")</f>
        <v/>
      </c>
      <c r="C438" s="85" t="str">
        <f t="array" ref="C438">IFerror(INDEX(Papers!D$2:D$995,MATCH($A438, Papers!$A$2:$A$995,0)),"")</f>
        <v/>
      </c>
      <c r="D438" s="86" t="str">
        <f t="array" ref="D438">IFerror(INDEX(Papers!F$2:F$995,MATCH($A438, Papers!$A$2:$A$995,0)),"")</f>
        <v/>
      </c>
      <c r="E438" s="59" t="str">
        <f t="array" ref="E438">IFerror(INDEX(Papers!G$2:G$995,MATCH($A438, Papers!$A$2:$A$995,0)),"")</f>
        <v/>
      </c>
    </row>
    <row r="439">
      <c r="B439" s="85" t="str">
        <f t="array" ref="B439">IFerror(INDEX(Papers!C$2:C$995,MATCH($A439, Papers!$A$2:$A$995,0)),"")</f>
        <v/>
      </c>
      <c r="C439" s="85" t="str">
        <f t="array" ref="C439">IFerror(INDEX(Papers!D$2:D$995,MATCH($A439, Papers!$A$2:$A$995,0)),"")</f>
        <v/>
      </c>
      <c r="D439" s="86" t="str">
        <f t="array" ref="D439">IFerror(INDEX(Papers!F$2:F$995,MATCH($A439, Papers!$A$2:$A$995,0)),"")</f>
        <v/>
      </c>
      <c r="E439" s="59" t="str">
        <f t="array" ref="E439">IFerror(INDEX(Papers!G$2:G$995,MATCH($A439, Papers!$A$2:$A$995,0)),"")</f>
        <v/>
      </c>
    </row>
    <row r="440">
      <c r="B440" s="85" t="str">
        <f t="array" ref="B440">IFerror(INDEX(Papers!C$2:C$995,MATCH($A440, Papers!$A$2:$A$995,0)),"")</f>
        <v/>
      </c>
      <c r="C440" s="85" t="str">
        <f t="array" ref="C440">IFerror(INDEX(Papers!D$2:D$995,MATCH($A440, Papers!$A$2:$A$995,0)),"")</f>
        <v/>
      </c>
      <c r="D440" s="86" t="str">
        <f t="array" ref="D440">IFerror(INDEX(Papers!F$2:F$995,MATCH($A440, Papers!$A$2:$A$995,0)),"")</f>
        <v/>
      </c>
      <c r="E440" s="59" t="str">
        <f t="array" ref="E440">IFerror(INDEX(Papers!G$2:G$995,MATCH($A440, Papers!$A$2:$A$995,0)),"")</f>
        <v/>
      </c>
    </row>
    <row r="441">
      <c r="B441" s="85" t="str">
        <f t="array" ref="B441">IFerror(INDEX(Papers!C$2:C$995,MATCH($A441, Papers!$A$2:$A$995,0)),"")</f>
        <v/>
      </c>
      <c r="C441" s="85" t="str">
        <f t="array" ref="C441">IFerror(INDEX(Papers!D$2:D$995,MATCH($A441, Papers!$A$2:$A$995,0)),"")</f>
        <v/>
      </c>
      <c r="D441" s="86" t="str">
        <f t="array" ref="D441">IFerror(INDEX(Papers!F$2:F$995,MATCH($A441, Papers!$A$2:$A$995,0)),"")</f>
        <v/>
      </c>
      <c r="E441" s="59" t="str">
        <f t="array" ref="E441">IFerror(INDEX(Papers!G$2:G$995,MATCH($A441, Papers!$A$2:$A$995,0)),"")</f>
        <v/>
      </c>
    </row>
    <row r="442">
      <c r="B442" s="85" t="str">
        <f t="array" ref="B442">IFerror(INDEX(Papers!C$2:C$995,MATCH($A442, Papers!$A$2:$A$995,0)),"")</f>
        <v/>
      </c>
      <c r="C442" s="85" t="str">
        <f t="array" ref="C442">IFerror(INDEX(Papers!D$2:D$995,MATCH($A442, Papers!$A$2:$A$995,0)),"")</f>
        <v/>
      </c>
      <c r="D442" s="86" t="str">
        <f t="array" ref="D442">IFerror(INDEX(Papers!F$2:F$995,MATCH($A442, Papers!$A$2:$A$995,0)),"")</f>
        <v/>
      </c>
      <c r="E442" s="59" t="str">
        <f t="array" ref="E442">IFerror(INDEX(Papers!G$2:G$995,MATCH($A442, Papers!$A$2:$A$995,0)),"")</f>
        <v/>
      </c>
    </row>
    <row r="443">
      <c r="B443" s="85" t="str">
        <f t="array" ref="B443">IFerror(INDEX(Papers!C$2:C$995,MATCH($A443, Papers!$A$2:$A$995,0)),"")</f>
        <v/>
      </c>
      <c r="C443" s="85" t="str">
        <f t="array" ref="C443">IFerror(INDEX(Papers!D$2:D$995,MATCH($A443, Papers!$A$2:$A$995,0)),"")</f>
        <v/>
      </c>
      <c r="D443" s="86" t="str">
        <f t="array" ref="D443">IFerror(INDEX(Papers!F$2:F$995,MATCH($A443, Papers!$A$2:$A$995,0)),"")</f>
        <v/>
      </c>
      <c r="E443" s="59" t="str">
        <f t="array" ref="E443">IFerror(INDEX(Papers!G$2:G$995,MATCH($A443, Papers!$A$2:$A$995,0)),"")</f>
        <v/>
      </c>
    </row>
    <row r="444">
      <c r="B444" s="85" t="str">
        <f t="array" ref="B444">IFerror(INDEX(Papers!C$2:C$995,MATCH($A444, Papers!$A$2:$A$995,0)),"")</f>
        <v/>
      </c>
      <c r="C444" s="85" t="str">
        <f t="array" ref="C444">IFerror(INDEX(Papers!D$2:D$995,MATCH($A444, Papers!$A$2:$A$995,0)),"")</f>
        <v/>
      </c>
      <c r="D444" s="86" t="str">
        <f t="array" ref="D444">IFerror(INDEX(Papers!F$2:F$995,MATCH($A444, Papers!$A$2:$A$995,0)),"")</f>
        <v/>
      </c>
      <c r="E444" s="59" t="str">
        <f t="array" ref="E444">IFerror(INDEX(Papers!G$2:G$995,MATCH($A444, Papers!$A$2:$A$995,0)),"")</f>
        <v/>
      </c>
    </row>
    <row r="445">
      <c r="B445" s="85" t="str">
        <f t="array" ref="B445">IFerror(INDEX(Papers!C$2:C$995,MATCH($A445, Papers!$A$2:$A$995,0)),"")</f>
        <v/>
      </c>
      <c r="C445" s="85" t="str">
        <f t="array" ref="C445">IFerror(INDEX(Papers!D$2:D$995,MATCH($A445, Papers!$A$2:$A$995,0)),"")</f>
        <v/>
      </c>
      <c r="D445" s="86" t="str">
        <f t="array" ref="D445">IFerror(INDEX(Papers!F$2:F$995,MATCH($A445, Papers!$A$2:$A$995,0)),"")</f>
        <v/>
      </c>
      <c r="E445" s="59" t="str">
        <f t="array" ref="E445">IFerror(INDEX(Papers!G$2:G$995,MATCH($A445, Papers!$A$2:$A$995,0)),"")</f>
        <v/>
      </c>
    </row>
    <row r="446">
      <c r="B446" s="85" t="str">
        <f t="array" ref="B446">IFerror(INDEX(Papers!C$2:C$995,MATCH($A446, Papers!$A$2:$A$995,0)),"")</f>
        <v/>
      </c>
      <c r="C446" s="85" t="str">
        <f t="array" ref="C446">IFerror(INDEX(Papers!D$2:D$995,MATCH($A446, Papers!$A$2:$A$995,0)),"")</f>
        <v/>
      </c>
      <c r="D446" s="86" t="str">
        <f t="array" ref="D446">IFerror(INDEX(Papers!F$2:F$995,MATCH($A446, Papers!$A$2:$A$995,0)),"")</f>
        <v/>
      </c>
      <c r="E446" s="59" t="str">
        <f t="array" ref="E446">IFerror(INDEX(Papers!G$2:G$995,MATCH($A446, Papers!$A$2:$A$995,0)),"")</f>
        <v/>
      </c>
    </row>
    <row r="447">
      <c r="B447" s="85" t="str">
        <f t="array" ref="B447">IFerror(INDEX(Papers!C$2:C$995,MATCH($A447, Papers!$A$2:$A$995,0)),"")</f>
        <v/>
      </c>
      <c r="C447" s="85" t="str">
        <f t="array" ref="C447">IFerror(INDEX(Papers!D$2:D$995,MATCH($A447, Papers!$A$2:$A$995,0)),"")</f>
        <v/>
      </c>
      <c r="D447" s="86" t="str">
        <f t="array" ref="D447">IFerror(INDEX(Papers!F$2:F$995,MATCH($A447, Papers!$A$2:$A$995,0)),"")</f>
        <v/>
      </c>
      <c r="E447" s="59" t="str">
        <f t="array" ref="E447">IFerror(INDEX(Papers!G$2:G$995,MATCH($A447, Papers!$A$2:$A$995,0)),"")</f>
        <v/>
      </c>
    </row>
    <row r="448">
      <c r="B448" s="85" t="str">
        <f t="array" ref="B448">IFerror(INDEX(Papers!C$2:C$995,MATCH($A448, Papers!$A$2:$A$995,0)),"")</f>
        <v/>
      </c>
      <c r="C448" s="85" t="str">
        <f t="array" ref="C448">IFerror(INDEX(Papers!D$2:D$995,MATCH($A448, Papers!$A$2:$A$995,0)),"")</f>
        <v/>
      </c>
      <c r="D448" s="86" t="str">
        <f t="array" ref="D448">IFerror(INDEX(Papers!F$2:F$995,MATCH($A448, Papers!$A$2:$A$995,0)),"")</f>
        <v/>
      </c>
      <c r="E448" s="59" t="str">
        <f t="array" ref="E448">IFerror(INDEX(Papers!G$2:G$995,MATCH($A448, Papers!$A$2:$A$995,0)),"")</f>
        <v/>
      </c>
    </row>
    <row r="449">
      <c r="B449" s="85" t="str">
        <f t="array" ref="B449">IFerror(INDEX(Papers!C$2:C$995,MATCH($A449, Papers!$A$2:$A$995,0)),"")</f>
        <v/>
      </c>
      <c r="C449" s="85" t="str">
        <f t="array" ref="C449">IFerror(INDEX(Papers!D$2:D$995,MATCH($A449, Papers!$A$2:$A$995,0)),"")</f>
        <v/>
      </c>
      <c r="D449" s="86" t="str">
        <f t="array" ref="D449">IFerror(INDEX(Papers!F$2:F$995,MATCH($A449, Papers!$A$2:$A$995,0)),"")</f>
        <v/>
      </c>
      <c r="E449" s="59" t="str">
        <f t="array" ref="E449">IFerror(INDEX(Papers!G$2:G$995,MATCH($A449, Papers!$A$2:$A$995,0)),"")</f>
        <v/>
      </c>
    </row>
    <row r="450">
      <c r="B450" s="85" t="str">
        <f t="array" ref="B450">IFerror(INDEX(Papers!C$2:C$995,MATCH($A450, Papers!$A$2:$A$995,0)),"")</f>
        <v/>
      </c>
      <c r="C450" s="85" t="str">
        <f t="array" ref="C450">IFerror(INDEX(Papers!D$2:D$995,MATCH($A450, Papers!$A$2:$A$995,0)),"")</f>
        <v/>
      </c>
      <c r="D450" s="86" t="str">
        <f t="array" ref="D450">IFerror(INDEX(Papers!F$2:F$995,MATCH($A450, Papers!$A$2:$A$995,0)),"")</f>
        <v/>
      </c>
      <c r="E450" s="59" t="str">
        <f t="array" ref="E450">IFerror(INDEX(Papers!G$2:G$995,MATCH($A450, Papers!$A$2:$A$995,0)),"")</f>
        <v/>
      </c>
    </row>
    <row r="451">
      <c r="B451" s="85" t="str">
        <f t="array" ref="B451">IFerror(INDEX(Papers!C$2:C$995,MATCH($A451, Papers!$A$2:$A$995,0)),"")</f>
        <v/>
      </c>
      <c r="C451" s="85" t="str">
        <f t="array" ref="C451">IFerror(INDEX(Papers!D$2:D$995,MATCH($A451, Papers!$A$2:$A$995,0)),"")</f>
        <v/>
      </c>
      <c r="D451" s="86" t="str">
        <f t="array" ref="D451">IFerror(INDEX(Papers!F$2:F$995,MATCH($A451, Papers!$A$2:$A$995,0)),"")</f>
        <v/>
      </c>
      <c r="E451" s="59" t="str">
        <f t="array" ref="E451">IFerror(INDEX(Papers!G$2:G$995,MATCH($A451, Papers!$A$2:$A$995,0)),"")</f>
        <v/>
      </c>
    </row>
    <row r="452">
      <c r="B452" s="85" t="str">
        <f t="array" ref="B452">IFerror(INDEX(Papers!C$2:C$995,MATCH($A452, Papers!$A$2:$A$995,0)),"")</f>
        <v/>
      </c>
      <c r="C452" s="85" t="str">
        <f t="array" ref="C452">IFerror(INDEX(Papers!D$2:D$995,MATCH($A452, Papers!$A$2:$A$995,0)),"")</f>
        <v/>
      </c>
      <c r="D452" s="86" t="str">
        <f t="array" ref="D452">IFerror(INDEX(Papers!F$2:F$995,MATCH($A452, Papers!$A$2:$A$995,0)),"")</f>
        <v/>
      </c>
      <c r="E452" s="59" t="str">
        <f t="array" ref="E452">IFerror(INDEX(Papers!G$2:G$995,MATCH($A452, Papers!$A$2:$A$995,0)),"")</f>
        <v/>
      </c>
    </row>
    <row r="453">
      <c r="B453" s="85" t="str">
        <f t="array" ref="B453">IFerror(INDEX(Papers!C$2:C$995,MATCH($A453, Papers!$A$2:$A$995,0)),"")</f>
        <v/>
      </c>
      <c r="C453" s="85" t="str">
        <f t="array" ref="C453">IFerror(INDEX(Papers!D$2:D$995,MATCH($A453, Papers!$A$2:$A$995,0)),"")</f>
        <v/>
      </c>
      <c r="D453" s="86" t="str">
        <f t="array" ref="D453">IFerror(INDEX(Papers!F$2:F$995,MATCH($A453, Papers!$A$2:$A$995,0)),"")</f>
        <v/>
      </c>
      <c r="E453" s="59" t="str">
        <f t="array" ref="E453">IFerror(INDEX(Papers!G$2:G$995,MATCH($A453, Papers!$A$2:$A$995,0)),"")</f>
        <v/>
      </c>
    </row>
    <row r="454">
      <c r="B454" s="85" t="str">
        <f t="array" ref="B454">IFerror(INDEX(Papers!C$2:C$995,MATCH($A454, Papers!$A$2:$A$995,0)),"")</f>
        <v/>
      </c>
      <c r="C454" s="85" t="str">
        <f t="array" ref="C454">IFerror(INDEX(Papers!D$2:D$995,MATCH($A454, Papers!$A$2:$A$995,0)),"")</f>
        <v/>
      </c>
      <c r="D454" s="86" t="str">
        <f t="array" ref="D454">IFerror(INDEX(Papers!F$2:F$995,MATCH($A454, Papers!$A$2:$A$995,0)),"")</f>
        <v/>
      </c>
      <c r="E454" s="59" t="str">
        <f t="array" ref="E454">IFerror(INDEX(Papers!G$2:G$995,MATCH($A454, Papers!$A$2:$A$995,0)),"")</f>
        <v/>
      </c>
    </row>
    <row r="455">
      <c r="B455" s="85" t="str">
        <f t="array" ref="B455">IFerror(INDEX(Papers!C$2:C$995,MATCH($A455, Papers!$A$2:$A$995,0)),"")</f>
        <v/>
      </c>
      <c r="C455" s="85" t="str">
        <f t="array" ref="C455">IFerror(INDEX(Papers!D$2:D$995,MATCH($A455, Papers!$A$2:$A$995,0)),"")</f>
        <v/>
      </c>
      <c r="D455" s="86" t="str">
        <f t="array" ref="D455">IFerror(INDEX(Papers!F$2:F$995,MATCH($A455, Papers!$A$2:$A$995,0)),"")</f>
        <v/>
      </c>
      <c r="E455" s="59" t="str">
        <f t="array" ref="E455">IFerror(INDEX(Papers!G$2:G$995,MATCH($A455, Papers!$A$2:$A$995,0)),"")</f>
        <v/>
      </c>
    </row>
    <row r="456">
      <c r="B456" s="85" t="str">
        <f t="array" ref="B456">IFerror(INDEX(Papers!C$2:C$995,MATCH($A456, Papers!$A$2:$A$995,0)),"")</f>
        <v/>
      </c>
      <c r="C456" s="85" t="str">
        <f t="array" ref="C456">IFerror(INDEX(Papers!D$2:D$995,MATCH($A456, Papers!$A$2:$A$995,0)),"")</f>
        <v/>
      </c>
      <c r="D456" s="86" t="str">
        <f t="array" ref="D456">IFerror(INDEX(Papers!F$2:F$995,MATCH($A456, Papers!$A$2:$A$995,0)),"")</f>
        <v/>
      </c>
      <c r="E456" s="59" t="str">
        <f t="array" ref="E456">IFerror(INDEX(Papers!G$2:G$995,MATCH($A456, Papers!$A$2:$A$995,0)),"")</f>
        <v/>
      </c>
    </row>
    <row r="457">
      <c r="B457" s="85" t="str">
        <f t="array" ref="B457">IFerror(INDEX(Papers!C$2:C$995,MATCH($A457, Papers!$A$2:$A$995,0)),"")</f>
        <v/>
      </c>
      <c r="C457" s="85" t="str">
        <f t="array" ref="C457">IFerror(INDEX(Papers!D$2:D$995,MATCH($A457, Papers!$A$2:$A$995,0)),"")</f>
        <v/>
      </c>
      <c r="D457" s="86" t="str">
        <f t="array" ref="D457">IFerror(INDEX(Papers!F$2:F$995,MATCH($A457, Papers!$A$2:$A$995,0)),"")</f>
        <v/>
      </c>
      <c r="E457" s="59" t="str">
        <f t="array" ref="E457">IFerror(INDEX(Papers!G$2:G$995,MATCH($A457, Papers!$A$2:$A$995,0)),"")</f>
        <v/>
      </c>
    </row>
    <row r="458">
      <c r="B458" s="85" t="str">
        <f t="array" ref="B458">IFerror(INDEX(Papers!C$2:C$995,MATCH($A458, Papers!$A$2:$A$995,0)),"")</f>
        <v/>
      </c>
      <c r="C458" s="85" t="str">
        <f t="array" ref="C458">IFerror(INDEX(Papers!D$2:D$995,MATCH($A458, Papers!$A$2:$A$995,0)),"")</f>
        <v/>
      </c>
      <c r="D458" s="86" t="str">
        <f t="array" ref="D458">IFerror(INDEX(Papers!F$2:F$995,MATCH($A458, Papers!$A$2:$A$995,0)),"")</f>
        <v/>
      </c>
      <c r="E458" s="59" t="str">
        <f t="array" ref="E458">IFerror(INDEX(Papers!G$2:G$995,MATCH($A458, Papers!$A$2:$A$995,0)),"")</f>
        <v/>
      </c>
    </row>
    <row r="459">
      <c r="B459" s="85" t="str">
        <f t="array" ref="B459">IFerror(INDEX(Papers!C$2:C$995,MATCH($A459, Papers!$A$2:$A$995,0)),"")</f>
        <v/>
      </c>
      <c r="C459" s="85" t="str">
        <f t="array" ref="C459">IFerror(INDEX(Papers!D$2:D$995,MATCH($A459, Papers!$A$2:$A$995,0)),"")</f>
        <v/>
      </c>
      <c r="D459" s="86" t="str">
        <f t="array" ref="D459">IFerror(INDEX(Papers!F$2:F$995,MATCH($A459, Papers!$A$2:$A$995,0)),"")</f>
        <v/>
      </c>
      <c r="E459" s="59" t="str">
        <f t="array" ref="E459">IFerror(INDEX(Papers!G$2:G$995,MATCH($A459, Papers!$A$2:$A$995,0)),"")</f>
        <v/>
      </c>
    </row>
    <row r="460">
      <c r="B460" s="85" t="str">
        <f t="array" ref="B460">IFerror(INDEX(Papers!C$2:C$995,MATCH($A460, Papers!$A$2:$A$995,0)),"")</f>
        <v/>
      </c>
      <c r="C460" s="85" t="str">
        <f t="array" ref="C460">IFerror(INDEX(Papers!D$2:D$995,MATCH($A460, Papers!$A$2:$A$995,0)),"")</f>
        <v/>
      </c>
      <c r="D460" s="86" t="str">
        <f t="array" ref="D460">IFerror(INDEX(Papers!F$2:F$995,MATCH($A460, Papers!$A$2:$A$995,0)),"")</f>
        <v/>
      </c>
      <c r="E460" s="59" t="str">
        <f t="array" ref="E460">IFerror(INDEX(Papers!G$2:G$995,MATCH($A460, Papers!$A$2:$A$995,0)),"")</f>
        <v/>
      </c>
    </row>
    <row r="461">
      <c r="B461" s="85" t="str">
        <f t="array" ref="B461">IFerror(INDEX(Papers!C$2:C$995,MATCH($A461, Papers!$A$2:$A$995,0)),"")</f>
        <v/>
      </c>
      <c r="C461" s="85" t="str">
        <f t="array" ref="C461">IFerror(INDEX(Papers!D$2:D$995,MATCH($A461, Papers!$A$2:$A$995,0)),"")</f>
        <v/>
      </c>
      <c r="D461" s="86" t="str">
        <f t="array" ref="D461">IFerror(INDEX(Papers!F$2:F$995,MATCH($A461, Papers!$A$2:$A$995,0)),"")</f>
        <v/>
      </c>
      <c r="E461" s="59" t="str">
        <f t="array" ref="E461">IFerror(INDEX(Papers!G$2:G$995,MATCH($A461, Papers!$A$2:$A$995,0)),"")</f>
        <v/>
      </c>
    </row>
    <row r="462">
      <c r="B462" s="85" t="str">
        <f t="array" ref="B462">IFerror(INDEX(Papers!C$2:C$995,MATCH($A462, Papers!$A$2:$A$995,0)),"")</f>
        <v/>
      </c>
      <c r="C462" s="85" t="str">
        <f t="array" ref="C462">IFerror(INDEX(Papers!D$2:D$995,MATCH($A462, Papers!$A$2:$A$995,0)),"")</f>
        <v/>
      </c>
      <c r="D462" s="86" t="str">
        <f t="array" ref="D462">IFerror(INDEX(Papers!F$2:F$995,MATCH($A462, Papers!$A$2:$A$995,0)),"")</f>
        <v/>
      </c>
      <c r="E462" s="59" t="str">
        <f t="array" ref="E462">IFerror(INDEX(Papers!G$2:G$995,MATCH($A462, Papers!$A$2:$A$995,0)),"")</f>
        <v/>
      </c>
    </row>
    <row r="463">
      <c r="B463" s="85" t="str">
        <f t="array" ref="B463">IFerror(INDEX(Papers!C$2:C$995,MATCH($A463, Papers!$A$2:$A$995,0)),"")</f>
        <v/>
      </c>
      <c r="C463" s="85" t="str">
        <f t="array" ref="C463">IFerror(INDEX(Papers!D$2:D$995,MATCH($A463, Papers!$A$2:$A$995,0)),"")</f>
        <v/>
      </c>
      <c r="D463" s="86" t="str">
        <f t="array" ref="D463">IFerror(INDEX(Papers!F$2:F$995,MATCH($A463, Papers!$A$2:$A$995,0)),"")</f>
        <v/>
      </c>
      <c r="E463" s="59" t="str">
        <f t="array" ref="E463">IFerror(INDEX(Papers!G$2:G$995,MATCH($A463, Papers!$A$2:$A$995,0)),"")</f>
        <v/>
      </c>
    </row>
    <row r="464">
      <c r="B464" s="85" t="str">
        <f t="array" ref="B464">IFerror(INDEX(Papers!C$2:C$995,MATCH($A464, Papers!$A$2:$A$995,0)),"")</f>
        <v/>
      </c>
      <c r="C464" s="85" t="str">
        <f t="array" ref="C464">IFerror(INDEX(Papers!D$2:D$995,MATCH($A464, Papers!$A$2:$A$995,0)),"")</f>
        <v/>
      </c>
      <c r="D464" s="86" t="str">
        <f t="array" ref="D464">IFerror(INDEX(Papers!F$2:F$995,MATCH($A464, Papers!$A$2:$A$995,0)),"")</f>
        <v/>
      </c>
      <c r="E464" s="59" t="str">
        <f t="array" ref="E464">IFerror(INDEX(Papers!G$2:G$995,MATCH($A464, Papers!$A$2:$A$995,0)),"")</f>
        <v/>
      </c>
    </row>
    <row r="465">
      <c r="B465" s="85" t="str">
        <f t="array" ref="B465">IFerror(INDEX(Papers!C$2:C$995,MATCH($A465, Papers!$A$2:$A$995,0)),"")</f>
        <v/>
      </c>
      <c r="C465" s="85" t="str">
        <f t="array" ref="C465">IFerror(INDEX(Papers!D$2:D$995,MATCH($A465, Papers!$A$2:$A$995,0)),"")</f>
        <v/>
      </c>
      <c r="D465" s="86" t="str">
        <f t="array" ref="D465">IFerror(INDEX(Papers!F$2:F$995,MATCH($A465, Papers!$A$2:$A$995,0)),"")</f>
        <v/>
      </c>
      <c r="E465" s="59" t="str">
        <f t="array" ref="E465">IFerror(INDEX(Papers!G$2:G$995,MATCH($A465, Papers!$A$2:$A$995,0)),"")</f>
        <v/>
      </c>
    </row>
    <row r="466">
      <c r="B466" s="85" t="str">
        <f t="array" ref="B466">IFerror(INDEX(Papers!C$2:C$995,MATCH($A466, Papers!$A$2:$A$995,0)),"")</f>
        <v/>
      </c>
      <c r="C466" s="85" t="str">
        <f t="array" ref="C466">IFerror(INDEX(Papers!D$2:D$995,MATCH($A466, Papers!$A$2:$A$995,0)),"")</f>
        <v/>
      </c>
      <c r="D466" s="86" t="str">
        <f t="array" ref="D466">IFerror(INDEX(Papers!F$2:F$995,MATCH($A466, Papers!$A$2:$A$995,0)),"")</f>
        <v/>
      </c>
      <c r="E466" s="59" t="str">
        <f t="array" ref="E466">IFerror(INDEX(Papers!G$2:G$995,MATCH($A466, Papers!$A$2:$A$995,0)),"")</f>
        <v/>
      </c>
    </row>
    <row r="467">
      <c r="B467" s="85" t="str">
        <f t="array" ref="B467">IFerror(INDEX(Papers!C$2:C$995,MATCH($A467, Papers!$A$2:$A$995,0)),"")</f>
        <v/>
      </c>
      <c r="C467" s="85" t="str">
        <f t="array" ref="C467">IFerror(INDEX(Papers!D$2:D$995,MATCH($A467, Papers!$A$2:$A$995,0)),"")</f>
        <v/>
      </c>
      <c r="D467" s="86" t="str">
        <f t="array" ref="D467">IFerror(INDEX(Papers!F$2:F$995,MATCH($A467, Papers!$A$2:$A$995,0)),"")</f>
        <v/>
      </c>
      <c r="E467" s="59" t="str">
        <f t="array" ref="E467">IFerror(INDEX(Papers!G$2:G$995,MATCH($A467, Papers!$A$2:$A$995,0)),"")</f>
        <v/>
      </c>
    </row>
    <row r="468">
      <c r="B468" s="85" t="str">
        <f t="array" ref="B468">IFerror(INDEX(Papers!C$2:C$995,MATCH($A468, Papers!$A$2:$A$995,0)),"")</f>
        <v/>
      </c>
      <c r="C468" s="85" t="str">
        <f t="array" ref="C468">IFerror(INDEX(Papers!D$2:D$995,MATCH($A468, Papers!$A$2:$A$995,0)),"")</f>
        <v/>
      </c>
      <c r="D468" s="86" t="str">
        <f t="array" ref="D468">IFerror(INDEX(Papers!F$2:F$995,MATCH($A468, Papers!$A$2:$A$995,0)),"")</f>
        <v/>
      </c>
      <c r="E468" s="59" t="str">
        <f t="array" ref="E468">IFerror(INDEX(Papers!G$2:G$995,MATCH($A468, Papers!$A$2:$A$995,0)),"")</f>
        <v/>
      </c>
    </row>
    <row r="469">
      <c r="B469" s="85" t="str">
        <f t="array" ref="B469">IFerror(INDEX(Papers!C$2:C$995,MATCH($A469, Papers!$A$2:$A$995,0)),"")</f>
        <v/>
      </c>
      <c r="C469" s="85" t="str">
        <f t="array" ref="C469">IFerror(INDEX(Papers!D$2:D$995,MATCH($A469, Papers!$A$2:$A$995,0)),"")</f>
        <v/>
      </c>
      <c r="D469" s="86" t="str">
        <f t="array" ref="D469">IFerror(INDEX(Papers!F$2:F$995,MATCH($A469, Papers!$A$2:$A$995,0)),"")</f>
        <v/>
      </c>
      <c r="E469" s="59" t="str">
        <f t="array" ref="E469">IFerror(INDEX(Papers!G$2:G$995,MATCH($A469, Papers!$A$2:$A$995,0)),"")</f>
        <v/>
      </c>
    </row>
    <row r="470">
      <c r="B470" s="85" t="str">
        <f t="array" ref="B470">IFerror(INDEX(Papers!C$2:C$995,MATCH($A470, Papers!$A$2:$A$995,0)),"")</f>
        <v/>
      </c>
      <c r="C470" s="85" t="str">
        <f t="array" ref="C470">IFerror(INDEX(Papers!D$2:D$995,MATCH($A470, Papers!$A$2:$A$995,0)),"")</f>
        <v/>
      </c>
      <c r="D470" s="86" t="str">
        <f t="array" ref="D470">IFerror(INDEX(Papers!F$2:F$995,MATCH($A470, Papers!$A$2:$A$995,0)),"")</f>
        <v/>
      </c>
      <c r="E470" s="59" t="str">
        <f t="array" ref="E470">IFerror(INDEX(Papers!G$2:G$995,MATCH($A470, Papers!$A$2:$A$995,0)),"")</f>
        <v/>
      </c>
    </row>
    <row r="471">
      <c r="B471" s="85" t="str">
        <f t="array" ref="B471">IFerror(INDEX(Papers!C$2:C$995,MATCH($A471, Papers!$A$2:$A$995,0)),"")</f>
        <v/>
      </c>
      <c r="C471" s="85" t="str">
        <f t="array" ref="C471">IFerror(INDEX(Papers!D$2:D$995,MATCH($A471, Papers!$A$2:$A$995,0)),"")</f>
        <v/>
      </c>
      <c r="D471" s="86" t="str">
        <f t="array" ref="D471">IFerror(INDEX(Papers!F$2:F$995,MATCH($A471, Papers!$A$2:$A$995,0)),"")</f>
        <v/>
      </c>
      <c r="E471" s="59" t="str">
        <f t="array" ref="E471">IFerror(INDEX(Papers!G$2:G$995,MATCH($A471, Papers!$A$2:$A$995,0)),"")</f>
        <v/>
      </c>
    </row>
    <row r="472">
      <c r="B472" s="85" t="str">
        <f t="array" ref="B472">IFerror(INDEX(Papers!C$2:C$995,MATCH($A472, Papers!$A$2:$A$995,0)),"")</f>
        <v/>
      </c>
      <c r="C472" s="85" t="str">
        <f t="array" ref="C472">IFerror(INDEX(Papers!D$2:D$995,MATCH($A472, Papers!$A$2:$A$995,0)),"")</f>
        <v/>
      </c>
      <c r="D472" s="86" t="str">
        <f t="array" ref="D472">IFerror(INDEX(Papers!F$2:F$995,MATCH($A472, Papers!$A$2:$A$995,0)),"")</f>
        <v/>
      </c>
      <c r="E472" s="59" t="str">
        <f t="array" ref="E472">IFerror(INDEX(Papers!G$2:G$995,MATCH($A472, Papers!$A$2:$A$995,0)),"")</f>
        <v/>
      </c>
    </row>
    <row r="473">
      <c r="B473" s="85" t="str">
        <f t="array" ref="B473">IFerror(INDEX(Papers!C$2:C$995,MATCH($A473, Papers!$A$2:$A$995,0)),"")</f>
        <v/>
      </c>
      <c r="C473" s="85" t="str">
        <f t="array" ref="C473">IFerror(INDEX(Papers!D$2:D$995,MATCH($A473, Papers!$A$2:$A$995,0)),"")</f>
        <v/>
      </c>
      <c r="D473" s="86" t="str">
        <f t="array" ref="D473">IFerror(INDEX(Papers!F$2:F$995,MATCH($A473, Papers!$A$2:$A$995,0)),"")</f>
        <v/>
      </c>
      <c r="E473" s="59" t="str">
        <f t="array" ref="E473">IFerror(INDEX(Papers!G$2:G$995,MATCH($A473, Papers!$A$2:$A$995,0)),"")</f>
        <v/>
      </c>
    </row>
    <row r="474">
      <c r="B474" s="85" t="str">
        <f t="array" ref="B474">IFerror(INDEX(Papers!C$2:C$995,MATCH($A474, Papers!$A$2:$A$995,0)),"")</f>
        <v/>
      </c>
      <c r="C474" s="85" t="str">
        <f t="array" ref="C474">IFerror(INDEX(Papers!D$2:D$995,MATCH($A474, Papers!$A$2:$A$995,0)),"")</f>
        <v/>
      </c>
      <c r="D474" s="86" t="str">
        <f t="array" ref="D474">IFerror(INDEX(Papers!F$2:F$995,MATCH($A474, Papers!$A$2:$A$995,0)),"")</f>
        <v/>
      </c>
      <c r="E474" s="59" t="str">
        <f t="array" ref="E474">IFerror(INDEX(Papers!G$2:G$995,MATCH($A474, Papers!$A$2:$A$995,0)),"")</f>
        <v/>
      </c>
    </row>
    <row r="475">
      <c r="B475" s="85" t="str">
        <f t="array" ref="B475">IFerror(INDEX(Papers!C$2:C$995,MATCH($A475, Papers!$A$2:$A$995,0)),"")</f>
        <v/>
      </c>
      <c r="C475" s="85" t="str">
        <f t="array" ref="C475">IFerror(INDEX(Papers!D$2:D$995,MATCH($A475, Papers!$A$2:$A$995,0)),"")</f>
        <v/>
      </c>
      <c r="D475" s="86" t="str">
        <f t="array" ref="D475">IFerror(INDEX(Papers!F$2:F$995,MATCH($A475, Papers!$A$2:$A$995,0)),"")</f>
        <v/>
      </c>
      <c r="E475" s="59" t="str">
        <f t="array" ref="E475">IFerror(INDEX(Papers!G$2:G$995,MATCH($A475, Papers!$A$2:$A$995,0)),"")</f>
        <v/>
      </c>
    </row>
    <row r="476">
      <c r="B476" s="85" t="str">
        <f t="array" ref="B476">IFerror(INDEX(Papers!C$2:C$995,MATCH($A476, Papers!$A$2:$A$995,0)),"")</f>
        <v/>
      </c>
      <c r="C476" s="85" t="str">
        <f t="array" ref="C476">IFerror(INDEX(Papers!D$2:D$995,MATCH($A476, Papers!$A$2:$A$995,0)),"")</f>
        <v/>
      </c>
      <c r="D476" s="86" t="str">
        <f t="array" ref="D476">IFerror(INDEX(Papers!F$2:F$995,MATCH($A476, Papers!$A$2:$A$995,0)),"")</f>
        <v/>
      </c>
      <c r="E476" s="59" t="str">
        <f t="array" ref="E476">IFerror(INDEX(Papers!G$2:G$995,MATCH($A476, Papers!$A$2:$A$995,0)),"")</f>
        <v/>
      </c>
    </row>
    <row r="477">
      <c r="B477" s="85" t="str">
        <f t="array" ref="B477">IFerror(INDEX(Papers!C$2:C$995,MATCH($A477, Papers!$A$2:$A$995,0)),"")</f>
        <v/>
      </c>
      <c r="C477" s="85" t="str">
        <f t="array" ref="C477">IFerror(INDEX(Papers!D$2:D$995,MATCH($A477, Papers!$A$2:$A$995,0)),"")</f>
        <v/>
      </c>
      <c r="D477" s="86" t="str">
        <f t="array" ref="D477">IFerror(INDEX(Papers!F$2:F$995,MATCH($A477, Papers!$A$2:$A$995,0)),"")</f>
        <v/>
      </c>
      <c r="E477" s="59" t="str">
        <f t="array" ref="E477">IFerror(INDEX(Papers!G$2:G$995,MATCH($A477, Papers!$A$2:$A$995,0)),"")</f>
        <v/>
      </c>
    </row>
    <row r="478">
      <c r="B478" s="85" t="str">
        <f t="array" ref="B478">IFerror(INDEX(Papers!C$2:C$995,MATCH($A478, Papers!$A$2:$A$995,0)),"")</f>
        <v/>
      </c>
      <c r="C478" s="85" t="str">
        <f t="array" ref="C478">IFerror(INDEX(Papers!D$2:D$995,MATCH($A478, Papers!$A$2:$A$995,0)),"")</f>
        <v/>
      </c>
      <c r="D478" s="86" t="str">
        <f t="array" ref="D478">IFerror(INDEX(Papers!F$2:F$995,MATCH($A478, Papers!$A$2:$A$995,0)),"")</f>
        <v/>
      </c>
      <c r="E478" s="59" t="str">
        <f t="array" ref="E478">IFerror(INDEX(Papers!G$2:G$995,MATCH($A478, Papers!$A$2:$A$995,0)),"")</f>
        <v/>
      </c>
    </row>
    <row r="479">
      <c r="B479" s="85" t="str">
        <f t="array" ref="B479">IFerror(INDEX(Papers!C$2:C$995,MATCH($A479, Papers!$A$2:$A$995,0)),"")</f>
        <v/>
      </c>
      <c r="C479" s="85" t="str">
        <f t="array" ref="C479">IFerror(INDEX(Papers!D$2:D$995,MATCH($A479, Papers!$A$2:$A$995,0)),"")</f>
        <v/>
      </c>
      <c r="D479" s="86" t="str">
        <f t="array" ref="D479">IFerror(INDEX(Papers!F$2:F$995,MATCH($A479, Papers!$A$2:$A$995,0)),"")</f>
        <v/>
      </c>
      <c r="E479" s="59" t="str">
        <f t="array" ref="E479">IFerror(INDEX(Papers!G$2:G$995,MATCH($A479, Papers!$A$2:$A$995,0)),"")</f>
        <v/>
      </c>
    </row>
    <row r="480">
      <c r="B480" s="85" t="str">
        <f t="array" ref="B480">IFerror(INDEX(Papers!C$2:C$995,MATCH($A480, Papers!$A$2:$A$995,0)),"")</f>
        <v/>
      </c>
      <c r="C480" s="85" t="str">
        <f t="array" ref="C480">IFerror(INDEX(Papers!D$2:D$995,MATCH($A480, Papers!$A$2:$A$995,0)),"")</f>
        <v/>
      </c>
      <c r="D480" s="86" t="str">
        <f t="array" ref="D480">IFerror(INDEX(Papers!F$2:F$995,MATCH($A480, Papers!$A$2:$A$995,0)),"")</f>
        <v/>
      </c>
      <c r="E480" s="59" t="str">
        <f t="array" ref="E480">IFerror(INDEX(Papers!G$2:G$995,MATCH($A480, Papers!$A$2:$A$995,0)),"")</f>
        <v/>
      </c>
    </row>
    <row r="481">
      <c r="B481" s="85" t="str">
        <f t="array" ref="B481">IFerror(INDEX(Papers!C$2:C$995,MATCH($A481, Papers!$A$2:$A$995,0)),"")</f>
        <v/>
      </c>
      <c r="C481" s="85" t="str">
        <f t="array" ref="C481">IFerror(INDEX(Papers!D$2:D$995,MATCH($A481, Papers!$A$2:$A$995,0)),"")</f>
        <v/>
      </c>
      <c r="D481" s="86" t="str">
        <f t="array" ref="D481">IFerror(INDEX(Papers!F$2:F$995,MATCH($A481, Papers!$A$2:$A$995,0)),"")</f>
        <v/>
      </c>
      <c r="E481" s="59" t="str">
        <f t="array" ref="E481">IFerror(INDEX(Papers!G$2:G$995,MATCH($A481, Papers!$A$2:$A$995,0)),"")</f>
        <v/>
      </c>
    </row>
    <row r="482">
      <c r="B482" s="85" t="str">
        <f t="array" ref="B482">IFerror(INDEX(Papers!C$2:C$995,MATCH($A482, Papers!$A$2:$A$995,0)),"")</f>
        <v/>
      </c>
      <c r="C482" s="85" t="str">
        <f t="array" ref="C482">IFerror(INDEX(Papers!D$2:D$995,MATCH($A482, Papers!$A$2:$A$995,0)),"")</f>
        <v/>
      </c>
      <c r="D482" s="86" t="str">
        <f t="array" ref="D482">IFerror(INDEX(Papers!F$2:F$995,MATCH($A482, Papers!$A$2:$A$995,0)),"")</f>
        <v/>
      </c>
      <c r="E482" s="59" t="str">
        <f t="array" ref="E482">IFerror(INDEX(Papers!G$2:G$995,MATCH($A482, Papers!$A$2:$A$995,0)),"")</f>
        <v/>
      </c>
    </row>
    <row r="483">
      <c r="B483" s="85" t="str">
        <f t="array" ref="B483">IFerror(INDEX(Papers!C$2:C$995,MATCH($A483, Papers!$A$2:$A$995,0)),"")</f>
        <v/>
      </c>
      <c r="C483" s="85" t="str">
        <f t="array" ref="C483">IFerror(INDEX(Papers!D$2:D$995,MATCH($A483, Papers!$A$2:$A$995,0)),"")</f>
        <v/>
      </c>
      <c r="D483" s="86" t="str">
        <f t="array" ref="D483">IFerror(INDEX(Papers!F$2:F$995,MATCH($A483, Papers!$A$2:$A$995,0)),"")</f>
        <v/>
      </c>
      <c r="E483" s="59" t="str">
        <f t="array" ref="E483">IFerror(INDEX(Papers!G$2:G$995,MATCH($A483, Papers!$A$2:$A$995,0)),"")</f>
        <v/>
      </c>
    </row>
    <row r="484">
      <c r="B484" s="85" t="str">
        <f t="array" ref="B484">IFerror(INDEX(Papers!C$2:C$995,MATCH($A484, Papers!$A$2:$A$995,0)),"")</f>
        <v/>
      </c>
      <c r="C484" s="85" t="str">
        <f t="array" ref="C484">IFerror(INDEX(Papers!D$2:D$995,MATCH($A484, Papers!$A$2:$A$995,0)),"")</f>
        <v/>
      </c>
      <c r="D484" s="86" t="str">
        <f t="array" ref="D484">IFerror(INDEX(Papers!F$2:F$995,MATCH($A484, Papers!$A$2:$A$995,0)),"")</f>
        <v/>
      </c>
      <c r="E484" s="59" t="str">
        <f t="array" ref="E484">IFerror(INDEX(Papers!G$2:G$995,MATCH($A484, Papers!$A$2:$A$995,0)),"")</f>
        <v/>
      </c>
    </row>
    <row r="485">
      <c r="B485" s="85" t="str">
        <f t="array" ref="B485">IFerror(INDEX(Papers!C$2:C$995,MATCH($A485, Papers!$A$2:$A$995,0)),"")</f>
        <v/>
      </c>
      <c r="C485" s="85" t="str">
        <f t="array" ref="C485">IFerror(INDEX(Papers!D$2:D$995,MATCH($A485, Papers!$A$2:$A$995,0)),"")</f>
        <v/>
      </c>
      <c r="D485" s="86" t="str">
        <f t="array" ref="D485">IFerror(INDEX(Papers!F$2:F$995,MATCH($A485, Papers!$A$2:$A$995,0)),"")</f>
        <v/>
      </c>
      <c r="E485" s="59" t="str">
        <f t="array" ref="E485">IFerror(INDEX(Papers!G$2:G$995,MATCH($A485, Papers!$A$2:$A$995,0)),"")</f>
        <v/>
      </c>
    </row>
    <row r="486">
      <c r="B486" s="85" t="str">
        <f t="array" ref="B486">IFerror(INDEX(Papers!C$2:C$995,MATCH($A486, Papers!$A$2:$A$995,0)),"")</f>
        <v/>
      </c>
      <c r="C486" s="85" t="str">
        <f t="array" ref="C486">IFerror(INDEX(Papers!D$2:D$995,MATCH($A486, Papers!$A$2:$A$995,0)),"")</f>
        <v/>
      </c>
      <c r="D486" s="86" t="str">
        <f t="array" ref="D486">IFerror(INDEX(Papers!F$2:F$995,MATCH($A486, Papers!$A$2:$A$995,0)),"")</f>
        <v/>
      </c>
      <c r="E486" s="59" t="str">
        <f t="array" ref="E486">IFerror(INDEX(Papers!G$2:G$995,MATCH($A486, Papers!$A$2:$A$995,0)),"")</f>
        <v/>
      </c>
    </row>
    <row r="487">
      <c r="B487" s="85" t="str">
        <f t="array" ref="B487">IFerror(INDEX(Papers!C$2:C$995,MATCH($A487, Papers!$A$2:$A$995,0)),"")</f>
        <v/>
      </c>
      <c r="C487" s="85" t="str">
        <f t="array" ref="C487">IFerror(INDEX(Papers!D$2:D$995,MATCH($A487, Papers!$A$2:$A$995,0)),"")</f>
        <v/>
      </c>
      <c r="D487" s="86" t="str">
        <f t="array" ref="D487">IFerror(INDEX(Papers!F$2:F$995,MATCH($A487, Papers!$A$2:$A$995,0)),"")</f>
        <v/>
      </c>
      <c r="E487" s="59" t="str">
        <f t="array" ref="E487">IFerror(INDEX(Papers!G$2:G$995,MATCH($A487, Papers!$A$2:$A$995,0)),"")</f>
        <v/>
      </c>
    </row>
    <row r="488">
      <c r="B488" s="85" t="str">
        <f t="array" ref="B488">IFerror(INDEX(Papers!C$2:C$995,MATCH($A488, Papers!$A$2:$A$995,0)),"")</f>
        <v/>
      </c>
      <c r="C488" s="85" t="str">
        <f t="array" ref="C488">IFerror(INDEX(Papers!D$2:D$995,MATCH($A488, Papers!$A$2:$A$995,0)),"")</f>
        <v/>
      </c>
      <c r="D488" s="86" t="str">
        <f t="array" ref="D488">IFerror(INDEX(Papers!F$2:F$995,MATCH($A488, Papers!$A$2:$A$995,0)),"")</f>
        <v/>
      </c>
      <c r="E488" s="59" t="str">
        <f t="array" ref="E488">IFerror(INDEX(Papers!G$2:G$995,MATCH($A488, Papers!$A$2:$A$995,0)),"")</f>
        <v/>
      </c>
    </row>
    <row r="489">
      <c r="B489" s="85" t="str">
        <f t="array" ref="B489">IFerror(INDEX(Papers!C$2:C$995,MATCH($A489, Papers!$A$2:$A$995,0)),"")</f>
        <v/>
      </c>
      <c r="C489" s="85" t="str">
        <f t="array" ref="C489">IFerror(INDEX(Papers!D$2:D$995,MATCH($A489, Papers!$A$2:$A$995,0)),"")</f>
        <v/>
      </c>
      <c r="D489" s="86" t="str">
        <f t="array" ref="D489">IFerror(INDEX(Papers!F$2:F$995,MATCH($A489, Papers!$A$2:$A$995,0)),"")</f>
        <v/>
      </c>
      <c r="E489" s="59" t="str">
        <f t="array" ref="E489">IFerror(INDEX(Papers!G$2:G$995,MATCH($A489, Papers!$A$2:$A$995,0)),"")</f>
        <v/>
      </c>
    </row>
    <row r="490">
      <c r="B490" s="85" t="str">
        <f t="array" ref="B490">IFerror(INDEX(Papers!C$2:C$995,MATCH($A490, Papers!$A$2:$A$995,0)),"")</f>
        <v/>
      </c>
      <c r="C490" s="85" t="str">
        <f t="array" ref="C490">IFerror(INDEX(Papers!D$2:D$995,MATCH($A490, Papers!$A$2:$A$995,0)),"")</f>
        <v/>
      </c>
      <c r="D490" s="86" t="str">
        <f t="array" ref="D490">IFerror(INDEX(Papers!F$2:F$995,MATCH($A490, Papers!$A$2:$A$995,0)),"")</f>
        <v/>
      </c>
      <c r="E490" s="59" t="str">
        <f t="array" ref="E490">IFerror(INDEX(Papers!G$2:G$995,MATCH($A490, Papers!$A$2:$A$995,0)),"")</f>
        <v/>
      </c>
    </row>
    <row r="491">
      <c r="B491" s="85" t="str">
        <f t="array" ref="B491">IFerror(INDEX(Papers!C$2:C$995,MATCH($A491, Papers!$A$2:$A$995,0)),"")</f>
        <v/>
      </c>
      <c r="C491" s="85" t="str">
        <f t="array" ref="C491">IFerror(INDEX(Papers!D$2:D$995,MATCH($A491, Papers!$A$2:$A$995,0)),"")</f>
        <v/>
      </c>
      <c r="D491" s="86" t="str">
        <f t="array" ref="D491">IFerror(INDEX(Papers!F$2:F$995,MATCH($A491, Papers!$A$2:$A$995,0)),"")</f>
        <v/>
      </c>
      <c r="E491" s="59" t="str">
        <f t="array" ref="E491">IFerror(INDEX(Papers!G$2:G$995,MATCH($A491, Papers!$A$2:$A$995,0)),"")</f>
        <v/>
      </c>
    </row>
    <row r="492">
      <c r="B492" s="85" t="str">
        <f t="array" ref="B492">IFerror(INDEX(Papers!C$2:C$995,MATCH($A492, Papers!$A$2:$A$995,0)),"")</f>
        <v/>
      </c>
      <c r="C492" s="85" t="str">
        <f t="array" ref="C492">IFerror(INDEX(Papers!D$2:D$995,MATCH($A492, Papers!$A$2:$A$995,0)),"")</f>
        <v/>
      </c>
      <c r="D492" s="86" t="str">
        <f t="array" ref="D492">IFerror(INDEX(Papers!F$2:F$995,MATCH($A492, Papers!$A$2:$A$995,0)),"")</f>
        <v/>
      </c>
      <c r="E492" s="59" t="str">
        <f t="array" ref="E492">IFerror(INDEX(Papers!G$2:G$995,MATCH($A492, Papers!$A$2:$A$995,0)),"")</f>
        <v/>
      </c>
    </row>
    <row r="493">
      <c r="B493" s="85" t="str">
        <f t="array" ref="B493">IFerror(INDEX(Papers!C$2:C$995,MATCH($A493, Papers!$A$2:$A$995,0)),"")</f>
        <v/>
      </c>
      <c r="C493" s="85" t="str">
        <f t="array" ref="C493">IFerror(INDEX(Papers!D$2:D$995,MATCH($A493, Papers!$A$2:$A$995,0)),"")</f>
        <v/>
      </c>
      <c r="D493" s="86" t="str">
        <f t="array" ref="D493">IFerror(INDEX(Papers!F$2:F$995,MATCH($A493, Papers!$A$2:$A$995,0)),"")</f>
        <v/>
      </c>
      <c r="E493" s="59" t="str">
        <f t="array" ref="E493">IFerror(INDEX(Papers!G$2:G$995,MATCH($A493, Papers!$A$2:$A$995,0)),"")</f>
        <v/>
      </c>
    </row>
    <row r="494">
      <c r="B494" s="85" t="str">
        <f t="array" ref="B494">IFerror(INDEX(Papers!C$2:C$995,MATCH($A494, Papers!$A$2:$A$995,0)),"")</f>
        <v/>
      </c>
      <c r="C494" s="85" t="str">
        <f t="array" ref="C494">IFerror(INDEX(Papers!D$2:D$995,MATCH($A494, Papers!$A$2:$A$995,0)),"")</f>
        <v/>
      </c>
      <c r="D494" s="86" t="str">
        <f t="array" ref="D494">IFerror(INDEX(Papers!F$2:F$995,MATCH($A494, Papers!$A$2:$A$995,0)),"")</f>
        <v/>
      </c>
      <c r="E494" s="59" t="str">
        <f t="array" ref="E494">IFerror(INDEX(Papers!G$2:G$995,MATCH($A494, Papers!$A$2:$A$995,0)),"")</f>
        <v/>
      </c>
    </row>
    <row r="495">
      <c r="B495" s="85" t="str">
        <f t="array" ref="B495">IFerror(INDEX(Papers!C$2:C$995,MATCH($A495, Papers!$A$2:$A$995,0)),"")</f>
        <v/>
      </c>
      <c r="C495" s="85" t="str">
        <f t="array" ref="C495">IFerror(INDEX(Papers!D$2:D$995,MATCH($A495, Papers!$A$2:$A$995,0)),"")</f>
        <v/>
      </c>
      <c r="D495" s="86" t="str">
        <f t="array" ref="D495">IFerror(INDEX(Papers!F$2:F$995,MATCH($A495, Papers!$A$2:$A$995,0)),"")</f>
        <v/>
      </c>
      <c r="E495" s="59" t="str">
        <f t="array" ref="E495">IFerror(INDEX(Papers!G$2:G$995,MATCH($A495, Papers!$A$2:$A$995,0)),"")</f>
        <v/>
      </c>
    </row>
    <row r="496">
      <c r="B496" s="85" t="str">
        <f t="array" ref="B496">IFerror(INDEX(Papers!C$2:C$995,MATCH($A496, Papers!$A$2:$A$995,0)),"")</f>
        <v/>
      </c>
      <c r="C496" s="85" t="str">
        <f t="array" ref="C496">IFerror(INDEX(Papers!D$2:D$995,MATCH($A496, Papers!$A$2:$A$995,0)),"")</f>
        <v/>
      </c>
      <c r="D496" s="86" t="str">
        <f t="array" ref="D496">IFerror(INDEX(Papers!F$2:F$995,MATCH($A496, Papers!$A$2:$A$995,0)),"")</f>
        <v/>
      </c>
      <c r="E496" s="59" t="str">
        <f t="array" ref="E496">IFerror(INDEX(Papers!G$2:G$995,MATCH($A496, Papers!$A$2:$A$995,0)),"")</f>
        <v/>
      </c>
    </row>
    <row r="497">
      <c r="B497" s="85" t="str">
        <f t="array" ref="B497">IFerror(INDEX(Papers!C$2:C$995,MATCH($A497, Papers!$A$2:$A$995,0)),"")</f>
        <v/>
      </c>
      <c r="C497" s="85" t="str">
        <f t="array" ref="C497">IFerror(INDEX(Papers!D$2:D$995,MATCH($A497, Papers!$A$2:$A$995,0)),"")</f>
        <v/>
      </c>
      <c r="D497" s="86" t="str">
        <f t="array" ref="D497">IFerror(INDEX(Papers!F$2:F$995,MATCH($A497, Papers!$A$2:$A$995,0)),"")</f>
        <v/>
      </c>
      <c r="E497" s="59" t="str">
        <f t="array" ref="E497">IFerror(INDEX(Papers!G$2:G$995,MATCH($A497, Papers!$A$2:$A$995,0)),"")</f>
        <v/>
      </c>
    </row>
    <row r="498">
      <c r="B498" s="85" t="str">
        <f t="array" ref="B498">IFerror(INDEX(Papers!C$2:C$995,MATCH($A498, Papers!$A$2:$A$995,0)),"")</f>
        <v/>
      </c>
      <c r="C498" s="85" t="str">
        <f t="array" ref="C498">IFerror(INDEX(Papers!D$2:D$995,MATCH($A498, Papers!$A$2:$A$995,0)),"")</f>
        <v/>
      </c>
      <c r="D498" s="86" t="str">
        <f t="array" ref="D498">IFerror(INDEX(Papers!F$2:F$995,MATCH($A498, Papers!$A$2:$A$995,0)),"")</f>
        <v/>
      </c>
      <c r="E498" s="59" t="str">
        <f t="array" ref="E498">IFerror(INDEX(Papers!G$2:G$995,MATCH($A498, Papers!$A$2:$A$995,0)),"")</f>
        <v/>
      </c>
    </row>
    <row r="499">
      <c r="B499" s="85" t="str">
        <f t="array" ref="B499">IFerror(INDEX(Papers!C$2:C$995,MATCH($A499, Papers!$A$2:$A$995,0)),"")</f>
        <v/>
      </c>
      <c r="C499" s="85" t="str">
        <f t="array" ref="C499">IFerror(INDEX(Papers!D$2:D$995,MATCH($A499, Papers!$A$2:$A$995,0)),"")</f>
        <v/>
      </c>
      <c r="D499" s="86" t="str">
        <f t="array" ref="D499">IFerror(INDEX(Papers!F$2:F$995,MATCH($A499, Papers!$A$2:$A$995,0)),"")</f>
        <v/>
      </c>
      <c r="E499" s="59" t="str">
        <f t="array" ref="E499">IFerror(INDEX(Papers!G$2:G$995,MATCH($A499, Papers!$A$2:$A$995,0)),"")</f>
        <v/>
      </c>
    </row>
    <row r="500">
      <c r="B500" s="85" t="str">
        <f t="array" ref="B500">IFerror(INDEX(Papers!C$2:C$995,MATCH($A500, Papers!$A$2:$A$995,0)),"")</f>
        <v/>
      </c>
      <c r="C500" s="85" t="str">
        <f t="array" ref="C500">IFerror(INDEX(Papers!D$2:D$995,MATCH($A500, Papers!$A$2:$A$995,0)),"")</f>
        <v/>
      </c>
      <c r="D500" s="86" t="str">
        <f t="array" ref="D500">IFerror(INDEX(Papers!F$2:F$995,MATCH($A500, Papers!$A$2:$A$995,0)),"")</f>
        <v/>
      </c>
      <c r="E500" s="59" t="str">
        <f t="array" ref="E500">IFerror(INDEX(Papers!G$2:G$995,MATCH($A500, Papers!$A$2:$A$995,0)),"")</f>
        <v/>
      </c>
    </row>
    <row r="501">
      <c r="B501" s="85" t="str">
        <f t="array" ref="B501">IFerror(INDEX(Papers!C$2:C$995,MATCH($A501, Papers!$A$2:$A$995,0)),"")</f>
        <v/>
      </c>
      <c r="C501" s="85" t="str">
        <f t="array" ref="C501">IFerror(INDEX(Papers!D$2:D$995,MATCH($A501, Papers!$A$2:$A$995,0)),"")</f>
        <v/>
      </c>
      <c r="D501" s="86" t="str">
        <f t="array" ref="D501">IFerror(INDEX(Papers!F$2:F$995,MATCH($A501, Papers!$A$2:$A$995,0)),"")</f>
        <v/>
      </c>
      <c r="E501" s="59" t="str">
        <f t="array" ref="E501">IFerror(INDEX(Papers!G$2:G$995,MATCH($A501, Papers!$A$2:$A$995,0)),"")</f>
        <v/>
      </c>
    </row>
    <row r="502">
      <c r="B502" s="85" t="str">
        <f t="array" ref="B502">IFerror(INDEX(Papers!C$2:C$995,MATCH($A502, Papers!$A$2:$A$995,0)),"")</f>
        <v/>
      </c>
      <c r="C502" s="85" t="str">
        <f t="array" ref="C502">IFerror(INDEX(Papers!D$2:D$995,MATCH($A502, Papers!$A$2:$A$995,0)),"")</f>
        <v/>
      </c>
      <c r="D502" s="86" t="str">
        <f t="array" ref="D502">IFerror(INDEX(Papers!F$2:F$995,MATCH($A502, Papers!$A$2:$A$995,0)),"")</f>
        <v/>
      </c>
      <c r="E502" s="59" t="str">
        <f t="array" ref="E502">IFerror(INDEX(Papers!G$2:G$995,MATCH($A502, Papers!$A$2:$A$995,0)),"")</f>
        <v/>
      </c>
    </row>
    <row r="503">
      <c r="B503" s="85" t="str">
        <f t="array" ref="B503">IFerror(INDEX(Papers!C$2:C$995,MATCH($A503, Papers!$A$2:$A$995,0)),"")</f>
        <v/>
      </c>
      <c r="C503" s="85" t="str">
        <f t="array" ref="C503">IFerror(INDEX(Papers!D$2:D$995,MATCH($A503, Papers!$A$2:$A$995,0)),"")</f>
        <v/>
      </c>
      <c r="D503" s="86" t="str">
        <f t="array" ref="D503">IFerror(INDEX(Papers!F$2:F$995,MATCH($A503, Papers!$A$2:$A$995,0)),"")</f>
        <v/>
      </c>
      <c r="E503" s="59" t="str">
        <f t="array" ref="E503">IFerror(INDEX(Papers!G$2:G$995,MATCH($A503, Papers!$A$2:$A$995,0)),"")</f>
        <v/>
      </c>
    </row>
    <row r="504">
      <c r="B504" s="85" t="str">
        <f t="array" ref="B504">IFerror(INDEX(Papers!C$2:C$995,MATCH($A504, Papers!$A$2:$A$995,0)),"")</f>
        <v/>
      </c>
      <c r="C504" s="85" t="str">
        <f t="array" ref="C504">IFerror(INDEX(Papers!D$2:D$995,MATCH($A504, Papers!$A$2:$A$995,0)),"")</f>
        <v/>
      </c>
      <c r="D504" s="86" t="str">
        <f t="array" ref="D504">IFerror(INDEX(Papers!F$2:F$995,MATCH($A504, Papers!$A$2:$A$995,0)),"")</f>
        <v/>
      </c>
      <c r="E504" s="59" t="str">
        <f t="array" ref="E504">IFerror(INDEX(Papers!G$2:G$995,MATCH($A504, Papers!$A$2:$A$995,0)),"")</f>
        <v/>
      </c>
    </row>
    <row r="505">
      <c r="B505" s="85" t="str">
        <f t="array" ref="B505">IFerror(INDEX(Papers!C$2:C$995,MATCH($A505, Papers!$A$2:$A$995,0)),"")</f>
        <v/>
      </c>
      <c r="C505" s="85" t="str">
        <f t="array" ref="C505">IFerror(INDEX(Papers!D$2:D$995,MATCH($A505, Papers!$A$2:$A$995,0)),"")</f>
        <v/>
      </c>
      <c r="D505" s="86" t="str">
        <f t="array" ref="D505">IFerror(INDEX(Papers!F$2:F$995,MATCH($A505, Papers!$A$2:$A$995,0)),"")</f>
        <v/>
      </c>
      <c r="E505" s="59" t="str">
        <f t="array" ref="E505">IFerror(INDEX(Papers!G$2:G$995,MATCH($A505, Papers!$A$2:$A$995,0)),"")</f>
        <v/>
      </c>
    </row>
    <row r="506">
      <c r="B506" s="85" t="str">
        <f t="array" ref="B506">IFerror(INDEX(Papers!C$2:C$995,MATCH($A506, Papers!$A$2:$A$995,0)),"")</f>
        <v/>
      </c>
      <c r="C506" s="85" t="str">
        <f t="array" ref="C506">IFerror(INDEX(Papers!D$2:D$995,MATCH($A506, Papers!$A$2:$A$995,0)),"")</f>
        <v/>
      </c>
      <c r="D506" s="86" t="str">
        <f t="array" ref="D506">IFerror(INDEX(Papers!F$2:F$995,MATCH($A506, Papers!$A$2:$A$995,0)),"")</f>
        <v/>
      </c>
      <c r="E506" s="59" t="str">
        <f t="array" ref="E506">IFerror(INDEX(Papers!G$2:G$995,MATCH($A506, Papers!$A$2:$A$995,0)),"")</f>
        <v/>
      </c>
    </row>
    <row r="507">
      <c r="B507" s="85" t="str">
        <f t="array" ref="B507">IFerror(INDEX(Papers!C$2:C$995,MATCH($A507, Papers!$A$2:$A$995,0)),"")</f>
        <v/>
      </c>
      <c r="C507" s="85" t="str">
        <f t="array" ref="C507">IFerror(INDEX(Papers!D$2:D$995,MATCH($A507, Papers!$A$2:$A$995,0)),"")</f>
        <v/>
      </c>
      <c r="D507" s="86" t="str">
        <f t="array" ref="D507">IFerror(INDEX(Papers!F$2:F$995,MATCH($A507, Papers!$A$2:$A$995,0)),"")</f>
        <v/>
      </c>
      <c r="E507" s="59" t="str">
        <f t="array" ref="E507">IFerror(INDEX(Papers!G$2:G$995,MATCH($A507, Papers!$A$2:$A$995,0)),"")</f>
        <v/>
      </c>
    </row>
    <row r="508">
      <c r="B508" s="85" t="str">
        <f t="array" ref="B508">IFerror(INDEX(Papers!C$2:C$995,MATCH($A508, Papers!$A$2:$A$995,0)),"")</f>
        <v/>
      </c>
      <c r="C508" s="85" t="str">
        <f t="array" ref="C508">IFerror(INDEX(Papers!D$2:D$995,MATCH($A508, Papers!$A$2:$A$995,0)),"")</f>
        <v/>
      </c>
      <c r="D508" s="86" t="str">
        <f t="array" ref="D508">IFerror(INDEX(Papers!F$2:F$995,MATCH($A508, Papers!$A$2:$A$995,0)),"")</f>
        <v/>
      </c>
      <c r="E508" s="59" t="str">
        <f t="array" ref="E508">IFerror(INDEX(Papers!G$2:G$995,MATCH($A508, Papers!$A$2:$A$995,0)),"")</f>
        <v/>
      </c>
    </row>
    <row r="509">
      <c r="B509" s="85" t="str">
        <f t="array" ref="B509">IFerror(INDEX(Papers!C$2:C$995,MATCH($A509, Papers!$A$2:$A$995,0)),"")</f>
        <v/>
      </c>
      <c r="C509" s="85" t="str">
        <f t="array" ref="C509">IFerror(INDEX(Papers!D$2:D$995,MATCH($A509, Papers!$A$2:$A$995,0)),"")</f>
        <v/>
      </c>
      <c r="D509" s="86" t="str">
        <f t="array" ref="D509">IFerror(INDEX(Papers!F$2:F$995,MATCH($A509, Papers!$A$2:$A$995,0)),"")</f>
        <v/>
      </c>
      <c r="E509" s="59" t="str">
        <f t="array" ref="E509">IFerror(INDEX(Papers!G$2:G$995,MATCH($A509, Papers!$A$2:$A$995,0)),"")</f>
        <v/>
      </c>
    </row>
    <row r="510">
      <c r="B510" s="85" t="str">
        <f t="array" ref="B510">IFerror(INDEX(Papers!C$2:C$995,MATCH($A510, Papers!$A$2:$A$995,0)),"")</f>
        <v/>
      </c>
      <c r="C510" s="85" t="str">
        <f t="array" ref="C510">IFerror(INDEX(Papers!D$2:D$995,MATCH($A510, Papers!$A$2:$A$995,0)),"")</f>
        <v/>
      </c>
      <c r="D510" s="86" t="str">
        <f t="array" ref="D510">IFerror(INDEX(Papers!F$2:F$995,MATCH($A510, Papers!$A$2:$A$995,0)),"")</f>
        <v/>
      </c>
      <c r="E510" s="59" t="str">
        <f t="array" ref="E510">IFerror(INDEX(Papers!G$2:G$995,MATCH($A510, Papers!$A$2:$A$995,0)),"")</f>
        <v/>
      </c>
    </row>
    <row r="511">
      <c r="B511" s="85" t="str">
        <f t="array" ref="B511">IFerror(INDEX(Papers!C$2:C$995,MATCH($A511, Papers!$A$2:$A$995,0)),"")</f>
        <v/>
      </c>
      <c r="C511" s="85" t="str">
        <f t="array" ref="C511">IFerror(INDEX(Papers!D$2:D$995,MATCH($A511, Papers!$A$2:$A$995,0)),"")</f>
        <v/>
      </c>
      <c r="D511" s="86" t="str">
        <f t="array" ref="D511">IFerror(INDEX(Papers!F$2:F$995,MATCH($A511, Papers!$A$2:$A$995,0)),"")</f>
        <v/>
      </c>
      <c r="E511" s="59" t="str">
        <f t="array" ref="E511">IFerror(INDEX(Papers!G$2:G$995,MATCH($A511, Papers!$A$2:$A$995,0)),"")</f>
        <v/>
      </c>
    </row>
    <row r="512">
      <c r="B512" s="85" t="str">
        <f t="array" ref="B512">IFerror(INDEX(Papers!C$2:C$995,MATCH($A512, Papers!$A$2:$A$995,0)),"")</f>
        <v/>
      </c>
      <c r="C512" s="85" t="str">
        <f t="array" ref="C512">IFerror(INDEX(Papers!D$2:D$995,MATCH($A512, Papers!$A$2:$A$995,0)),"")</f>
        <v/>
      </c>
      <c r="D512" s="86" t="str">
        <f t="array" ref="D512">IFerror(INDEX(Papers!F$2:F$995,MATCH($A512, Papers!$A$2:$A$995,0)),"")</f>
        <v/>
      </c>
      <c r="E512" s="59" t="str">
        <f t="array" ref="E512">IFerror(INDEX(Papers!G$2:G$995,MATCH($A512, Papers!$A$2:$A$995,0)),"")</f>
        <v/>
      </c>
    </row>
    <row r="513">
      <c r="B513" s="85" t="str">
        <f t="array" ref="B513">IFerror(INDEX(Papers!C$2:C$995,MATCH($A513, Papers!$A$2:$A$995,0)),"")</f>
        <v/>
      </c>
      <c r="C513" s="85" t="str">
        <f t="array" ref="C513">IFerror(INDEX(Papers!D$2:D$995,MATCH($A513, Papers!$A$2:$A$995,0)),"")</f>
        <v/>
      </c>
      <c r="D513" s="86" t="str">
        <f t="array" ref="D513">IFerror(INDEX(Papers!F$2:F$995,MATCH($A513, Papers!$A$2:$A$995,0)),"")</f>
        <v/>
      </c>
      <c r="E513" s="59" t="str">
        <f t="array" ref="E513">IFerror(INDEX(Papers!G$2:G$995,MATCH($A513, Papers!$A$2:$A$995,0)),"")</f>
        <v/>
      </c>
    </row>
    <row r="514">
      <c r="B514" s="85" t="str">
        <f t="array" ref="B514">IFerror(INDEX(Papers!C$2:C$995,MATCH($A514, Papers!$A$2:$A$995,0)),"")</f>
        <v/>
      </c>
      <c r="C514" s="85" t="str">
        <f t="array" ref="C514">IFerror(INDEX(Papers!D$2:D$995,MATCH($A514, Papers!$A$2:$A$995,0)),"")</f>
        <v/>
      </c>
      <c r="D514" s="86" t="str">
        <f t="array" ref="D514">IFerror(INDEX(Papers!F$2:F$995,MATCH($A514, Papers!$A$2:$A$995,0)),"")</f>
        <v/>
      </c>
      <c r="E514" s="59" t="str">
        <f t="array" ref="E514">IFerror(INDEX(Papers!G$2:G$995,MATCH($A514, Papers!$A$2:$A$995,0)),"")</f>
        <v/>
      </c>
    </row>
    <row r="515">
      <c r="B515" s="85" t="str">
        <f t="array" ref="B515">IFerror(INDEX(Papers!C$2:C$995,MATCH($A515, Papers!$A$2:$A$995,0)),"")</f>
        <v/>
      </c>
      <c r="C515" s="85" t="str">
        <f t="array" ref="C515">IFerror(INDEX(Papers!D$2:D$995,MATCH($A515, Papers!$A$2:$A$995,0)),"")</f>
        <v/>
      </c>
      <c r="D515" s="86" t="str">
        <f t="array" ref="D515">IFerror(INDEX(Papers!F$2:F$995,MATCH($A515, Papers!$A$2:$A$995,0)),"")</f>
        <v/>
      </c>
      <c r="E515" s="59" t="str">
        <f t="array" ref="E515">IFerror(INDEX(Papers!G$2:G$995,MATCH($A515, Papers!$A$2:$A$995,0)),"")</f>
        <v/>
      </c>
    </row>
    <row r="516">
      <c r="B516" s="85" t="str">
        <f t="array" ref="B516">IFerror(INDEX(Papers!C$2:C$995,MATCH($A516, Papers!$A$2:$A$995,0)),"")</f>
        <v/>
      </c>
      <c r="C516" s="85" t="str">
        <f t="array" ref="C516">IFerror(INDEX(Papers!D$2:D$995,MATCH($A516, Papers!$A$2:$A$995,0)),"")</f>
        <v/>
      </c>
      <c r="D516" s="86" t="str">
        <f t="array" ref="D516">IFerror(INDEX(Papers!F$2:F$995,MATCH($A516, Papers!$A$2:$A$995,0)),"")</f>
        <v/>
      </c>
      <c r="E516" s="59" t="str">
        <f t="array" ref="E516">IFerror(INDEX(Papers!G$2:G$995,MATCH($A516, Papers!$A$2:$A$995,0)),"")</f>
        <v/>
      </c>
    </row>
    <row r="517">
      <c r="B517" s="85" t="str">
        <f t="array" ref="B517">IFerror(INDEX(Papers!C$2:C$995,MATCH($A517, Papers!$A$2:$A$995,0)),"")</f>
        <v/>
      </c>
      <c r="C517" s="85" t="str">
        <f t="array" ref="C517">IFerror(INDEX(Papers!D$2:D$995,MATCH($A517, Papers!$A$2:$A$995,0)),"")</f>
        <v/>
      </c>
      <c r="D517" s="86" t="str">
        <f t="array" ref="D517">IFerror(INDEX(Papers!F$2:F$995,MATCH($A517, Papers!$A$2:$A$995,0)),"")</f>
        <v/>
      </c>
      <c r="E517" s="59" t="str">
        <f t="array" ref="E517">IFerror(INDEX(Papers!G$2:G$995,MATCH($A517, Papers!$A$2:$A$995,0)),"")</f>
        <v/>
      </c>
    </row>
    <row r="518">
      <c r="B518" s="85" t="str">
        <f t="array" ref="B518">IFerror(INDEX(Papers!C$2:C$995,MATCH($A518, Papers!$A$2:$A$995,0)),"")</f>
        <v/>
      </c>
      <c r="C518" s="85" t="str">
        <f t="array" ref="C518">IFerror(INDEX(Papers!D$2:D$995,MATCH($A518, Papers!$A$2:$A$995,0)),"")</f>
        <v/>
      </c>
      <c r="D518" s="86" t="str">
        <f t="array" ref="D518">IFerror(INDEX(Papers!F$2:F$995,MATCH($A518, Papers!$A$2:$A$995,0)),"")</f>
        <v/>
      </c>
      <c r="E518" s="59" t="str">
        <f t="array" ref="E518">IFerror(INDEX(Papers!G$2:G$995,MATCH($A518, Papers!$A$2:$A$995,0)),"")</f>
        <v/>
      </c>
    </row>
    <row r="519">
      <c r="B519" s="85" t="str">
        <f t="array" ref="B519">IFerror(INDEX(Papers!C$2:C$995,MATCH($A519, Papers!$A$2:$A$995,0)),"")</f>
        <v/>
      </c>
      <c r="C519" s="85" t="str">
        <f t="array" ref="C519">IFerror(INDEX(Papers!D$2:D$995,MATCH($A519, Papers!$A$2:$A$995,0)),"")</f>
        <v/>
      </c>
      <c r="D519" s="86" t="str">
        <f t="array" ref="D519">IFerror(INDEX(Papers!F$2:F$995,MATCH($A519, Papers!$A$2:$A$995,0)),"")</f>
        <v/>
      </c>
      <c r="E519" s="59" t="str">
        <f t="array" ref="E519">IFerror(INDEX(Papers!G$2:G$995,MATCH($A519, Papers!$A$2:$A$995,0)),"")</f>
        <v/>
      </c>
    </row>
    <row r="520">
      <c r="B520" s="85" t="str">
        <f t="array" ref="B520">IFerror(INDEX(Papers!C$2:C$995,MATCH($A520, Papers!$A$2:$A$995,0)),"")</f>
        <v/>
      </c>
      <c r="C520" s="85" t="str">
        <f t="array" ref="C520">IFerror(INDEX(Papers!D$2:D$995,MATCH($A520, Papers!$A$2:$A$995,0)),"")</f>
        <v/>
      </c>
      <c r="D520" s="86" t="str">
        <f t="array" ref="D520">IFerror(INDEX(Papers!F$2:F$995,MATCH($A520, Papers!$A$2:$A$995,0)),"")</f>
        <v/>
      </c>
      <c r="E520" s="59" t="str">
        <f t="array" ref="E520">IFerror(INDEX(Papers!G$2:G$995,MATCH($A520, Papers!$A$2:$A$995,0)),"")</f>
        <v/>
      </c>
    </row>
    <row r="521">
      <c r="B521" s="85" t="str">
        <f t="array" ref="B521">IFerror(INDEX(Papers!C$2:C$995,MATCH($A521, Papers!$A$2:$A$995,0)),"")</f>
        <v/>
      </c>
      <c r="C521" s="85" t="str">
        <f t="array" ref="C521">IFerror(INDEX(Papers!D$2:D$995,MATCH($A521, Papers!$A$2:$A$995,0)),"")</f>
        <v/>
      </c>
      <c r="D521" s="86" t="str">
        <f t="array" ref="D521">IFerror(INDEX(Papers!F$2:F$995,MATCH($A521, Papers!$A$2:$A$995,0)),"")</f>
        <v/>
      </c>
      <c r="E521" s="59" t="str">
        <f t="array" ref="E521">IFerror(INDEX(Papers!G$2:G$995,MATCH($A521, Papers!$A$2:$A$995,0)),"")</f>
        <v/>
      </c>
    </row>
    <row r="522">
      <c r="B522" s="85" t="str">
        <f t="array" ref="B522">IFerror(INDEX(Papers!C$2:C$995,MATCH($A522, Papers!$A$2:$A$995,0)),"")</f>
        <v/>
      </c>
      <c r="C522" s="85" t="str">
        <f t="array" ref="C522">IFerror(INDEX(Papers!D$2:D$995,MATCH($A522, Papers!$A$2:$A$995,0)),"")</f>
        <v/>
      </c>
      <c r="D522" s="86" t="str">
        <f t="array" ref="D522">IFerror(INDEX(Papers!F$2:F$995,MATCH($A522, Papers!$A$2:$A$995,0)),"")</f>
        <v/>
      </c>
      <c r="E522" s="59" t="str">
        <f t="array" ref="E522">IFerror(INDEX(Papers!G$2:G$995,MATCH($A522, Papers!$A$2:$A$995,0)),"")</f>
        <v/>
      </c>
    </row>
    <row r="523">
      <c r="B523" s="85" t="str">
        <f t="array" ref="B523">IFerror(INDEX(Papers!C$2:C$995,MATCH($A523, Papers!$A$2:$A$995,0)),"")</f>
        <v/>
      </c>
      <c r="C523" s="85" t="str">
        <f t="array" ref="C523">IFerror(INDEX(Papers!D$2:D$995,MATCH($A523, Papers!$A$2:$A$995,0)),"")</f>
        <v/>
      </c>
      <c r="D523" s="86" t="str">
        <f t="array" ref="D523">IFerror(INDEX(Papers!F$2:F$995,MATCH($A523, Papers!$A$2:$A$995,0)),"")</f>
        <v/>
      </c>
      <c r="E523" s="59" t="str">
        <f t="array" ref="E523">IFerror(INDEX(Papers!G$2:G$995,MATCH($A523, Papers!$A$2:$A$995,0)),"")</f>
        <v/>
      </c>
    </row>
    <row r="524">
      <c r="B524" s="85" t="str">
        <f t="array" ref="B524">IFerror(INDEX(Papers!C$2:C$995,MATCH($A524, Papers!$A$2:$A$995,0)),"")</f>
        <v/>
      </c>
      <c r="C524" s="85" t="str">
        <f t="array" ref="C524">IFerror(INDEX(Papers!D$2:D$995,MATCH($A524, Papers!$A$2:$A$995,0)),"")</f>
        <v/>
      </c>
      <c r="D524" s="86" t="str">
        <f t="array" ref="D524">IFerror(INDEX(Papers!F$2:F$995,MATCH($A524, Papers!$A$2:$A$995,0)),"")</f>
        <v/>
      </c>
      <c r="E524" s="59" t="str">
        <f t="array" ref="E524">IFerror(INDEX(Papers!G$2:G$995,MATCH($A524, Papers!$A$2:$A$995,0)),"")</f>
        <v/>
      </c>
    </row>
    <row r="525">
      <c r="B525" s="85" t="str">
        <f t="array" ref="B525">IFerror(INDEX(Papers!C$2:C$995,MATCH($A525, Papers!$A$2:$A$995,0)),"")</f>
        <v/>
      </c>
      <c r="C525" s="85" t="str">
        <f t="array" ref="C525">IFerror(INDEX(Papers!D$2:D$995,MATCH($A525, Papers!$A$2:$A$995,0)),"")</f>
        <v/>
      </c>
      <c r="D525" s="86" t="str">
        <f t="array" ref="D525">IFerror(INDEX(Papers!F$2:F$995,MATCH($A525, Papers!$A$2:$A$995,0)),"")</f>
        <v/>
      </c>
      <c r="E525" s="59" t="str">
        <f t="array" ref="E525">IFerror(INDEX(Papers!G$2:G$995,MATCH($A525, Papers!$A$2:$A$995,0)),"")</f>
        <v/>
      </c>
    </row>
    <row r="526">
      <c r="B526" s="85" t="str">
        <f t="array" ref="B526">IFerror(INDEX(Papers!C$2:C$995,MATCH($A526, Papers!$A$2:$A$995,0)),"")</f>
        <v/>
      </c>
      <c r="C526" s="85" t="str">
        <f t="array" ref="C526">IFerror(INDEX(Papers!D$2:D$995,MATCH($A526, Papers!$A$2:$A$995,0)),"")</f>
        <v/>
      </c>
      <c r="D526" s="86" t="str">
        <f t="array" ref="D526">IFerror(INDEX(Papers!F$2:F$995,MATCH($A526, Papers!$A$2:$A$995,0)),"")</f>
        <v/>
      </c>
      <c r="E526" s="59" t="str">
        <f t="array" ref="E526">IFerror(INDEX(Papers!G$2:G$995,MATCH($A526, Papers!$A$2:$A$995,0)),"")</f>
        <v/>
      </c>
    </row>
    <row r="527">
      <c r="B527" s="85" t="str">
        <f t="array" ref="B527">IFerror(INDEX(Papers!C$2:C$995,MATCH($A527, Papers!$A$2:$A$995,0)),"")</f>
        <v/>
      </c>
      <c r="C527" s="85" t="str">
        <f t="array" ref="C527">IFerror(INDEX(Papers!D$2:D$995,MATCH($A527, Papers!$A$2:$A$995,0)),"")</f>
        <v/>
      </c>
      <c r="D527" s="86" t="str">
        <f t="array" ref="D527">IFerror(INDEX(Papers!F$2:F$995,MATCH($A527, Papers!$A$2:$A$995,0)),"")</f>
        <v/>
      </c>
      <c r="E527" s="59" t="str">
        <f t="array" ref="E527">IFerror(INDEX(Papers!G$2:G$995,MATCH($A527, Papers!$A$2:$A$995,0)),"")</f>
        <v/>
      </c>
    </row>
    <row r="528">
      <c r="B528" s="85" t="str">
        <f t="array" ref="B528">IFerror(INDEX(Papers!C$2:C$995,MATCH($A528, Papers!$A$2:$A$995,0)),"")</f>
        <v/>
      </c>
      <c r="C528" s="85" t="str">
        <f t="array" ref="C528">IFerror(INDEX(Papers!D$2:D$995,MATCH($A528, Papers!$A$2:$A$995,0)),"")</f>
        <v/>
      </c>
      <c r="D528" s="86" t="str">
        <f t="array" ref="D528">IFerror(INDEX(Papers!F$2:F$995,MATCH($A528, Papers!$A$2:$A$995,0)),"")</f>
        <v/>
      </c>
      <c r="E528" s="59" t="str">
        <f t="array" ref="E528">IFerror(INDEX(Papers!G$2:G$995,MATCH($A528, Papers!$A$2:$A$995,0)),"")</f>
        <v/>
      </c>
    </row>
    <row r="529">
      <c r="B529" s="85" t="str">
        <f t="array" ref="B529">IFerror(INDEX(Papers!C$2:C$995,MATCH($A529, Papers!$A$2:$A$995,0)),"")</f>
        <v/>
      </c>
      <c r="C529" s="85" t="str">
        <f t="array" ref="C529">IFerror(INDEX(Papers!D$2:D$995,MATCH($A529, Papers!$A$2:$A$995,0)),"")</f>
        <v/>
      </c>
      <c r="D529" s="86" t="str">
        <f t="array" ref="D529">IFerror(INDEX(Papers!F$2:F$995,MATCH($A529, Papers!$A$2:$A$995,0)),"")</f>
        <v/>
      </c>
      <c r="E529" s="59" t="str">
        <f t="array" ref="E529">IFerror(INDEX(Papers!G$2:G$995,MATCH($A529, Papers!$A$2:$A$995,0)),"")</f>
        <v/>
      </c>
    </row>
    <row r="530">
      <c r="B530" s="85" t="str">
        <f t="array" ref="B530">IFerror(INDEX(Papers!C$2:C$995,MATCH($A530, Papers!$A$2:$A$995,0)),"")</f>
        <v/>
      </c>
      <c r="C530" s="85" t="str">
        <f t="array" ref="C530">IFerror(INDEX(Papers!D$2:D$995,MATCH($A530, Papers!$A$2:$A$995,0)),"")</f>
        <v/>
      </c>
      <c r="D530" s="86" t="str">
        <f t="array" ref="D530">IFerror(INDEX(Papers!F$2:F$995,MATCH($A530, Papers!$A$2:$A$995,0)),"")</f>
        <v/>
      </c>
      <c r="E530" s="59" t="str">
        <f t="array" ref="E530">IFerror(INDEX(Papers!G$2:G$995,MATCH($A530, Papers!$A$2:$A$995,0)),"")</f>
        <v/>
      </c>
    </row>
    <row r="531">
      <c r="B531" s="85" t="str">
        <f t="array" ref="B531">IFerror(INDEX(Papers!C$2:C$995,MATCH($A531, Papers!$A$2:$A$995,0)),"")</f>
        <v/>
      </c>
      <c r="C531" s="85" t="str">
        <f t="array" ref="C531">IFerror(INDEX(Papers!D$2:D$995,MATCH($A531, Papers!$A$2:$A$995,0)),"")</f>
        <v/>
      </c>
      <c r="D531" s="86" t="str">
        <f t="array" ref="D531">IFerror(INDEX(Papers!F$2:F$995,MATCH($A531, Papers!$A$2:$A$995,0)),"")</f>
        <v/>
      </c>
      <c r="E531" s="59" t="str">
        <f t="array" ref="E531">IFerror(INDEX(Papers!G$2:G$995,MATCH($A531, Papers!$A$2:$A$995,0)),"")</f>
        <v/>
      </c>
    </row>
    <row r="532">
      <c r="B532" s="85" t="str">
        <f t="array" ref="B532">IFerror(INDEX(Papers!C$2:C$995,MATCH($A532, Papers!$A$2:$A$995,0)),"")</f>
        <v/>
      </c>
      <c r="C532" s="85" t="str">
        <f t="array" ref="C532">IFerror(INDEX(Papers!D$2:D$995,MATCH($A532, Papers!$A$2:$A$995,0)),"")</f>
        <v/>
      </c>
      <c r="D532" s="86" t="str">
        <f t="array" ref="D532">IFerror(INDEX(Papers!F$2:F$995,MATCH($A532, Papers!$A$2:$A$995,0)),"")</f>
        <v/>
      </c>
      <c r="E532" s="59" t="str">
        <f t="array" ref="E532">IFerror(INDEX(Papers!G$2:G$995,MATCH($A532, Papers!$A$2:$A$995,0)),"")</f>
        <v/>
      </c>
    </row>
    <row r="533">
      <c r="B533" s="85" t="str">
        <f t="array" ref="B533">IFerror(INDEX(Papers!C$2:C$995,MATCH($A533, Papers!$A$2:$A$995,0)),"")</f>
        <v/>
      </c>
      <c r="C533" s="85" t="str">
        <f t="array" ref="C533">IFerror(INDEX(Papers!D$2:D$995,MATCH($A533, Papers!$A$2:$A$995,0)),"")</f>
        <v/>
      </c>
      <c r="D533" s="86" t="str">
        <f t="array" ref="D533">IFerror(INDEX(Papers!F$2:F$995,MATCH($A533, Papers!$A$2:$A$995,0)),"")</f>
        <v/>
      </c>
      <c r="E533" s="59" t="str">
        <f t="array" ref="E533">IFerror(INDEX(Papers!G$2:G$995,MATCH($A533, Papers!$A$2:$A$995,0)),"")</f>
        <v/>
      </c>
    </row>
    <row r="534">
      <c r="B534" s="85" t="str">
        <f t="array" ref="B534">IFerror(INDEX(Papers!C$2:C$995,MATCH($A534, Papers!$A$2:$A$995,0)),"")</f>
        <v/>
      </c>
      <c r="C534" s="85" t="str">
        <f t="array" ref="C534">IFerror(INDEX(Papers!D$2:D$995,MATCH($A534, Papers!$A$2:$A$995,0)),"")</f>
        <v/>
      </c>
      <c r="D534" s="86" t="str">
        <f t="array" ref="D534">IFerror(INDEX(Papers!F$2:F$995,MATCH($A534, Papers!$A$2:$A$995,0)),"")</f>
        <v/>
      </c>
      <c r="E534" s="59" t="str">
        <f t="array" ref="E534">IFerror(INDEX(Papers!G$2:G$995,MATCH($A534, Papers!$A$2:$A$995,0)),"")</f>
        <v/>
      </c>
    </row>
    <row r="535">
      <c r="B535" s="85" t="str">
        <f t="array" ref="B535">IFerror(INDEX(Papers!C$2:C$995,MATCH($A535, Papers!$A$2:$A$995,0)),"")</f>
        <v/>
      </c>
      <c r="C535" s="85" t="str">
        <f t="array" ref="C535">IFerror(INDEX(Papers!D$2:D$995,MATCH($A535, Papers!$A$2:$A$995,0)),"")</f>
        <v/>
      </c>
      <c r="D535" s="86" t="str">
        <f t="array" ref="D535">IFerror(INDEX(Papers!F$2:F$995,MATCH($A535, Papers!$A$2:$A$995,0)),"")</f>
        <v/>
      </c>
      <c r="E535" s="59" t="str">
        <f t="array" ref="E535">IFerror(INDEX(Papers!G$2:G$995,MATCH($A535, Papers!$A$2:$A$995,0)),"")</f>
        <v/>
      </c>
    </row>
    <row r="536">
      <c r="B536" s="85" t="str">
        <f t="array" ref="B536">IFerror(INDEX(Papers!C$2:C$995,MATCH($A536, Papers!$A$2:$A$995,0)),"")</f>
        <v/>
      </c>
      <c r="C536" s="85" t="str">
        <f t="array" ref="C536">IFerror(INDEX(Papers!D$2:D$995,MATCH($A536, Papers!$A$2:$A$995,0)),"")</f>
        <v/>
      </c>
      <c r="D536" s="86" t="str">
        <f t="array" ref="D536">IFerror(INDEX(Papers!F$2:F$995,MATCH($A536, Papers!$A$2:$A$995,0)),"")</f>
        <v/>
      </c>
      <c r="E536" s="59" t="str">
        <f t="array" ref="E536">IFerror(INDEX(Papers!G$2:G$995,MATCH($A536, Papers!$A$2:$A$995,0)),"")</f>
        <v/>
      </c>
    </row>
    <row r="537">
      <c r="B537" s="85" t="str">
        <f t="array" ref="B537">IFerror(INDEX(Papers!C$2:C$995,MATCH($A537, Papers!$A$2:$A$995,0)),"")</f>
        <v/>
      </c>
      <c r="C537" s="85" t="str">
        <f t="array" ref="C537">IFerror(INDEX(Papers!D$2:D$995,MATCH($A537, Papers!$A$2:$A$995,0)),"")</f>
        <v/>
      </c>
      <c r="D537" s="86" t="str">
        <f t="array" ref="D537">IFerror(INDEX(Papers!F$2:F$995,MATCH($A537, Papers!$A$2:$A$995,0)),"")</f>
        <v/>
      </c>
      <c r="E537" s="59" t="str">
        <f t="array" ref="E537">IFerror(INDEX(Papers!G$2:G$995,MATCH($A537, Papers!$A$2:$A$995,0)),"")</f>
        <v/>
      </c>
    </row>
    <row r="538">
      <c r="B538" s="85" t="str">
        <f t="array" ref="B538">IFerror(INDEX(Papers!C$2:C$995,MATCH($A538, Papers!$A$2:$A$995,0)),"")</f>
        <v/>
      </c>
      <c r="C538" s="85" t="str">
        <f t="array" ref="C538">IFerror(INDEX(Papers!D$2:D$995,MATCH($A538, Papers!$A$2:$A$995,0)),"")</f>
        <v/>
      </c>
      <c r="D538" s="86" t="str">
        <f t="array" ref="D538">IFerror(INDEX(Papers!F$2:F$995,MATCH($A538, Papers!$A$2:$A$995,0)),"")</f>
        <v/>
      </c>
      <c r="E538" s="59" t="str">
        <f t="array" ref="E538">IFerror(INDEX(Papers!G$2:G$995,MATCH($A538, Papers!$A$2:$A$995,0)),"")</f>
        <v/>
      </c>
    </row>
    <row r="539">
      <c r="B539" s="85" t="str">
        <f t="array" ref="B539">IFerror(INDEX(Papers!C$2:C$995,MATCH($A539, Papers!$A$2:$A$995,0)),"")</f>
        <v/>
      </c>
      <c r="C539" s="85" t="str">
        <f t="array" ref="C539">IFerror(INDEX(Papers!D$2:D$995,MATCH($A539, Papers!$A$2:$A$995,0)),"")</f>
        <v/>
      </c>
      <c r="D539" s="86" t="str">
        <f t="array" ref="D539">IFerror(INDEX(Papers!F$2:F$995,MATCH($A539, Papers!$A$2:$A$995,0)),"")</f>
        <v/>
      </c>
      <c r="E539" s="59" t="str">
        <f t="array" ref="E539">IFerror(INDEX(Papers!G$2:G$995,MATCH($A539, Papers!$A$2:$A$995,0)),"")</f>
        <v/>
      </c>
    </row>
    <row r="540">
      <c r="B540" s="85" t="str">
        <f t="array" ref="B540">IFerror(INDEX(Papers!C$2:C$995,MATCH($A540, Papers!$A$2:$A$995,0)),"")</f>
        <v/>
      </c>
      <c r="C540" s="85" t="str">
        <f t="array" ref="C540">IFerror(INDEX(Papers!D$2:D$995,MATCH($A540, Papers!$A$2:$A$995,0)),"")</f>
        <v/>
      </c>
      <c r="D540" s="86" t="str">
        <f t="array" ref="D540">IFerror(INDEX(Papers!F$2:F$995,MATCH($A540, Papers!$A$2:$A$995,0)),"")</f>
        <v/>
      </c>
      <c r="E540" s="59" t="str">
        <f t="array" ref="E540">IFerror(INDEX(Papers!G$2:G$995,MATCH($A540, Papers!$A$2:$A$995,0)),"")</f>
        <v/>
      </c>
    </row>
    <row r="541">
      <c r="B541" s="85" t="str">
        <f t="array" ref="B541">IFerror(INDEX(Papers!C$2:C$995,MATCH($A541, Papers!$A$2:$A$995,0)),"")</f>
        <v/>
      </c>
      <c r="C541" s="85" t="str">
        <f t="array" ref="C541">IFerror(INDEX(Papers!D$2:D$995,MATCH($A541, Papers!$A$2:$A$995,0)),"")</f>
        <v/>
      </c>
      <c r="D541" s="86" t="str">
        <f t="array" ref="D541">IFerror(INDEX(Papers!F$2:F$995,MATCH($A541, Papers!$A$2:$A$995,0)),"")</f>
        <v/>
      </c>
      <c r="E541" s="59" t="str">
        <f t="array" ref="E541">IFerror(INDEX(Papers!G$2:G$995,MATCH($A541, Papers!$A$2:$A$995,0)),"")</f>
        <v/>
      </c>
    </row>
    <row r="542">
      <c r="B542" s="85" t="str">
        <f t="array" ref="B542">IFerror(INDEX(Papers!C$2:C$995,MATCH($A542, Papers!$A$2:$A$995,0)),"")</f>
        <v/>
      </c>
      <c r="C542" s="85" t="str">
        <f t="array" ref="C542">IFerror(INDEX(Papers!D$2:D$995,MATCH($A542, Papers!$A$2:$A$995,0)),"")</f>
        <v/>
      </c>
      <c r="D542" s="86" t="str">
        <f t="array" ref="D542">IFerror(INDEX(Papers!F$2:F$995,MATCH($A542, Papers!$A$2:$A$995,0)),"")</f>
        <v/>
      </c>
      <c r="E542" s="59" t="str">
        <f t="array" ref="E542">IFerror(INDEX(Papers!G$2:G$995,MATCH($A542, Papers!$A$2:$A$995,0)),"")</f>
        <v/>
      </c>
    </row>
    <row r="543">
      <c r="B543" s="85" t="str">
        <f t="array" ref="B543">IFerror(INDEX(Papers!C$2:C$995,MATCH($A543, Papers!$A$2:$A$995,0)),"")</f>
        <v/>
      </c>
      <c r="C543" s="85" t="str">
        <f t="array" ref="C543">IFerror(INDEX(Papers!D$2:D$995,MATCH($A543, Papers!$A$2:$A$995,0)),"")</f>
        <v/>
      </c>
      <c r="D543" s="86" t="str">
        <f t="array" ref="D543">IFerror(INDEX(Papers!F$2:F$995,MATCH($A543, Papers!$A$2:$A$995,0)),"")</f>
        <v/>
      </c>
      <c r="E543" s="59" t="str">
        <f t="array" ref="E543">IFerror(INDEX(Papers!G$2:G$995,MATCH($A543, Papers!$A$2:$A$995,0)),"")</f>
        <v/>
      </c>
    </row>
    <row r="544">
      <c r="B544" s="85" t="str">
        <f t="array" ref="B544">IFerror(INDEX(Papers!C$2:C$995,MATCH($A544, Papers!$A$2:$A$995,0)),"")</f>
        <v/>
      </c>
      <c r="C544" s="85" t="str">
        <f t="array" ref="C544">IFerror(INDEX(Papers!D$2:D$995,MATCH($A544, Papers!$A$2:$A$995,0)),"")</f>
        <v/>
      </c>
      <c r="D544" s="86" t="str">
        <f t="array" ref="D544">IFerror(INDEX(Papers!F$2:F$995,MATCH($A544, Papers!$A$2:$A$995,0)),"")</f>
        <v/>
      </c>
      <c r="E544" s="59" t="str">
        <f t="array" ref="E544">IFerror(INDEX(Papers!G$2:G$995,MATCH($A544, Papers!$A$2:$A$995,0)),"")</f>
        <v/>
      </c>
    </row>
    <row r="545">
      <c r="B545" s="85" t="str">
        <f t="array" ref="B545">IFerror(INDEX(Papers!C$2:C$995,MATCH($A545, Papers!$A$2:$A$995,0)),"")</f>
        <v/>
      </c>
      <c r="C545" s="85" t="str">
        <f t="array" ref="C545">IFerror(INDEX(Papers!D$2:D$995,MATCH($A545, Papers!$A$2:$A$995,0)),"")</f>
        <v/>
      </c>
      <c r="D545" s="86" t="str">
        <f t="array" ref="D545">IFerror(INDEX(Papers!F$2:F$995,MATCH($A545, Papers!$A$2:$A$995,0)),"")</f>
        <v/>
      </c>
      <c r="E545" s="59" t="str">
        <f t="array" ref="E545">IFerror(INDEX(Papers!G$2:G$995,MATCH($A545, Papers!$A$2:$A$995,0)),"")</f>
        <v/>
      </c>
    </row>
    <row r="546">
      <c r="B546" s="85" t="str">
        <f t="array" ref="B546">IFerror(INDEX(Papers!C$2:C$995,MATCH($A546, Papers!$A$2:$A$995,0)),"")</f>
        <v/>
      </c>
      <c r="C546" s="85" t="str">
        <f t="array" ref="C546">IFerror(INDEX(Papers!D$2:D$995,MATCH($A546, Papers!$A$2:$A$995,0)),"")</f>
        <v/>
      </c>
      <c r="D546" s="86" t="str">
        <f t="array" ref="D546">IFerror(INDEX(Papers!F$2:F$995,MATCH($A546, Papers!$A$2:$A$995,0)),"")</f>
        <v/>
      </c>
      <c r="E546" s="59" t="str">
        <f t="array" ref="E546">IFerror(INDEX(Papers!G$2:G$995,MATCH($A546, Papers!$A$2:$A$995,0)),"")</f>
        <v/>
      </c>
    </row>
    <row r="547">
      <c r="B547" s="85" t="str">
        <f t="array" ref="B547">IFerror(INDEX(Papers!C$2:C$995,MATCH($A547, Papers!$A$2:$A$995,0)),"")</f>
        <v/>
      </c>
      <c r="C547" s="85" t="str">
        <f t="array" ref="C547">IFerror(INDEX(Papers!D$2:D$995,MATCH($A547, Papers!$A$2:$A$995,0)),"")</f>
        <v/>
      </c>
      <c r="D547" s="86" t="str">
        <f t="array" ref="D547">IFerror(INDEX(Papers!F$2:F$995,MATCH($A547, Papers!$A$2:$A$995,0)),"")</f>
        <v/>
      </c>
      <c r="E547" s="59" t="str">
        <f t="array" ref="E547">IFerror(INDEX(Papers!G$2:G$995,MATCH($A547, Papers!$A$2:$A$995,0)),"")</f>
        <v/>
      </c>
    </row>
    <row r="548">
      <c r="B548" s="85" t="str">
        <f t="array" ref="B548">IFerror(INDEX(Papers!C$2:C$995,MATCH($A548, Papers!$A$2:$A$995,0)),"")</f>
        <v/>
      </c>
      <c r="C548" s="85" t="str">
        <f t="array" ref="C548">IFerror(INDEX(Papers!D$2:D$995,MATCH($A548, Papers!$A$2:$A$995,0)),"")</f>
        <v/>
      </c>
      <c r="D548" s="86" t="str">
        <f t="array" ref="D548">IFerror(INDEX(Papers!F$2:F$995,MATCH($A548, Papers!$A$2:$A$995,0)),"")</f>
        <v/>
      </c>
      <c r="E548" s="59" t="str">
        <f t="array" ref="E548">IFerror(INDEX(Papers!G$2:G$995,MATCH($A548, Papers!$A$2:$A$995,0)),"")</f>
        <v/>
      </c>
    </row>
    <row r="549">
      <c r="B549" s="85" t="str">
        <f t="array" ref="B549">IFerror(INDEX(Papers!C$2:C$995,MATCH($A549, Papers!$A$2:$A$995,0)),"")</f>
        <v/>
      </c>
      <c r="C549" s="85" t="str">
        <f t="array" ref="C549">IFerror(INDEX(Papers!D$2:D$995,MATCH($A549, Papers!$A$2:$A$995,0)),"")</f>
        <v/>
      </c>
      <c r="D549" s="86" t="str">
        <f t="array" ref="D549">IFerror(INDEX(Papers!F$2:F$995,MATCH($A549, Papers!$A$2:$A$995,0)),"")</f>
        <v/>
      </c>
      <c r="E549" s="59" t="str">
        <f t="array" ref="E549">IFerror(INDEX(Papers!G$2:G$995,MATCH($A549, Papers!$A$2:$A$995,0)),"")</f>
        <v/>
      </c>
    </row>
    <row r="550">
      <c r="B550" s="85" t="str">
        <f t="array" ref="B550">IFerror(INDEX(Papers!C$2:C$995,MATCH($A550, Papers!$A$2:$A$995,0)),"")</f>
        <v/>
      </c>
      <c r="C550" s="85" t="str">
        <f t="array" ref="C550">IFerror(INDEX(Papers!D$2:D$995,MATCH($A550, Papers!$A$2:$A$995,0)),"")</f>
        <v/>
      </c>
      <c r="D550" s="86" t="str">
        <f t="array" ref="D550">IFerror(INDEX(Papers!F$2:F$995,MATCH($A550, Papers!$A$2:$A$995,0)),"")</f>
        <v/>
      </c>
      <c r="E550" s="59" t="str">
        <f t="array" ref="E550">IFerror(INDEX(Papers!G$2:G$995,MATCH($A550, Papers!$A$2:$A$995,0)),"")</f>
        <v/>
      </c>
    </row>
    <row r="551">
      <c r="B551" s="85" t="str">
        <f t="array" ref="B551">IFerror(INDEX(Papers!C$2:C$995,MATCH($A551, Papers!$A$2:$A$995,0)),"")</f>
        <v/>
      </c>
      <c r="C551" s="85" t="str">
        <f t="array" ref="C551">IFerror(INDEX(Papers!D$2:D$995,MATCH($A551, Papers!$A$2:$A$995,0)),"")</f>
        <v/>
      </c>
      <c r="D551" s="86" t="str">
        <f t="array" ref="D551">IFerror(INDEX(Papers!F$2:F$995,MATCH($A551, Papers!$A$2:$A$995,0)),"")</f>
        <v/>
      </c>
      <c r="E551" s="59" t="str">
        <f t="array" ref="E551">IFerror(INDEX(Papers!G$2:G$995,MATCH($A551, Papers!$A$2:$A$995,0)),"")</f>
        <v/>
      </c>
    </row>
    <row r="552">
      <c r="B552" s="85" t="str">
        <f t="array" ref="B552">IFerror(INDEX(Papers!C$2:C$995,MATCH($A552, Papers!$A$2:$A$995,0)),"")</f>
        <v/>
      </c>
      <c r="C552" s="85" t="str">
        <f t="array" ref="C552">IFerror(INDEX(Papers!D$2:D$995,MATCH($A552, Papers!$A$2:$A$995,0)),"")</f>
        <v/>
      </c>
      <c r="D552" s="86" t="str">
        <f t="array" ref="D552">IFerror(INDEX(Papers!F$2:F$995,MATCH($A552, Papers!$A$2:$A$995,0)),"")</f>
        <v/>
      </c>
      <c r="E552" s="59" t="str">
        <f t="array" ref="E552">IFerror(INDEX(Papers!G$2:G$995,MATCH($A552, Papers!$A$2:$A$995,0)),"")</f>
        <v/>
      </c>
    </row>
    <row r="553">
      <c r="B553" s="85" t="str">
        <f t="array" ref="B553">IFerror(INDEX(Papers!C$2:C$995,MATCH($A553, Papers!$A$2:$A$995,0)),"")</f>
        <v/>
      </c>
      <c r="C553" s="85" t="str">
        <f t="array" ref="C553">IFerror(INDEX(Papers!D$2:D$995,MATCH($A553, Papers!$A$2:$A$995,0)),"")</f>
        <v/>
      </c>
      <c r="D553" s="86" t="str">
        <f t="array" ref="D553">IFerror(INDEX(Papers!F$2:F$995,MATCH($A553, Papers!$A$2:$A$995,0)),"")</f>
        <v/>
      </c>
      <c r="E553" s="59" t="str">
        <f t="array" ref="E553">IFerror(INDEX(Papers!G$2:G$995,MATCH($A553, Papers!$A$2:$A$995,0)),"")</f>
        <v/>
      </c>
    </row>
    <row r="554">
      <c r="B554" s="85" t="str">
        <f t="array" ref="B554">IFerror(INDEX(Papers!C$2:C$995,MATCH($A554, Papers!$A$2:$A$995,0)),"")</f>
        <v/>
      </c>
      <c r="C554" s="85" t="str">
        <f t="array" ref="C554">IFerror(INDEX(Papers!D$2:D$995,MATCH($A554, Papers!$A$2:$A$995,0)),"")</f>
        <v/>
      </c>
      <c r="D554" s="86" t="str">
        <f t="array" ref="D554">IFerror(INDEX(Papers!F$2:F$995,MATCH($A554, Papers!$A$2:$A$995,0)),"")</f>
        <v/>
      </c>
      <c r="E554" s="59" t="str">
        <f t="array" ref="E554">IFerror(INDEX(Papers!G$2:G$995,MATCH($A554, Papers!$A$2:$A$995,0)),"")</f>
        <v/>
      </c>
    </row>
    <row r="555">
      <c r="B555" s="85" t="str">
        <f t="array" ref="B555">IFerror(INDEX(Papers!C$2:C$995,MATCH($A555, Papers!$A$2:$A$995,0)),"")</f>
        <v/>
      </c>
      <c r="C555" s="85" t="str">
        <f t="array" ref="C555">IFerror(INDEX(Papers!D$2:D$995,MATCH($A555, Papers!$A$2:$A$995,0)),"")</f>
        <v/>
      </c>
      <c r="D555" s="86" t="str">
        <f t="array" ref="D555">IFerror(INDEX(Papers!F$2:F$995,MATCH($A555, Papers!$A$2:$A$995,0)),"")</f>
        <v/>
      </c>
      <c r="E555" s="59" t="str">
        <f t="array" ref="E555">IFerror(INDEX(Papers!G$2:G$995,MATCH($A555, Papers!$A$2:$A$995,0)),"")</f>
        <v/>
      </c>
    </row>
    <row r="556">
      <c r="B556" s="85" t="str">
        <f t="array" ref="B556">IFerror(INDEX(Papers!C$2:C$995,MATCH($A556, Papers!$A$2:$A$995,0)),"")</f>
        <v/>
      </c>
      <c r="C556" s="85" t="str">
        <f t="array" ref="C556">IFerror(INDEX(Papers!D$2:D$995,MATCH($A556, Papers!$A$2:$A$995,0)),"")</f>
        <v/>
      </c>
      <c r="D556" s="86" t="str">
        <f t="array" ref="D556">IFerror(INDEX(Papers!F$2:F$995,MATCH($A556, Papers!$A$2:$A$995,0)),"")</f>
        <v/>
      </c>
      <c r="E556" s="59" t="str">
        <f t="array" ref="E556">IFerror(INDEX(Papers!G$2:G$995,MATCH($A556, Papers!$A$2:$A$995,0)),"")</f>
        <v/>
      </c>
    </row>
    <row r="557">
      <c r="B557" s="85" t="str">
        <f t="array" ref="B557">IFerror(INDEX(Papers!C$2:C$995,MATCH($A557, Papers!$A$2:$A$995,0)),"")</f>
        <v/>
      </c>
      <c r="C557" s="85" t="str">
        <f t="array" ref="C557">IFerror(INDEX(Papers!D$2:D$995,MATCH($A557, Papers!$A$2:$A$995,0)),"")</f>
        <v/>
      </c>
      <c r="D557" s="86" t="str">
        <f t="array" ref="D557">IFerror(INDEX(Papers!F$2:F$995,MATCH($A557, Papers!$A$2:$A$995,0)),"")</f>
        <v/>
      </c>
      <c r="E557" s="59" t="str">
        <f t="array" ref="E557">IFerror(INDEX(Papers!G$2:G$995,MATCH($A557, Papers!$A$2:$A$995,0)),"")</f>
        <v/>
      </c>
    </row>
    <row r="558">
      <c r="B558" s="85" t="str">
        <f t="array" ref="B558">IFerror(INDEX(Papers!C$2:C$995,MATCH($A558, Papers!$A$2:$A$995,0)),"")</f>
        <v/>
      </c>
      <c r="C558" s="85" t="str">
        <f t="array" ref="C558">IFerror(INDEX(Papers!D$2:D$995,MATCH($A558, Papers!$A$2:$A$995,0)),"")</f>
        <v/>
      </c>
      <c r="D558" s="86" t="str">
        <f t="array" ref="D558">IFerror(INDEX(Papers!F$2:F$995,MATCH($A558, Papers!$A$2:$A$995,0)),"")</f>
        <v/>
      </c>
      <c r="E558" s="59" t="str">
        <f t="array" ref="E558">IFerror(INDEX(Papers!G$2:G$995,MATCH($A558, Papers!$A$2:$A$995,0)),"")</f>
        <v/>
      </c>
    </row>
    <row r="559">
      <c r="B559" s="85" t="str">
        <f t="array" ref="B559">IFerror(INDEX(Papers!C$2:C$995,MATCH($A559, Papers!$A$2:$A$995,0)),"")</f>
        <v/>
      </c>
      <c r="C559" s="85" t="str">
        <f t="array" ref="C559">IFerror(INDEX(Papers!D$2:D$995,MATCH($A559, Papers!$A$2:$A$995,0)),"")</f>
        <v/>
      </c>
      <c r="D559" s="86" t="str">
        <f t="array" ref="D559">IFerror(INDEX(Papers!F$2:F$995,MATCH($A559, Papers!$A$2:$A$995,0)),"")</f>
        <v/>
      </c>
      <c r="E559" s="59" t="str">
        <f t="array" ref="E559">IFerror(INDEX(Papers!G$2:G$995,MATCH($A559, Papers!$A$2:$A$995,0)),"")</f>
        <v/>
      </c>
    </row>
    <row r="560">
      <c r="B560" s="85" t="str">
        <f t="array" ref="B560">IFerror(INDEX(Papers!C$2:C$995,MATCH($A560, Papers!$A$2:$A$995,0)),"")</f>
        <v/>
      </c>
      <c r="C560" s="85" t="str">
        <f t="array" ref="C560">IFerror(INDEX(Papers!D$2:D$995,MATCH($A560, Papers!$A$2:$A$995,0)),"")</f>
        <v/>
      </c>
      <c r="D560" s="86" t="str">
        <f t="array" ref="D560">IFerror(INDEX(Papers!F$2:F$995,MATCH($A560, Papers!$A$2:$A$995,0)),"")</f>
        <v/>
      </c>
      <c r="E560" s="59" t="str">
        <f t="array" ref="E560">IFerror(INDEX(Papers!G$2:G$995,MATCH($A560, Papers!$A$2:$A$995,0)),"")</f>
        <v/>
      </c>
    </row>
    <row r="561">
      <c r="B561" s="85" t="str">
        <f t="array" ref="B561">IFerror(INDEX(Papers!C$2:C$995,MATCH($A561, Papers!$A$2:$A$995,0)),"")</f>
        <v/>
      </c>
      <c r="C561" s="85" t="str">
        <f t="array" ref="C561">IFerror(INDEX(Papers!D$2:D$995,MATCH($A561, Papers!$A$2:$A$995,0)),"")</f>
        <v/>
      </c>
      <c r="D561" s="86" t="str">
        <f t="array" ref="D561">IFerror(INDEX(Papers!F$2:F$995,MATCH($A561, Papers!$A$2:$A$995,0)),"")</f>
        <v/>
      </c>
      <c r="E561" s="59" t="str">
        <f t="array" ref="E561">IFerror(INDEX(Papers!G$2:G$995,MATCH($A561, Papers!$A$2:$A$995,0)),"")</f>
        <v/>
      </c>
    </row>
    <row r="562">
      <c r="B562" s="85" t="str">
        <f t="array" ref="B562">IFerror(INDEX(Papers!C$2:C$995,MATCH($A562, Papers!$A$2:$A$995,0)),"")</f>
        <v/>
      </c>
      <c r="C562" s="85" t="str">
        <f t="array" ref="C562">IFerror(INDEX(Papers!D$2:D$995,MATCH($A562, Papers!$A$2:$A$995,0)),"")</f>
        <v/>
      </c>
      <c r="D562" s="86" t="str">
        <f t="array" ref="D562">IFerror(INDEX(Papers!F$2:F$995,MATCH($A562, Papers!$A$2:$A$995,0)),"")</f>
        <v/>
      </c>
      <c r="E562" s="59" t="str">
        <f t="array" ref="E562">IFerror(INDEX(Papers!G$2:G$995,MATCH($A562, Papers!$A$2:$A$995,0)),"")</f>
        <v/>
      </c>
    </row>
    <row r="563">
      <c r="B563" s="85" t="str">
        <f t="array" ref="B563">IFerror(INDEX(Papers!C$2:C$995,MATCH($A563, Papers!$A$2:$A$995,0)),"")</f>
        <v/>
      </c>
      <c r="C563" s="85" t="str">
        <f t="array" ref="C563">IFerror(INDEX(Papers!D$2:D$995,MATCH($A563, Papers!$A$2:$A$995,0)),"")</f>
        <v/>
      </c>
      <c r="D563" s="86" t="str">
        <f t="array" ref="D563">IFerror(INDEX(Papers!F$2:F$995,MATCH($A563, Papers!$A$2:$A$995,0)),"")</f>
        <v/>
      </c>
      <c r="E563" s="59" t="str">
        <f t="array" ref="E563">IFerror(INDEX(Papers!G$2:G$995,MATCH($A563, Papers!$A$2:$A$995,0)),"")</f>
        <v/>
      </c>
    </row>
    <row r="564">
      <c r="B564" s="85" t="str">
        <f t="array" ref="B564">IFerror(INDEX(Papers!C$2:C$995,MATCH($A564, Papers!$A$2:$A$995,0)),"")</f>
        <v/>
      </c>
      <c r="C564" s="85" t="str">
        <f t="array" ref="C564">IFerror(INDEX(Papers!D$2:D$995,MATCH($A564, Papers!$A$2:$A$995,0)),"")</f>
        <v/>
      </c>
      <c r="D564" s="86" t="str">
        <f t="array" ref="D564">IFerror(INDEX(Papers!F$2:F$995,MATCH($A564, Papers!$A$2:$A$995,0)),"")</f>
        <v/>
      </c>
      <c r="E564" s="59" t="str">
        <f t="array" ref="E564">IFerror(INDEX(Papers!G$2:G$995,MATCH($A564, Papers!$A$2:$A$995,0)),"")</f>
        <v/>
      </c>
    </row>
    <row r="565">
      <c r="B565" s="85" t="str">
        <f t="array" ref="B565">IFerror(INDEX(Papers!C$2:C$995,MATCH($A565, Papers!$A$2:$A$995,0)),"")</f>
        <v/>
      </c>
      <c r="C565" s="85" t="str">
        <f t="array" ref="C565">IFerror(INDEX(Papers!D$2:D$995,MATCH($A565, Papers!$A$2:$A$995,0)),"")</f>
        <v/>
      </c>
      <c r="D565" s="86" t="str">
        <f t="array" ref="D565">IFerror(INDEX(Papers!F$2:F$995,MATCH($A565, Papers!$A$2:$A$995,0)),"")</f>
        <v/>
      </c>
      <c r="E565" s="59" t="str">
        <f t="array" ref="E565">IFerror(INDEX(Papers!G$2:G$995,MATCH($A565, Papers!$A$2:$A$995,0)),"")</f>
        <v/>
      </c>
    </row>
    <row r="566">
      <c r="B566" s="85" t="str">
        <f t="array" ref="B566">IFerror(INDEX(Papers!C$2:C$995,MATCH($A566, Papers!$A$2:$A$995,0)),"")</f>
        <v/>
      </c>
      <c r="C566" s="85" t="str">
        <f t="array" ref="C566">IFerror(INDEX(Papers!D$2:D$995,MATCH($A566, Papers!$A$2:$A$995,0)),"")</f>
        <v/>
      </c>
      <c r="D566" s="86" t="str">
        <f t="array" ref="D566">IFerror(INDEX(Papers!F$2:F$995,MATCH($A566, Papers!$A$2:$A$995,0)),"")</f>
        <v/>
      </c>
      <c r="E566" s="59" t="str">
        <f t="array" ref="E566">IFerror(INDEX(Papers!G$2:G$995,MATCH($A566, Papers!$A$2:$A$995,0)),"")</f>
        <v/>
      </c>
    </row>
    <row r="567">
      <c r="B567" s="85" t="str">
        <f t="array" ref="B567">IFerror(INDEX(Papers!C$2:C$995,MATCH($A567, Papers!$A$2:$A$995,0)),"")</f>
        <v/>
      </c>
      <c r="C567" s="85" t="str">
        <f t="array" ref="C567">IFerror(INDEX(Papers!D$2:D$995,MATCH($A567, Papers!$A$2:$A$995,0)),"")</f>
        <v/>
      </c>
      <c r="D567" s="86" t="str">
        <f t="array" ref="D567">IFerror(INDEX(Papers!F$2:F$995,MATCH($A567, Papers!$A$2:$A$995,0)),"")</f>
        <v/>
      </c>
      <c r="E567" s="59" t="str">
        <f t="array" ref="E567">IFerror(INDEX(Papers!G$2:G$995,MATCH($A567, Papers!$A$2:$A$995,0)),"")</f>
        <v/>
      </c>
    </row>
    <row r="568">
      <c r="B568" s="85" t="str">
        <f t="array" ref="B568">IFerror(INDEX(Papers!C$2:C$995,MATCH($A568, Papers!$A$2:$A$995,0)),"")</f>
        <v/>
      </c>
      <c r="C568" s="85" t="str">
        <f t="array" ref="C568">IFerror(INDEX(Papers!D$2:D$995,MATCH($A568, Papers!$A$2:$A$995,0)),"")</f>
        <v/>
      </c>
      <c r="D568" s="86" t="str">
        <f t="array" ref="D568">IFerror(INDEX(Papers!F$2:F$995,MATCH($A568, Papers!$A$2:$A$995,0)),"")</f>
        <v/>
      </c>
      <c r="E568" s="59" t="str">
        <f t="array" ref="E568">IFerror(INDEX(Papers!G$2:G$995,MATCH($A568, Papers!$A$2:$A$995,0)),"")</f>
        <v/>
      </c>
    </row>
    <row r="569">
      <c r="B569" s="85" t="str">
        <f t="array" ref="B569">IFerror(INDEX(Papers!C$2:C$995,MATCH($A569, Papers!$A$2:$A$995,0)),"")</f>
        <v/>
      </c>
      <c r="C569" s="85" t="str">
        <f t="array" ref="C569">IFerror(INDEX(Papers!D$2:D$995,MATCH($A569, Papers!$A$2:$A$995,0)),"")</f>
        <v/>
      </c>
      <c r="D569" s="86" t="str">
        <f t="array" ref="D569">IFerror(INDEX(Papers!F$2:F$995,MATCH($A569, Papers!$A$2:$A$995,0)),"")</f>
        <v/>
      </c>
      <c r="E569" s="59" t="str">
        <f t="array" ref="E569">IFerror(INDEX(Papers!G$2:G$995,MATCH($A569, Papers!$A$2:$A$995,0)),"")</f>
        <v/>
      </c>
    </row>
    <row r="570">
      <c r="B570" s="85" t="str">
        <f t="array" ref="B570">IFerror(INDEX(Papers!C$2:C$995,MATCH($A570, Papers!$A$2:$A$995,0)),"")</f>
        <v/>
      </c>
      <c r="C570" s="85" t="str">
        <f t="array" ref="C570">IFerror(INDEX(Papers!D$2:D$995,MATCH($A570, Papers!$A$2:$A$995,0)),"")</f>
        <v/>
      </c>
      <c r="D570" s="86" t="str">
        <f t="array" ref="D570">IFerror(INDEX(Papers!F$2:F$995,MATCH($A570, Papers!$A$2:$A$995,0)),"")</f>
        <v/>
      </c>
      <c r="E570" s="59" t="str">
        <f t="array" ref="E570">IFerror(INDEX(Papers!G$2:G$995,MATCH($A570, Papers!$A$2:$A$995,0)),"")</f>
        <v/>
      </c>
    </row>
    <row r="571">
      <c r="B571" s="85" t="str">
        <f t="array" ref="B571">IFerror(INDEX(Papers!C$2:C$995,MATCH($A571, Papers!$A$2:$A$995,0)),"")</f>
        <v/>
      </c>
      <c r="C571" s="85" t="str">
        <f t="array" ref="C571">IFerror(INDEX(Papers!D$2:D$995,MATCH($A571, Papers!$A$2:$A$995,0)),"")</f>
        <v/>
      </c>
      <c r="D571" s="86" t="str">
        <f t="array" ref="D571">IFerror(INDEX(Papers!F$2:F$995,MATCH($A571, Papers!$A$2:$A$995,0)),"")</f>
        <v/>
      </c>
      <c r="E571" s="59" t="str">
        <f t="array" ref="E571">IFerror(INDEX(Papers!G$2:G$995,MATCH($A571, Papers!$A$2:$A$995,0)),"")</f>
        <v/>
      </c>
    </row>
    <row r="572">
      <c r="B572" s="85" t="str">
        <f t="array" ref="B572">IFerror(INDEX(Papers!C$2:C$995,MATCH($A572, Papers!$A$2:$A$995,0)),"")</f>
        <v/>
      </c>
      <c r="C572" s="85" t="str">
        <f t="array" ref="C572">IFerror(INDEX(Papers!D$2:D$995,MATCH($A572, Papers!$A$2:$A$995,0)),"")</f>
        <v/>
      </c>
      <c r="D572" s="86" t="str">
        <f t="array" ref="D572">IFerror(INDEX(Papers!F$2:F$995,MATCH($A572, Papers!$A$2:$A$995,0)),"")</f>
        <v/>
      </c>
      <c r="E572" s="59" t="str">
        <f t="array" ref="E572">IFerror(INDEX(Papers!G$2:G$995,MATCH($A572, Papers!$A$2:$A$995,0)),"")</f>
        <v/>
      </c>
    </row>
    <row r="573">
      <c r="B573" s="85" t="str">
        <f t="array" ref="B573">IFerror(INDEX(Papers!C$2:C$995,MATCH($A573, Papers!$A$2:$A$995,0)),"")</f>
        <v/>
      </c>
      <c r="C573" s="85" t="str">
        <f t="array" ref="C573">IFerror(INDEX(Papers!D$2:D$995,MATCH($A573, Papers!$A$2:$A$995,0)),"")</f>
        <v/>
      </c>
      <c r="D573" s="86" t="str">
        <f t="array" ref="D573">IFerror(INDEX(Papers!F$2:F$995,MATCH($A573, Papers!$A$2:$A$995,0)),"")</f>
        <v/>
      </c>
      <c r="E573" s="59" t="str">
        <f t="array" ref="E573">IFerror(INDEX(Papers!G$2:G$995,MATCH($A573, Papers!$A$2:$A$995,0)),"")</f>
        <v/>
      </c>
    </row>
    <row r="574">
      <c r="B574" s="85" t="str">
        <f t="array" ref="B574">IFerror(INDEX(Papers!C$2:C$995,MATCH($A574, Papers!$A$2:$A$995,0)),"")</f>
        <v/>
      </c>
      <c r="C574" s="85" t="str">
        <f t="array" ref="C574">IFerror(INDEX(Papers!D$2:D$995,MATCH($A574, Papers!$A$2:$A$995,0)),"")</f>
        <v/>
      </c>
      <c r="D574" s="86" t="str">
        <f t="array" ref="D574">IFerror(INDEX(Papers!F$2:F$995,MATCH($A574, Papers!$A$2:$A$995,0)),"")</f>
        <v/>
      </c>
      <c r="E574" s="59" t="str">
        <f t="array" ref="E574">IFerror(INDEX(Papers!G$2:G$995,MATCH($A574, Papers!$A$2:$A$995,0)),"")</f>
        <v/>
      </c>
    </row>
    <row r="575">
      <c r="B575" s="85" t="str">
        <f t="array" ref="B575">IFerror(INDEX(Papers!C$2:C$995,MATCH($A575, Papers!$A$2:$A$995,0)),"")</f>
        <v/>
      </c>
      <c r="C575" s="85" t="str">
        <f t="array" ref="C575">IFerror(INDEX(Papers!D$2:D$995,MATCH($A575, Papers!$A$2:$A$995,0)),"")</f>
        <v/>
      </c>
      <c r="D575" s="86" t="str">
        <f t="array" ref="D575">IFerror(INDEX(Papers!F$2:F$995,MATCH($A575, Papers!$A$2:$A$995,0)),"")</f>
        <v/>
      </c>
      <c r="E575" s="59" t="str">
        <f t="array" ref="E575">IFerror(INDEX(Papers!G$2:G$995,MATCH($A575, Papers!$A$2:$A$995,0)),"")</f>
        <v/>
      </c>
    </row>
    <row r="576">
      <c r="B576" s="85" t="str">
        <f t="array" ref="B576">IFerror(INDEX(Papers!C$2:C$995,MATCH($A576, Papers!$A$2:$A$995,0)),"")</f>
        <v/>
      </c>
      <c r="C576" s="85" t="str">
        <f t="array" ref="C576">IFerror(INDEX(Papers!D$2:D$995,MATCH($A576, Papers!$A$2:$A$995,0)),"")</f>
        <v/>
      </c>
      <c r="D576" s="86" t="str">
        <f t="array" ref="D576">IFerror(INDEX(Papers!F$2:F$995,MATCH($A576, Papers!$A$2:$A$995,0)),"")</f>
        <v/>
      </c>
      <c r="E576" s="59" t="str">
        <f t="array" ref="E576">IFerror(INDEX(Papers!G$2:G$995,MATCH($A576, Papers!$A$2:$A$995,0)),"")</f>
        <v/>
      </c>
    </row>
    <row r="577">
      <c r="B577" s="85" t="str">
        <f t="array" ref="B577">IFerror(INDEX(Papers!C$2:C$995,MATCH($A577, Papers!$A$2:$A$995,0)),"")</f>
        <v/>
      </c>
      <c r="C577" s="85" t="str">
        <f t="array" ref="C577">IFerror(INDEX(Papers!D$2:D$995,MATCH($A577, Papers!$A$2:$A$995,0)),"")</f>
        <v/>
      </c>
      <c r="D577" s="86" t="str">
        <f t="array" ref="D577">IFerror(INDEX(Papers!F$2:F$995,MATCH($A577, Papers!$A$2:$A$995,0)),"")</f>
        <v/>
      </c>
      <c r="E577" s="59" t="str">
        <f t="array" ref="E577">IFerror(INDEX(Papers!G$2:G$995,MATCH($A577, Papers!$A$2:$A$995,0)),"")</f>
        <v/>
      </c>
    </row>
    <row r="578">
      <c r="B578" s="85" t="str">
        <f t="array" ref="B578">IFerror(INDEX(Papers!C$2:C$995,MATCH($A578, Papers!$A$2:$A$995,0)),"")</f>
        <v/>
      </c>
      <c r="C578" s="85" t="str">
        <f t="array" ref="C578">IFerror(INDEX(Papers!D$2:D$995,MATCH($A578, Papers!$A$2:$A$995,0)),"")</f>
        <v/>
      </c>
      <c r="D578" s="86" t="str">
        <f t="array" ref="D578">IFerror(INDEX(Papers!F$2:F$995,MATCH($A578, Papers!$A$2:$A$995,0)),"")</f>
        <v/>
      </c>
      <c r="E578" s="59" t="str">
        <f t="array" ref="E578">IFerror(INDEX(Papers!G$2:G$995,MATCH($A578, Papers!$A$2:$A$995,0)),"")</f>
        <v/>
      </c>
    </row>
    <row r="579">
      <c r="B579" s="85" t="str">
        <f t="array" ref="B579">IFerror(INDEX(Papers!C$2:C$995,MATCH($A579, Papers!$A$2:$A$995,0)),"")</f>
        <v/>
      </c>
      <c r="C579" s="85" t="str">
        <f t="array" ref="C579">IFerror(INDEX(Papers!D$2:D$995,MATCH($A579, Papers!$A$2:$A$995,0)),"")</f>
        <v/>
      </c>
      <c r="D579" s="86" t="str">
        <f t="array" ref="D579">IFerror(INDEX(Papers!F$2:F$995,MATCH($A579, Papers!$A$2:$A$995,0)),"")</f>
        <v/>
      </c>
      <c r="E579" s="59" t="str">
        <f t="array" ref="E579">IFerror(INDEX(Papers!G$2:G$995,MATCH($A579, Papers!$A$2:$A$995,0)),"")</f>
        <v/>
      </c>
    </row>
    <row r="580">
      <c r="B580" s="85" t="str">
        <f t="array" ref="B580">IFerror(INDEX(Papers!C$2:C$995,MATCH($A580, Papers!$A$2:$A$995,0)),"")</f>
        <v/>
      </c>
      <c r="C580" s="85" t="str">
        <f t="array" ref="C580">IFerror(INDEX(Papers!D$2:D$995,MATCH($A580, Papers!$A$2:$A$995,0)),"")</f>
        <v/>
      </c>
      <c r="D580" s="86" t="str">
        <f t="array" ref="D580">IFerror(INDEX(Papers!F$2:F$995,MATCH($A580, Papers!$A$2:$A$995,0)),"")</f>
        <v/>
      </c>
      <c r="E580" s="59" t="str">
        <f t="array" ref="E580">IFerror(INDEX(Papers!G$2:G$995,MATCH($A580, Papers!$A$2:$A$995,0)),"")</f>
        <v/>
      </c>
    </row>
    <row r="581">
      <c r="B581" s="85" t="str">
        <f t="array" ref="B581">IFerror(INDEX(Papers!C$2:C$995,MATCH($A581, Papers!$A$2:$A$995,0)),"")</f>
        <v/>
      </c>
      <c r="C581" s="85" t="str">
        <f t="array" ref="C581">IFerror(INDEX(Papers!D$2:D$995,MATCH($A581, Papers!$A$2:$A$995,0)),"")</f>
        <v/>
      </c>
      <c r="D581" s="86" t="str">
        <f t="array" ref="D581">IFerror(INDEX(Papers!F$2:F$995,MATCH($A581, Papers!$A$2:$A$995,0)),"")</f>
        <v/>
      </c>
      <c r="E581" s="59" t="str">
        <f t="array" ref="E581">IFerror(INDEX(Papers!G$2:G$995,MATCH($A581, Papers!$A$2:$A$995,0)),"")</f>
        <v/>
      </c>
    </row>
    <row r="582">
      <c r="B582" s="85" t="str">
        <f t="array" ref="B582">IFerror(INDEX(Papers!C$2:C$995,MATCH($A582, Papers!$A$2:$A$995,0)),"")</f>
        <v/>
      </c>
      <c r="C582" s="85" t="str">
        <f t="array" ref="C582">IFerror(INDEX(Papers!D$2:D$995,MATCH($A582, Papers!$A$2:$A$995,0)),"")</f>
        <v/>
      </c>
      <c r="D582" s="86" t="str">
        <f t="array" ref="D582">IFerror(INDEX(Papers!F$2:F$995,MATCH($A582, Papers!$A$2:$A$995,0)),"")</f>
        <v/>
      </c>
      <c r="E582" s="59" t="str">
        <f t="array" ref="E582">IFerror(INDEX(Papers!G$2:G$995,MATCH($A582, Papers!$A$2:$A$995,0)),"")</f>
        <v/>
      </c>
    </row>
    <row r="583">
      <c r="B583" s="85" t="str">
        <f t="array" ref="B583">IFerror(INDEX(Papers!C$2:C$995,MATCH($A583, Papers!$A$2:$A$995,0)),"")</f>
        <v/>
      </c>
      <c r="C583" s="85" t="str">
        <f t="array" ref="C583">IFerror(INDEX(Papers!D$2:D$995,MATCH($A583, Papers!$A$2:$A$995,0)),"")</f>
        <v/>
      </c>
      <c r="D583" s="86" t="str">
        <f t="array" ref="D583">IFerror(INDEX(Papers!F$2:F$995,MATCH($A583, Papers!$A$2:$A$995,0)),"")</f>
        <v/>
      </c>
      <c r="E583" s="59" t="str">
        <f t="array" ref="E583">IFerror(INDEX(Papers!G$2:G$995,MATCH($A583, Papers!$A$2:$A$995,0)),"")</f>
        <v/>
      </c>
    </row>
    <row r="584">
      <c r="B584" s="85" t="str">
        <f t="array" ref="B584">IFerror(INDEX(Papers!C$2:C$995,MATCH($A584, Papers!$A$2:$A$995,0)),"")</f>
        <v/>
      </c>
      <c r="C584" s="85" t="str">
        <f t="array" ref="C584">IFerror(INDEX(Papers!D$2:D$995,MATCH($A584, Papers!$A$2:$A$995,0)),"")</f>
        <v/>
      </c>
      <c r="D584" s="86" t="str">
        <f t="array" ref="D584">IFerror(INDEX(Papers!F$2:F$995,MATCH($A584, Papers!$A$2:$A$995,0)),"")</f>
        <v/>
      </c>
      <c r="E584" s="59" t="str">
        <f t="array" ref="E584">IFerror(INDEX(Papers!G$2:G$995,MATCH($A584, Papers!$A$2:$A$995,0)),"")</f>
        <v/>
      </c>
    </row>
    <row r="585">
      <c r="B585" s="85" t="str">
        <f t="array" ref="B585">IFerror(INDEX(Papers!C$2:C$995,MATCH($A585, Papers!$A$2:$A$995,0)),"")</f>
        <v/>
      </c>
      <c r="C585" s="85" t="str">
        <f t="array" ref="C585">IFerror(INDEX(Papers!D$2:D$995,MATCH($A585, Papers!$A$2:$A$995,0)),"")</f>
        <v/>
      </c>
      <c r="D585" s="86" t="str">
        <f t="array" ref="D585">IFerror(INDEX(Papers!F$2:F$995,MATCH($A585, Papers!$A$2:$A$995,0)),"")</f>
        <v/>
      </c>
      <c r="E585" s="59" t="str">
        <f t="array" ref="E585">IFerror(INDEX(Papers!G$2:G$995,MATCH($A585, Papers!$A$2:$A$995,0)),"")</f>
        <v/>
      </c>
    </row>
    <row r="586">
      <c r="B586" s="85" t="str">
        <f t="array" ref="B586">IFerror(INDEX(Papers!C$2:C$995,MATCH($A586, Papers!$A$2:$A$995,0)),"")</f>
        <v/>
      </c>
      <c r="C586" s="85" t="str">
        <f t="array" ref="C586">IFerror(INDEX(Papers!D$2:D$995,MATCH($A586, Papers!$A$2:$A$995,0)),"")</f>
        <v/>
      </c>
      <c r="D586" s="86" t="str">
        <f t="array" ref="D586">IFerror(INDEX(Papers!F$2:F$995,MATCH($A586, Papers!$A$2:$A$995,0)),"")</f>
        <v/>
      </c>
      <c r="E586" s="59" t="str">
        <f t="array" ref="E586">IFerror(INDEX(Papers!G$2:G$995,MATCH($A586, Papers!$A$2:$A$995,0)),"")</f>
        <v/>
      </c>
    </row>
    <row r="587">
      <c r="B587" s="85" t="str">
        <f t="array" ref="B587">IFerror(INDEX(Papers!C$2:C$995,MATCH($A587, Papers!$A$2:$A$995,0)),"")</f>
        <v/>
      </c>
      <c r="C587" s="85" t="str">
        <f t="array" ref="C587">IFerror(INDEX(Papers!D$2:D$995,MATCH($A587, Papers!$A$2:$A$995,0)),"")</f>
        <v/>
      </c>
      <c r="D587" s="86" t="str">
        <f t="array" ref="D587">IFerror(INDEX(Papers!F$2:F$995,MATCH($A587, Papers!$A$2:$A$995,0)),"")</f>
        <v/>
      </c>
      <c r="E587" s="59" t="str">
        <f t="array" ref="E587">IFerror(INDEX(Papers!G$2:G$995,MATCH($A587, Papers!$A$2:$A$995,0)),"")</f>
        <v/>
      </c>
    </row>
    <row r="588">
      <c r="B588" s="85" t="str">
        <f t="array" ref="B588">IFerror(INDEX(Papers!C$2:C$995,MATCH($A588, Papers!$A$2:$A$995,0)),"")</f>
        <v/>
      </c>
      <c r="C588" s="85" t="str">
        <f t="array" ref="C588">IFerror(INDEX(Papers!D$2:D$995,MATCH($A588, Papers!$A$2:$A$995,0)),"")</f>
        <v/>
      </c>
      <c r="D588" s="86" t="str">
        <f t="array" ref="D588">IFerror(INDEX(Papers!F$2:F$995,MATCH($A588, Papers!$A$2:$A$995,0)),"")</f>
        <v/>
      </c>
      <c r="E588" s="59" t="str">
        <f t="array" ref="E588">IFerror(INDEX(Papers!G$2:G$995,MATCH($A588, Papers!$A$2:$A$995,0)),"")</f>
        <v/>
      </c>
    </row>
    <row r="589">
      <c r="B589" s="85" t="str">
        <f t="array" ref="B589">IFerror(INDEX(Papers!C$2:C$995,MATCH($A589, Papers!$A$2:$A$995,0)),"")</f>
        <v/>
      </c>
      <c r="C589" s="85" t="str">
        <f t="array" ref="C589">IFerror(INDEX(Papers!D$2:D$995,MATCH($A589, Papers!$A$2:$A$995,0)),"")</f>
        <v/>
      </c>
      <c r="D589" s="86" t="str">
        <f t="array" ref="D589">IFerror(INDEX(Papers!F$2:F$995,MATCH($A589, Papers!$A$2:$A$995,0)),"")</f>
        <v/>
      </c>
      <c r="E589" s="59" t="str">
        <f t="array" ref="E589">IFerror(INDEX(Papers!G$2:G$995,MATCH($A589, Papers!$A$2:$A$995,0)),"")</f>
        <v/>
      </c>
    </row>
    <row r="590">
      <c r="B590" s="85" t="str">
        <f t="array" ref="B590">IFerror(INDEX(Papers!C$2:C$995,MATCH($A590, Papers!$A$2:$A$995,0)),"")</f>
        <v/>
      </c>
      <c r="C590" s="85" t="str">
        <f t="array" ref="C590">IFerror(INDEX(Papers!D$2:D$995,MATCH($A590, Papers!$A$2:$A$995,0)),"")</f>
        <v/>
      </c>
      <c r="D590" s="86" t="str">
        <f t="array" ref="D590">IFerror(INDEX(Papers!F$2:F$995,MATCH($A590, Papers!$A$2:$A$995,0)),"")</f>
        <v/>
      </c>
      <c r="E590" s="59" t="str">
        <f t="array" ref="E590">IFerror(INDEX(Papers!G$2:G$995,MATCH($A590, Papers!$A$2:$A$995,0)),"")</f>
        <v/>
      </c>
    </row>
    <row r="591">
      <c r="B591" s="85" t="str">
        <f t="array" ref="B591">IFerror(INDEX(Papers!C$2:C$995,MATCH($A591, Papers!$A$2:$A$995,0)),"")</f>
        <v/>
      </c>
      <c r="C591" s="85" t="str">
        <f t="array" ref="C591">IFerror(INDEX(Papers!D$2:D$995,MATCH($A591, Papers!$A$2:$A$995,0)),"")</f>
        <v/>
      </c>
      <c r="D591" s="86" t="str">
        <f t="array" ref="D591">IFerror(INDEX(Papers!F$2:F$995,MATCH($A591, Papers!$A$2:$A$995,0)),"")</f>
        <v/>
      </c>
      <c r="E591" s="59" t="str">
        <f t="array" ref="E591">IFerror(INDEX(Papers!G$2:G$995,MATCH($A591, Papers!$A$2:$A$995,0)),"")</f>
        <v/>
      </c>
    </row>
    <row r="592">
      <c r="B592" s="85" t="str">
        <f t="array" ref="B592">IFerror(INDEX(Papers!C$2:C$995,MATCH($A592, Papers!$A$2:$A$995,0)),"")</f>
        <v/>
      </c>
      <c r="C592" s="85" t="str">
        <f t="array" ref="C592">IFerror(INDEX(Papers!D$2:D$995,MATCH($A592, Papers!$A$2:$A$995,0)),"")</f>
        <v/>
      </c>
      <c r="D592" s="86" t="str">
        <f t="array" ref="D592">IFerror(INDEX(Papers!F$2:F$995,MATCH($A592, Papers!$A$2:$A$995,0)),"")</f>
        <v/>
      </c>
      <c r="E592" s="59" t="str">
        <f t="array" ref="E592">IFerror(INDEX(Papers!G$2:G$995,MATCH($A592, Papers!$A$2:$A$995,0)),"")</f>
        <v/>
      </c>
    </row>
    <row r="593">
      <c r="B593" s="85" t="str">
        <f t="array" ref="B593">IFerror(INDEX(Papers!C$2:C$995,MATCH($A593, Papers!$A$2:$A$995,0)),"")</f>
        <v/>
      </c>
      <c r="C593" s="85" t="str">
        <f t="array" ref="C593">IFerror(INDEX(Papers!D$2:D$995,MATCH($A593, Papers!$A$2:$A$995,0)),"")</f>
        <v/>
      </c>
      <c r="D593" s="86" t="str">
        <f t="array" ref="D593">IFerror(INDEX(Papers!F$2:F$995,MATCH($A593, Papers!$A$2:$A$995,0)),"")</f>
        <v/>
      </c>
      <c r="E593" s="59" t="str">
        <f t="array" ref="E593">IFerror(INDEX(Papers!G$2:G$995,MATCH($A593, Papers!$A$2:$A$995,0)),"")</f>
        <v/>
      </c>
    </row>
    <row r="594">
      <c r="B594" s="85" t="str">
        <f t="array" ref="B594">IFerror(INDEX(Papers!C$2:C$995,MATCH($A594, Papers!$A$2:$A$995,0)),"")</f>
        <v/>
      </c>
      <c r="C594" s="85" t="str">
        <f t="array" ref="C594">IFerror(INDEX(Papers!D$2:D$995,MATCH($A594, Papers!$A$2:$A$995,0)),"")</f>
        <v/>
      </c>
      <c r="D594" s="86" t="str">
        <f t="array" ref="D594">IFerror(INDEX(Papers!F$2:F$995,MATCH($A594, Papers!$A$2:$A$995,0)),"")</f>
        <v/>
      </c>
      <c r="E594" s="59" t="str">
        <f t="array" ref="E594">IFerror(INDEX(Papers!G$2:G$995,MATCH($A594, Papers!$A$2:$A$995,0)),"")</f>
        <v/>
      </c>
    </row>
    <row r="595">
      <c r="B595" s="85" t="str">
        <f t="array" ref="B595">IFerror(INDEX(Papers!C$2:C$995,MATCH($A595, Papers!$A$2:$A$995,0)),"")</f>
        <v/>
      </c>
      <c r="C595" s="85" t="str">
        <f t="array" ref="C595">IFerror(INDEX(Papers!D$2:D$995,MATCH($A595, Papers!$A$2:$A$995,0)),"")</f>
        <v/>
      </c>
      <c r="D595" s="86" t="str">
        <f t="array" ref="D595">IFerror(INDEX(Papers!F$2:F$995,MATCH($A595, Papers!$A$2:$A$995,0)),"")</f>
        <v/>
      </c>
      <c r="E595" s="59" t="str">
        <f t="array" ref="E595">IFerror(INDEX(Papers!G$2:G$995,MATCH($A595, Papers!$A$2:$A$995,0)),"")</f>
        <v/>
      </c>
    </row>
    <row r="596">
      <c r="B596" s="85" t="str">
        <f t="array" ref="B596">IFerror(INDEX(Papers!C$2:C$995,MATCH($A596, Papers!$A$2:$A$995,0)),"")</f>
        <v/>
      </c>
      <c r="C596" s="85" t="str">
        <f t="array" ref="C596">IFerror(INDEX(Papers!D$2:D$995,MATCH($A596, Papers!$A$2:$A$995,0)),"")</f>
        <v/>
      </c>
      <c r="D596" s="86" t="str">
        <f t="array" ref="D596">IFerror(INDEX(Papers!F$2:F$995,MATCH($A596, Papers!$A$2:$A$995,0)),"")</f>
        <v/>
      </c>
      <c r="E596" s="59" t="str">
        <f t="array" ref="E596">IFerror(INDEX(Papers!G$2:G$995,MATCH($A596, Papers!$A$2:$A$995,0)),"")</f>
        <v/>
      </c>
    </row>
    <row r="597">
      <c r="B597" s="85" t="str">
        <f t="array" ref="B597">IFerror(INDEX(Papers!C$2:C$995,MATCH($A597, Papers!$A$2:$A$995,0)),"")</f>
        <v/>
      </c>
      <c r="C597" s="85" t="str">
        <f t="array" ref="C597">IFerror(INDEX(Papers!D$2:D$995,MATCH($A597, Papers!$A$2:$A$995,0)),"")</f>
        <v/>
      </c>
      <c r="D597" s="86" t="str">
        <f t="array" ref="D597">IFerror(INDEX(Papers!F$2:F$995,MATCH($A597, Papers!$A$2:$A$995,0)),"")</f>
        <v/>
      </c>
      <c r="E597" s="59" t="str">
        <f t="array" ref="E597">IFerror(INDEX(Papers!G$2:G$995,MATCH($A597, Papers!$A$2:$A$995,0)),"")</f>
        <v/>
      </c>
    </row>
    <row r="598">
      <c r="B598" s="85" t="str">
        <f t="array" ref="B598">IFerror(INDEX(Papers!C$2:C$995,MATCH($A598, Papers!$A$2:$A$995,0)),"")</f>
        <v/>
      </c>
      <c r="C598" s="85" t="str">
        <f t="array" ref="C598">IFerror(INDEX(Papers!D$2:D$995,MATCH($A598, Papers!$A$2:$A$995,0)),"")</f>
        <v/>
      </c>
      <c r="D598" s="86" t="str">
        <f t="array" ref="D598">IFerror(INDEX(Papers!F$2:F$995,MATCH($A598, Papers!$A$2:$A$995,0)),"")</f>
        <v/>
      </c>
      <c r="E598" s="59" t="str">
        <f t="array" ref="E598">IFerror(INDEX(Papers!G$2:G$995,MATCH($A598, Papers!$A$2:$A$995,0)),"")</f>
        <v/>
      </c>
    </row>
    <row r="599">
      <c r="B599" s="85" t="str">
        <f t="array" ref="B599">IFerror(INDEX(Papers!C$2:C$995,MATCH($A599, Papers!$A$2:$A$995,0)),"")</f>
        <v/>
      </c>
      <c r="C599" s="85" t="str">
        <f t="array" ref="C599">IFerror(INDEX(Papers!D$2:D$995,MATCH($A599, Papers!$A$2:$A$995,0)),"")</f>
        <v/>
      </c>
      <c r="D599" s="86" t="str">
        <f t="array" ref="D599">IFerror(INDEX(Papers!F$2:F$995,MATCH($A599, Papers!$A$2:$A$995,0)),"")</f>
        <v/>
      </c>
      <c r="E599" s="59" t="str">
        <f t="array" ref="E599">IFerror(INDEX(Papers!G$2:G$995,MATCH($A599, Papers!$A$2:$A$995,0)),"")</f>
        <v/>
      </c>
    </row>
    <row r="600">
      <c r="B600" s="85" t="str">
        <f t="array" ref="B600">IFerror(INDEX(Papers!C$2:C$995,MATCH($A600, Papers!$A$2:$A$995,0)),"")</f>
        <v/>
      </c>
      <c r="C600" s="85" t="str">
        <f t="array" ref="C600">IFerror(INDEX(Papers!D$2:D$995,MATCH($A600, Papers!$A$2:$A$995,0)),"")</f>
        <v/>
      </c>
      <c r="D600" s="86" t="str">
        <f t="array" ref="D600">IFerror(INDEX(Papers!F$2:F$995,MATCH($A600, Papers!$A$2:$A$995,0)),"")</f>
        <v/>
      </c>
      <c r="E600" s="59" t="str">
        <f t="array" ref="E600">IFerror(INDEX(Papers!G$2:G$995,MATCH($A600, Papers!$A$2:$A$995,0)),"")</f>
        <v/>
      </c>
    </row>
    <row r="601">
      <c r="B601" s="85" t="str">
        <f t="array" ref="B601">IFerror(INDEX(Papers!C$2:C$995,MATCH($A601, Papers!$A$2:$A$995,0)),"")</f>
        <v/>
      </c>
      <c r="C601" s="85" t="str">
        <f t="array" ref="C601">IFerror(INDEX(Papers!D$2:D$995,MATCH($A601, Papers!$A$2:$A$995,0)),"")</f>
        <v/>
      </c>
      <c r="D601" s="86" t="str">
        <f t="array" ref="D601">IFerror(INDEX(Papers!F$2:F$995,MATCH($A601, Papers!$A$2:$A$995,0)),"")</f>
        <v/>
      </c>
      <c r="E601" s="59" t="str">
        <f t="array" ref="E601">IFerror(INDEX(Papers!G$2:G$995,MATCH($A601, Papers!$A$2:$A$995,0)),"")</f>
        <v/>
      </c>
    </row>
    <row r="602">
      <c r="B602" s="85" t="str">
        <f t="array" ref="B602">IFerror(INDEX(Papers!C$2:C$995,MATCH($A602, Papers!$A$2:$A$995,0)),"")</f>
        <v/>
      </c>
      <c r="C602" s="85" t="str">
        <f t="array" ref="C602">IFerror(INDEX(Papers!D$2:D$995,MATCH($A602, Papers!$A$2:$A$995,0)),"")</f>
        <v/>
      </c>
      <c r="D602" s="86" t="str">
        <f t="array" ref="D602">IFerror(INDEX(Papers!F$2:F$995,MATCH($A602, Papers!$A$2:$A$995,0)),"")</f>
        <v/>
      </c>
      <c r="E602" s="59" t="str">
        <f t="array" ref="E602">IFerror(INDEX(Papers!G$2:G$995,MATCH($A602, Papers!$A$2:$A$995,0)),"")</f>
        <v/>
      </c>
    </row>
    <row r="603">
      <c r="B603" s="85" t="str">
        <f t="array" ref="B603">IFerror(INDEX(Papers!C$2:C$995,MATCH($A603, Papers!$A$2:$A$995,0)),"")</f>
        <v/>
      </c>
      <c r="C603" s="85" t="str">
        <f t="array" ref="C603">IFerror(INDEX(Papers!D$2:D$995,MATCH($A603, Papers!$A$2:$A$995,0)),"")</f>
        <v/>
      </c>
      <c r="D603" s="86" t="str">
        <f t="array" ref="D603">IFerror(INDEX(Papers!F$2:F$995,MATCH($A603, Papers!$A$2:$A$995,0)),"")</f>
        <v/>
      </c>
      <c r="E603" s="59" t="str">
        <f t="array" ref="E603">IFerror(INDEX(Papers!G$2:G$995,MATCH($A603, Papers!$A$2:$A$995,0)),"")</f>
        <v/>
      </c>
    </row>
    <row r="604">
      <c r="B604" s="85" t="str">
        <f t="array" ref="B604">IFerror(INDEX(Papers!C$2:C$995,MATCH($A604, Papers!$A$2:$A$995,0)),"")</f>
        <v/>
      </c>
      <c r="C604" s="85" t="str">
        <f t="array" ref="C604">IFerror(INDEX(Papers!D$2:D$995,MATCH($A604, Papers!$A$2:$A$995,0)),"")</f>
        <v/>
      </c>
      <c r="D604" s="86" t="str">
        <f t="array" ref="D604">IFerror(INDEX(Papers!F$2:F$995,MATCH($A604, Papers!$A$2:$A$995,0)),"")</f>
        <v/>
      </c>
      <c r="E604" s="59" t="str">
        <f t="array" ref="E604">IFerror(INDEX(Papers!G$2:G$995,MATCH($A604, Papers!$A$2:$A$995,0)),"")</f>
        <v/>
      </c>
    </row>
    <row r="605">
      <c r="B605" s="85" t="str">
        <f t="array" ref="B605">IFerror(INDEX(Papers!C$2:C$995,MATCH($A605, Papers!$A$2:$A$995,0)),"")</f>
        <v/>
      </c>
      <c r="C605" s="85" t="str">
        <f t="array" ref="C605">IFerror(INDEX(Papers!D$2:D$995,MATCH($A605, Papers!$A$2:$A$995,0)),"")</f>
        <v/>
      </c>
      <c r="D605" s="86" t="str">
        <f t="array" ref="D605">IFerror(INDEX(Papers!F$2:F$995,MATCH($A605, Papers!$A$2:$A$995,0)),"")</f>
        <v/>
      </c>
      <c r="E605" s="59" t="str">
        <f t="array" ref="E605">IFerror(INDEX(Papers!G$2:G$995,MATCH($A605, Papers!$A$2:$A$995,0)),"")</f>
        <v/>
      </c>
    </row>
    <row r="606">
      <c r="B606" s="85" t="str">
        <f t="array" ref="B606">IFerror(INDEX(Papers!C$2:C$995,MATCH($A606, Papers!$A$2:$A$995,0)),"")</f>
        <v/>
      </c>
      <c r="C606" s="85" t="str">
        <f t="array" ref="C606">IFerror(INDEX(Papers!D$2:D$995,MATCH($A606, Papers!$A$2:$A$995,0)),"")</f>
        <v/>
      </c>
      <c r="D606" s="86" t="str">
        <f t="array" ref="D606">IFerror(INDEX(Papers!F$2:F$995,MATCH($A606, Papers!$A$2:$A$995,0)),"")</f>
        <v/>
      </c>
      <c r="E606" s="59" t="str">
        <f t="array" ref="E606">IFerror(INDEX(Papers!G$2:G$995,MATCH($A606, Papers!$A$2:$A$995,0)),"")</f>
        <v/>
      </c>
    </row>
    <row r="607">
      <c r="B607" s="85" t="str">
        <f t="array" ref="B607">IFerror(INDEX(Papers!C$2:C$995,MATCH($A607, Papers!$A$2:$A$995,0)),"")</f>
        <v/>
      </c>
      <c r="C607" s="85" t="str">
        <f t="array" ref="C607">IFerror(INDEX(Papers!D$2:D$995,MATCH($A607, Papers!$A$2:$A$995,0)),"")</f>
        <v/>
      </c>
      <c r="D607" s="86" t="str">
        <f t="array" ref="D607">IFerror(INDEX(Papers!F$2:F$995,MATCH($A607, Papers!$A$2:$A$995,0)),"")</f>
        <v/>
      </c>
      <c r="E607" s="59" t="str">
        <f t="array" ref="E607">IFerror(INDEX(Papers!G$2:G$995,MATCH($A607, Papers!$A$2:$A$995,0)),"")</f>
        <v/>
      </c>
    </row>
    <row r="608">
      <c r="B608" s="85" t="str">
        <f t="array" ref="B608">IFerror(INDEX(Papers!C$2:C$995,MATCH($A608, Papers!$A$2:$A$995,0)),"")</f>
        <v/>
      </c>
      <c r="C608" s="85" t="str">
        <f t="array" ref="C608">IFerror(INDEX(Papers!D$2:D$995,MATCH($A608, Papers!$A$2:$A$995,0)),"")</f>
        <v/>
      </c>
      <c r="D608" s="86" t="str">
        <f t="array" ref="D608">IFerror(INDEX(Papers!F$2:F$995,MATCH($A608, Papers!$A$2:$A$995,0)),"")</f>
        <v/>
      </c>
      <c r="E608" s="59" t="str">
        <f t="array" ref="E608">IFerror(INDEX(Papers!G$2:G$995,MATCH($A608, Papers!$A$2:$A$995,0)),"")</f>
        <v/>
      </c>
    </row>
    <row r="609">
      <c r="B609" s="85" t="str">
        <f t="array" ref="B609">IFerror(INDEX(Papers!C$2:C$995,MATCH($A609, Papers!$A$2:$A$995,0)),"")</f>
        <v/>
      </c>
      <c r="C609" s="85" t="str">
        <f t="array" ref="C609">IFerror(INDEX(Papers!D$2:D$995,MATCH($A609, Papers!$A$2:$A$995,0)),"")</f>
        <v/>
      </c>
      <c r="D609" s="86" t="str">
        <f t="array" ref="D609">IFerror(INDEX(Papers!F$2:F$995,MATCH($A609, Papers!$A$2:$A$995,0)),"")</f>
        <v/>
      </c>
      <c r="E609" s="59" t="str">
        <f t="array" ref="E609">IFerror(INDEX(Papers!G$2:G$995,MATCH($A609, Papers!$A$2:$A$995,0)),"")</f>
        <v/>
      </c>
    </row>
    <row r="610">
      <c r="B610" s="85" t="str">
        <f t="array" ref="B610">IFerror(INDEX(Papers!C$2:C$995,MATCH($A610, Papers!$A$2:$A$995,0)),"")</f>
        <v/>
      </c>
      <c r="C610" s="85" t="str">
        <f t="array" ref="C610">IFerror(INDEX(Papers!D$2:D$995,MATCH($A610, Papers!$A$2:$A$995,0)),"")</f>
        <v/>
      </c>
      <c r="D610" s="86" t="str">
        <f t="array" ref="D610">IFerror(INDEX(Papers!F$2:F$995,MATCH($A610, Papers!$A$2:$A$995,0)),"")</f>
        <v/>
      </c>
      <c r="E610" s="59" t="str">
        <f t="array" ref="E610">IFerror(INDEX(Papers!G$2:G$995,MATCH($A610, Papers!$A$2:$A$995,0)),"")</f>
        <v/>
      </c>
    </row>
    <row r="611">
      <c r="B611" s="85" t="str">
        <f t="array" ref="B611">IFerror(INDEX(Papers!C$2:C$995,MATCH($A611, Papers!$A$2:$A$995,0)),"")</f>
        <v/>
      </c>
      <c r="C611" s="85" t="str">
        <f t="array" ref="C611">IFerror(INDEX(Papers!D$2:D$995,MATCH($A611, Papers!$A$2:$A$995,0)),"")</f>
        <v/>
      </c>
      <c r="D611" s="86" t="str">
        <f t="array" ref="D611">IFerror(INDEX(Papers!F$2:F$995,MATCH($A611, Papers!$A$2:$A$995,0)),"")</f>
        <v/>
      </c>
      <c r="E611" s="59" t="str">
        <f t="array" ref="E611">IFerror(INDEX(Papers!G$2:G$995,MATCH($A611, Papers!$A$2:$A$995,0)),"")</f>
        <v/>
      </c>
    </row>
    <row r="612">
      <c r="B612" s="85" t="str">
        <f t="array" ref="B612">IFerror(INDEX(Papers!C$2:C$995,MATCH($A612, Papers!$A$2:$A$995,0)),"")</f>
        <v/>
      </c>
      <c r="C612" s="85" t="str">
        <f t="array" ref="C612">IFerror(INDEX(Papers!D$2:D$995,MATCH($A612, Papers!$A$2:$A$995,0)),"")</f>
        <v/>
      </c>
      <c r="D612" s="86" t="str">
        <f t="array" ref="D612">IFerror(INDEX(Papers!F$2:F$995,MATCH($A612, Papers!$A$2:$A$995,0)),"")</f>
        <v/>
      </c>
      <c r="E612" s="59" t="str">
        <f t="array" ref="E612">IFerror(INDEX(Papers!G$2:G$995,MATCH($A612, Papers!$A$2:$A$995,0)),"")</f>
        <v/>
      </c>
    </row>
    <row r="613">
      <c r="B613" s="85" t="str">
        <f t="array" ref="B613">IFerror(INDEX(Papers!C$2:C$995,MATCH($A613, Papers!$A$2:$A$995,0)),"")</f>
        <v/>
      </c>
      <c r="C613" s="85" t="str">
        <f t="array" ref="C613">IFerror(INDEX(Papers!D$2:D$995,MATCH($A613, Papers!$A$2:$A$995,0)),"")</f>
        <v/>
      </c>
      <c r="D613" s="86" t="str">
        <f t="array" ref="D613">IFerror(INDEX(Papers!F$2:F$995,MATCH($A613, Papers!$A$2:$A$995,0)),"")</f>
        <v/>
      </c>
      <c r="E613" s="59" t="str">
        <f t="array" ref="E613">IFerror(INDEX(Papers!G$2:G$995,MATCH($A613, Papers!$A$2:$A$995,0)),"")</f>
        <v/>
      </c>
    </row>
    <row r="614">
      <c r="B614" s="85" t="str">
        <f t="array" ref="B614">IFerror(INDEX(Papers!C$2:C$995,MATCH($A614, Papers!$A$2:$A$995,0)),"")</f>
        <v/>
      </c>
      <c r="C614" s="85" t="str">
        <f t="array" ref="C614">IFerror(INDEX(Papers!D$2:D$995,MATCH($A614, Papers!$A$2:$A$995,0)),"")</f>
        <v/>
      </c>
      <c r="D614" s="86" t="str">
        <f t="array" ref="D614">IFerror(INDEX(Papers!F$2:F$995,MATCH($A614, Papers!$A$2:$A$995,0)),"")</f>
        <v/>
      </c>
      <c r="E614" s="59" t="str">
        <f t="array" ref="E614">IFerror(INDEX(Papers!G$2:G$995,MATCH($A614, Papers!$A$2:$A$995,0)),"")</f>
        <v/>
      </c>
    </row>
    <row r="615">
      <c r="B615" s="85" t="str">
        <f t="array" ref="B615">IFerror(INDEX(Papers!C$2:C$995,MATCH($A615, Papers!$A$2:$A$995,0)),"")</f>
        <v/>
      </c>
      <c r="C615" s="85" t="str">
        <f t="array" ref="C615">IFerror(INDEX(Papers!D$2:D$995,MATCH($A615, Papers!$A$2:$A$995,0)),"")</f>
        <v/>
      </c>
      <c r="D615" s="86" t="str">
        <f t="array" ref="D615">IFerror(INDEX(Papers!F$2:F$995,MATCH($A615, Papers!$A$2:$A$995,0)),"")</f>
        <v/>
      </c>
      <c r="E615" s="59" t="str">
        <f t="array" ref="E615">IFerror(INDEX(Papers!G$2:G$995,MATCH($A615, Papers!$A$2:$A$995,0)),"")</f>
        <v/>
      </c>
    </row>
    <row r="616">
      <c r="B616" s="85" t="str">
        <f t="array" ref="B616">IFerror(INDEX(Papers!C$2:C$995,MATCH($A616, Papers!$A$2:$A$995,0)),"")</f>
        <v/>
      </c>
      <c r="C616" s="85" t="str">
        <f t="array" ref="C616">IFerror(INDEX(Papers!D$2:D$995,MATCH($A616, Papers!$A$2:$A$995,0)),"")</f>
        <v/>
      </c>
      <c r="D616" s="86" t="str">
        <f t="array" ref="D616">IFerror(INDEX(Papers!F$2:F$995,MATCH($A616, Papers!$A$2:$A$995,0)),"")</f>
        <v/>
      </c>
      <c r="E616" s="59" t="str">
        <f t="array" ref="E616">IFerror(INDEX(Papers!G$2:G$995,MATCH($A616, Papers!$A$2:$A$995,0)),"")</f>
        <v/>
      </c>
    </row>
    <row r="617">
      <c r="B617" s="85" t="str">
        <f t="array" ref="B617">IFerror(INDEX(Papers!C$2:C$995,MATCH($A617, Papers!$A$2:$A$995,0)),"")</f>
        <v/>
      </c>
      <c r="C617" s="85" t="str">
        <f t="array" ref="C617">IFerror(INDEX(Papers!D$2:D$995,MATCH($A617, Papers!$A$2:$A$995,0)),"")</f>
        <v/>
      </c>
      <c r="D617" s="86" t="str">
        <f t="array" ref="D617">IFerror(INDEX(Papers!F$2:F$995,MATCH($A617, Papers!$A$2:$A$995,0)),"")</f>
        <v/>
      </c>
      <c r="E617" s="59" t="str">
        <f t="array" ref="E617">IFerror(INDEX(Papers!G$2:G$995,MATCH($A617, Papers!$A$2:$A$995,0)),"")</f>
        <v/>
      </c>
    </row>
    <row r="618">
      <c r="B618" s="85" t="str">
        <f t="array" ref="B618">IFerror(INDEX(Papers!C$2:C$995,MATCH($A618, Papers!$A$2:$A$995,0)),"")</f>
        <v/>
      </c>
      <c r="C618" s="85" t="str">
        <f t="array" ref="C618">IFerror(INDEX(Papers!D$2:D$995,MATCH($A618, Papers!$A$2:$A$995,0)),"")</f>
        <v/>
      </c>
      <c r="D618" s="86" t="str">
        <f t="array" ref="D618">IFerror(INDEX(Papers!F$2:F$995,MATCH($A618, Papers!$A$2:$A$995,0)),"")</f>
        <v/>
      </c>
      <c r="E618" s="59" t="str">
        <f t="array" ref="E618">IFerror(INDEX(Papers!G$2:G$995,MATCH($A618, Papers!$A$2:$A$995,0)),"")</f>
        <v/>
      </c>
    </row>
    <row r="619">
      <c r="B619" s="85" t="str">
        <f t="array" ref="B619">IFerror(INDEX(Papers!C$2:C$995,MATCH($A619, Papers!$A$2:$A$995,0)),"")</f>
        <v/>
      </c>
      <c r="C619" s="85" t="str">
        <f t="array" ref="C619">IFerror(INDEX(Papers!D$2:D$995,MATCH($A619, Papers!$A$2:$A$995,0)),"")</f>
        <v/>
      </c>
      <c r="D619" s="86" t="str">
        <f t="array" ref="D619">IFerror(INDEX(Papers!F$2:F$995,MATCH($A619, Papers!$A$2:$A$995,0)),"")</f>
        <v/>
      </c>
      <c r="E619" s="59" t="str">
        <f t="array" ref="E619">IFerror(INDEX(Papers!G$2:G$995,MATCH($A619, Papers!$A$2:$A$995,0)),"")</f>
        <v/>
      </c>
    </row>
    <row r="620">
      <c r="B620" s="85" t="str">
        <f t="array" ref="B620">IFerror(INDEX(Papers!C$2:C$995,MATCH($A620, Papers!$A$2:$A$995,0)),"")</f>
        <v/>
      </c>
      <c r="C620" s="85" t="str">
        <f t="array" ref="C620">IFerror(INDEX(Papers!D$2:D$995,MATCH($A620, Papers!$A$2:$A$995,0)),"")</f>
        <v/>
      </c>
      <c r="D620" s="86" t="str">
        <f t="array" ref="D620">IFerror(INDEX(Papers!F$2:F$995,MATCH($A620, Papers!$A$2:$A$995,0)),"")</f>
        <v/>
      </c>
      <c r="E620" s="59" t="str">
        <f t="array" ref="E620">IFerror(INDEX(Papers!G$2:G$995,MATCH($A620, Papers!$A$2:$A$995,0)),"")</f>
        <v/>
      </c>
    </row>
    <row r="621">
      <c r="B621" s="85" t="str">
        <f t="array" ref="B621">IFerror(INDEX(Papers!C$2:C$995,MATCH($A621, Papers!$A$2:$A$995,0)),"")</f>
        <v/>
      </c>
      <c r="C621" s="85" t="str">
        <f t="array" ref="C621">IFerror(INDEX(Papers!D$2:D$995,MATCH($A621, Papers!$A$2:$A$995,0)),"")</f>
        <v/>
      </c>
      <c r="D621" s="86" t="str">
        <f t="array" ref="D621">IFerror(INDEX(Papers!F$2:F$995,MATCH($A621, Papers!$A$2:$A$995,0)),"")</f>
        <v/>
      </c>
      <c r="E621" s="59" t="str">
        <f t="array" ref="E621">IFerror(INDEX(Papers!G$2:G$995,MATCH($A621, Papers!$A$2:$A$995,0)),"")</f>
        <v/>
      </c>
    </row>
    <row r="622">
      <c r="B622" s="85" t="str">
        <f t="array" ref="B622">IFerror(INDEX(Papers!C$2:C$995,MATCH($A622, Papers!$A$2:$A$995,0)),"")</f>
        <v/>
      </c>
      <c r="C622" s="85" t="str">
        <f t="array" ref="C622">IFerror(INDEX(Papers!D$2:D$995,MATCH($A622, Papers!$A$2:$A$995,0)),"")</f>
        <v/>
      </c>
      <c r="D622" s="86" t="str">
        <f t="array" ref="D622">IFerror(INDEX(Papers!F$2:F$995,MATCH($A622, Papers!$A$2:$A$995,0)),"")</f>
        <v/>
      </c>
      <c r="E622" s="59" t="str">
        <f t="array" ref="E622">IFerror(INDEX(Papers!G$2:G$995,MATCH($A622, Papers!$A$2:$A$995,0)),"")</f>
        <v/>
      </c>
    </row>
    <row r="623">
      <c r="B623" s="85" t="str">
        <f t="array" ref="B623">IFerror(INDEX(Papers!C$2:C$995,MATCH($A623, Papers!$A$2:$A$995,0)),"")</f>
        <v/>
      </c>
      <c r="C623" s="85" t="str">
        <f t="array" ref="C623">IFerror(INDEX(Papers!D$2:D$995,MATCH($A623, Papers!$A$2:$A$995,0)),"")</f>
        <v/>
      </c>
      <c r="D623" s="86" t="str">
        <f t="array" ref="D623">IFerror(INDEX(Papers!F$2:F$995,MATCH($A623, Papers!$A$2:$A$995,0)),"")</f>
        <v/>
      </c>
      <c r="E623" s="59" t="str">
        <f t="array" ref="E623">IFerror(INDEX(Papers!G$2:G$995,MATCH($A623, Papers!$A$2:$A$995,0)),"")</f>
        <v/>
      </c>
    </row>
    <row r="624">
      <c r="B624" s="85" t="str">
        <f t="array" ref="B624">IFerror(INDEX(Papers!C$2:C$995,MATCH($A624, Papers!$A$2:$A$995,0)),"")</f>
        <v/>
      </c>
      <c r="C624" s="85" t="str">
        <f t="array" ref="C624">IFerror(INDEX(Papers!D$2:D$995,MATCH($A624, Papers!$A$2:$A$995,0)),"")</f>
        <v/>
      </c>
      <c r="D624" s="86" t="str">
        <f t="array" ref="D624">IFerror(INDEX(Papers!F$2:F$995,MATCH($A624, Papers!$A$2:$A$995,0)),"")</f>
        <v/>
      </c>
      <c r="E624" s="59" t="str">
        <f t="array" ref="E624">IFerror(INDEX(Papers!G$2:G$995,MATCH($A624, Papers!$A$2:$A$995,0)),"")</f>
        <v/>
      </c>
    </row>
    <row r="625">
      <c r="B625" s="85" t="str">
        <f t="array" ref="B625">IFerror(INDEX(Papers!C$2:C$995,MATCH($A625, Papers!$A$2:$A$995,0)),"")</f>
        <v/>
      </c>
      <c r="C625" s="85" t="str">
        <f t="array" ref="C625">IFerror(INDEX(Papers!D$2:D$995,MATCH($A625, Papers!$A$2:$A$995,0)),"")</f>
        <v/>
      </c>
      <c r="D625" s="86" t="str">
        <f t="array" ref="D625">IFerror(INDEX(Papers!F$2:F$995,MATCH($A625, Papers!$A$2:$A$995,0)),"")</f>
        <v/>
      </c>
      <c r="E625" s="59" t="str">
        <f t="array" ref="E625">IFerror(INDEX(Papers!G$2:G$995,MATCH($A625, Papers!$A$2:$A$995,0)),"")</f>
        <v/>
      </c>
    </row>
    <row r="626">
      <c r="B626" s="85" t="str">
        <f t="array" ref="B626">IFerror(INDEX(Papers!C$2:C$995,MATCH($A626, Papers!$A$2:$A$995,0)),"")</f>
        <v/>
      </c>
      <c r="C626" s="85" t="str">
        <f t="array" ref="C626">IFerror(INDEX(Papers!D$2:D$995,MATCH($A626, Papers!$A$2:$A$995,0)),"")</f>
        <v/>
      </c>
      <c r="D626" s="86" t="str">
        <f t="array" ref="D626">IFerror(INDEX(Papers!F$2:F$995,MATCH($A626, Papers!$A$2:$A$995,0)),"")</f>
        <v/>
      </c>
      <c r="E626" s="59" t="str">
        <f t="array" ref="E626">IFerror(INDEX(Papers!G$2:G$995,MATCH($A626, Papers!$A$2:$A$995,0)),"")</f>
        <v/>
      </c>
    </row>
    <row r="627">
      <c r="B627" s="85" t="str">
        <f t="array" ref="B627">IFerror(INDEX(Papers!C$2:C$995,MATCH($A627, Papers!$A$2:$A$995,0)),"")</f>
        <v/>
      </c>
      <c r="C627" s="85" t="str">
        <f t="array" ref="C627">IFerror(INDEX(Papers!D$2:D$995,MATCH($A627, Papers!$A$2:$A$995,0)),"")</f>
        <v/>
      </c>
      <c r="D627" s="86" t="str">
        <f t="array" ref="D627">IFerror(INDEX(Papers!F$2:F$995,MATCH($A627, Papers!$A$2:$A$995,0)),"")</f>
        <v/>
      </c>
      <c r="E627" s="59" t="str">
        <f t="array" ref="E627">IFerror(INDEX(Papers!G$2:G$995,MATCH($A627, Papers!$A$2:$A$995,0)),"")</f>
        <v/>
      </c>
    </row>
    <row r="628">
      <c r="B628" s="85" t="str">
        <f t="array" ref="B628">IFerror(INDEX(Papers!C$2:C$995,MATCH($A628, Papers!$A$2:$A$995,0)),"")</f>
        <v/>
      </c>
      <c r="C628" s="85" t="str">
        <f t="array" ref="C628">IFerror(INDEX(Papers!D$2:D$995,MATCH($A628, Papers!$A$2:$A$995,0)),"")</f>
        <v/>
      </c>
      <c r="D628" s="86" t="str">
        <f t="array" ref="D628">IFerror(INDEX(Papers!F$2:F$995,MATCH($A628, Papers!$A$2:$A$995,0)),"")</f>
        <v/>
      </c>
      <c r="E628" s="59" t="str">
        <f t="array" ref="E628">IFerror(INDEX(Papers!G$2:G$995,MATCH($A628, Papers!$A$2:$A$995,0)),"")</f>
        <v/>
      </c>
    </row>
    <row r="629">
      <c r="B629" s="85" t="str">
        <f t="array" ref="B629">IFerror(INDEX(Papers!C$2:C$995,MATCH($A629, Papers!$A$2:$A$995,0)),"")</f>
        <v/>
      </c>
      <c r="C629" s="85" t="str">
        <f t="array" ref="C629">IFerror(INDEX(Papers!D$2:D$995,MATCH($A629, Papers!$A$2:$A$995,0)),"")</f>
        <v/>
      </c>
      <c r="D629" s="86" t="str">
        <f t="array" ref="D629">IFerror(INDEX(Papers!F$2:F$995,MATCH($A629, Papers!$A$2:$A$995,0)),"")</f>
        <v/>
      </c>
      <c r="E629" s="59" t="str">
        <f t="array" ref="E629">IFerror(INDEX(Papers!G$2:G$995,MATCH($A629, Papers!$A$2:$A$995,0)),"")</f>
        <v/>
      </c>
    </row>
    <row r="630">
      <c r="B630" s="85" t="str">
        <f t="array" ref="B630">IFerror(INDEX(Papers!C$2:C$995,MATCH($A630, Papers!$A$2:$A$995,0)),"")</f>
        <v/>
      </c>
      <c r="C630" s="85" t="str">
        <f t="array" ref="C630">IFerror(INDEX(Papers!D$2:D$995,MATCH($A630, Papers!$A$2:$A$995,0)),"")</f>
        <v/>
      </c>
      <c r="D630" s="86" t="str">
        <f t="array" ref="D630">IFerror(INDEX(Papers!F$2:F$995,MATCH($A630, Papers!$A$2:$A$995,0)),"")</f>
        <v/>
      </c>
      <c r="E630" s="59" t="str">
        <f t="array" ref="E630">IFerror(INDEX(Papers!G$2:G$995,MATCH($A630, Papers!$A$2:$A$995,0)),"")</f>
        <v/>
      </c>
    </row>
    <row r="631">
      <c r="B631" s="85" t="str">
        <f t="array" ref="B631">IFerror(INDEX(Papers!C$2:C$995,MATCH($A631, Papers!$A$2:$A$995,0)),"")</f>
        <v/>
      </c>
      <c r="C631" s="85" t="str">
        <f t="array" ref="C631">IFerror(INDEX(Papers!D$2:D$995,MATCH($A631, Papers!$A$2:$A$995,0)),"")</f>
        <v/>
      </c>
      <c r="D631" s="86" t="str">
        <f t="array" ref="D631">IFerror(INDEX(Papers!F$2:F$995,MATCH($A631, Papers!$A$2:$A$995,0)),"")</f>
        <v/>
      </c>
      <c r="E631" s="59" t="str">
        <f t="array" ref="E631">IFerror(INDEX(Papers!G$2:G$995,MATCH($A631, Papers!$A$2:$A$995,0)),"")</f>
        <v/>
      </c>
    </row>
    <row r="632">
      <c r="B632" s="85" t="str">
        <f t="array" ref="B632">IFerror(INDEX(Papers!C$2:C$995,MATCH($A632, Papers!$A$2:$A$995,0)),"")</f>
        <v/>
      </c>
      <c r="C632" s="85" t="str">
        <f t="array" ref="C632">IFerror(INDEX(Papers!D$2:D$995,MATCH($A632, Papers!$A$2:$A$995,0)),"")</f>
        <v/>
      </c>
      <c r="D632" s="86" t="str">
        <f t="array" ref="D632">IFerror(INDEX(Papers!F$2:F$995,MATCH($A632, Papers!$A$2:$A$995,0)),"")</f>
        <v/>
      </c>
      <c r="E632" s="59" t="str">
        <f t="array" ref="E632">IFerror(INDEX(Papers!G$2:G$995,MATCH($A632, Papers!$A$2:$A$995,0)),"")</f>
        <v/>
      </c>
    </row>
    <row r="633">
      <c r="B633" s="85" t="str">
        <f t="array" ref="B633">IFerror(INDEX(Papers!C$2:C$995,MATCH($A633, Papers!$A$2:$A$995,0)),"")</f>
        <v/>
      </c>
      <c r="C633" s="85" t="str">
        <f t="array" ref="C633">IFerror(INDEX(Papers!D$2:D$995,MATCH($A633, Papers!$A$2:$A$995,0)),"")</f>
        <v/>
      </c>
      <c r="D633" s="86" t="str">
        <f t="array" ref="D633">IFerror(INDEX(Papers!F$2:F$995,MATCH($A633, Papers!$A$2:$A$995,0)),"")</f>
        <v/>
      </c>
      <c r="E633" s="59" t="str">
        <f t="array" ref="E633">IFerror(INDEX(Papers!G$2:G$995,MATCH($A633, Papers!$A$2:$A$995,0)),"")</f>
        <v/>
      </c>
    </row>
    <row r="634">
      <c r="B634" s="85" t="str">
        <f t="array" ref="B634">IFerror(INDEX(Papers!C$2:C$995,MATCH($A634, Papers!$A$2:$A$995,0)),"")</f>
        <v/>
      </c>
      <c r="C634" s="85" t="str">
        <f t="array" ref="C634">IFerror(INDEX(Papers!D$2:D$995,MATCH($A634, Papers!$A$2:$A$995,0)),"")</f>
        <v/>
      </c>
      <c r="D634" s="86" t="str">
        <f t="array" ref="D634">IFerror(INDEX(Papers!F$2:F$995,MATCH($A634, Papers!$A$2:$A$995,0)),"")</f>
        <v/>
      </c>
      <c r="E634" s="59" t="str">
        <f t="array" ref="E634">IFerror(INDEX(Papers!G$2:G$995,MATCH($A634, Papers!$A$2:$A$995,0)),"")</f>
        <v/>
      </c>
    </row>
    <row r="635">
      <c r="B635" s="85" t="str">
        <f t="array" ref="B635">IFerror(INDEX(Papers!C$2:C$995,MATCH($A635, Papers!$A$2:$A$995,0)),"")</f>
        <v/>
      </c>
      <c r="C635" s="85" t="str">
        <f t="array" ref="C635">IFerror(INDEX(Papers!D$2:D$995,MATCH($A635, Papers!$A$2:$A$995,0)),"")</f>
        <v/>
      </c>
      <c r="D635" s="86" t="str">
        <f t="array" ref="D635">IFerror(INDEX(Papers!F$2:F$995,MATCH($A635, Papers!$A$2:$A$995,0)),"")</f>
        <v/>
      </c>
      <c r="E635" s="59" t="str">
        <f t="array" ref="E635">IFerror(INDEX(Papers!G$2:G$995,MATCH($A635, Papers!$A$2:$A$995,0)),"")</f>
        <v/>
      </c>
    </row>
    <row r="636">
      <c r="B636" s="85" t="str">
        <f t="array" ref="B636">IFerror(INDEX(Papers!C$2:C$995,MATCH($A636, Papers!$A$2:$A$995,0)),"")</f>
        <v/>
      </c>
      <c r="C636" s="85" t="str">
        <f t="array" ref="C636">IFerror(INDEX(Papers!D$2:D$995,MATCH($A636, Papers!$A$2:$A$995,0)),"")</f>
        <v/>
      </c>
      <c r="D636" s="86" t="str">
        <f t="array" ref="D636">IFerror(INDEX(Papers!F$2:F$995,MATCH($A636, Papers!$A$2:$A$995,0)),"")</f>
        <v/>
      </c>
      <c r="E636" s="59" t="str">
        <f t="array" ref="E636">IFerror(INDEX(Papers!G$2:G$995,MATCH($A636, Papers!$A$2:$A$995,0)),"")</f>
        <v/>
      </c>
    </row>
    <row r="637">
      <c r="B637" s="85" t="str">
        <f t="array" ref="B637">IFerror(INDEX(Papers!C$2:C$995,MATCH($A637, Papers!$A$2:$A$995,0)),"")</f>
        <v/>
      </c>
      <c r="C637" s="85" t="str">
        <f t="array" ref="C637">IFerror(INDEX(Papers!D$2:D$995,MATCH($A637, Papers!$A$2:$A$995,0)),"")</f>
        <v/>
      </c>
      <c r="D637" s="86" t="str">
        <f t="array" ref="D637">IFerror(INDEX(Papers!F$2:F$995,MATCH($A637, Papers!$A$2:$A$995,0)),"")</f>
        <v/>
      </c>
      <c r="E637" s="59" t="str">
        <f t="array" ref="E637">IFerror(INDEX(Papers!G$2:G$995,MATCH($A637, Papers!$A$2:$A$995,0)),"")</f>
        <v/>
      </c>
    </row>
    <row r="638">
      <c r="B638" s="85" t="str">
        <f t="array" ref="B638">IFerror(INDEX(Papers!C$2:C$995,MATCH($A638, Papers!$A$2:$A$995,0)),"")</f>
        <v/>
      </c>
      <c r="C638" s="85" t="str">
        <f t="array" ref="C638">IFerror(INDEX(Papers!D$2:D$995,MATCH($A638, Papers!$A$2:$A$995,0)),"")</f>
        <v/>
      </c>
      <c r="D638" s="86" t="str">
        <f t="array" ref="D638">IFerror(INDEX(Papers!F$2:F$995,MATCH($A638, Papers!$A$2:$A$995,0)),"")</f>
        <v/>
      </c>
      <c r="E638" s="59" t="str">
        <f t="array" ref="E638">IFerror(INDEX(Papers!G$2:G$995,MATCH($A638, Papers!$A$2:$A$995,0)),"")</f>
        <v/>
      </c>
    </row>
    <row r="639">
      <c r="B639" s="85" t="str">
        <f t="array" ref="B639">IFerror(INDEX(Papers!C$2:C$995,MATCH($A639, Papers!$A$2:$A$995,0)),"")</f>
        <v/>
      </c>
      <c r="C639" s="85" t="str">
        <f t="array" ref="C639">IFerror(INDEX(Papers!D$2:D$995,MATCH($A639, Papers!$A$2:$A$995,0)),"")</f>
        <v/>
      </c>
      <c r="D639" s="86" t="str">
        <f t="array" ref="D639">IFerror(INDEX(Papers!F$2:F$995,MATCH($A639, Papers!$A$2:$A$995,0)),"")</f>
        <v/>
      </c>
      <c r="E639" s="59" t="str">
        <f t="array" ref="E639">IFerror(INDEX(Papers!G$2:G$995,MATCH($A639, Papers!$A$2:$A$995,0)),"")</f>
        <v/>
      </c>
    </row>
    <row r="640">
      <c r="B640" s="85" t="str">
        <f t="array" ref="B640">IFerror(INDEX(Papers!C$2:C$995,MATCH($A640, Papers!$A$2:$A$995,0)),"")</f>
        <v/>
      </c>
      <c r="C640" s="85" t="str">
        <f t="array" ref="C640">IFerror(INDEX(Papers!D$2:D$995,MATCH($A640, Papers!$A$2:$A$995,0)),"")</f>
        <v/>
      </c>
      <c r="D640" s="86" t="str">
        <f t="array" ref="D640">IFerror(INDEX(Papers!F$2:F$995,MATCH($A640, Papers!$A$2:$A$995,0)),"")</f>
        <v/>
      </c>
      <c r="E640" s="59" t="str">
        <f t="array" ref="E640">IFerror(INDEX(Papers!G$2:G$995,MATCH($A640, Papers!$A$2:$A$995,0)),"")</f>
        <v/>
      </c>
    </row>
    <row r="641">
      <c r="B641" s="85" t="str">
        <f t="array" ref="B641">IFerror(INDEX(Papers!C$2:C$995,MATCH($A641, Papers!$A$2:$A$995,0)),"")</f>
        <v/>
      </c>
      <c r="C641" s="85" t="str">
        <f t="array" ref="C641">IFerror(INDEX(Papers!D$2:D$995,MATCH($A641, Papers!$A$2:$A$995,0)),"")</f>
        <v/>
      </c>
      <c r="D641" s="86" t="str">
        <f t="array" ref="D641">IFerror(INDEX(Papers!F$2:F$995,MATCH($A641, Papers!$A$2:$A$995,0)),"")</f>
        <v/>
      </c>
      <c r="E641" s="59" t="str">
        <f t="array" ref="E641">IFerror(INDEX(Papers!G$2:G$995,MATCH($A641, Papers!$A$2:$A$995,0)),"")</f>
        <v/>
      </c>
    </row>
    <row r="642">
      <c r="B642" s="85" t="str">
        <f t="array" ref="B642">IFerror(INDEX(Papers!C$2:C$995,MATCH($A642, Papers!$A$2:$A$995,0)),"")</f>
        <v/>
      </c>
      <c r="C642" s="85" t="str">
        <f t="array" ref="C642">IFerror(INDEX(Papers!D$2:D$995,MATCH($A642, Papers!$A$2:$A$995,0)),"")</f>
        <v/>
      </c>
      <c r="D642" s="86" t="str">
        <f t="array" ref="D642">IFerror(INDEX(Papers!F$2:F$995,MATCH($A642, Papers!$A$2:$A$995,0)),"")</f>
        <v/>
      </c>
      <c r="E642" s="59" t="str">
        <f t="array" ref="E642">IFerror(INDEX(Papers!G$2:G$995,MATCH($A642, Papers!$A$2:$A$995,0)),"")</f>
        <v/>
      </c>
    </row>
    <row r="643">
      <c r="B643" s="85" t="str">
        <f t="array" ref="B643">IFerror(INDEX(Papers!C$2:C$995,MATCH($A643, Papers!$A$2:$A$995,0)),"")</f>
        <v/>
      </c>
      <c r="C643" s="85" t="str">
        <f t="array" ref="C643">IFerror(INDEX(Papers!D$2:D$995,MATCH($A643, Papers!$A$2:$A$995,0)),"")</f>
        <v/>
      </c>
      <c r="D643" s="86" t="str">
        <f t="array" ref="D643">IFerror(INDEX(Papers!F$2:F$995,MATCH($A643, Papers!$A$2:$A$995,0)),"")</f>
        <v/>
      </c>
      <c r="E643" s="59" t="str">
        <f t="array" ref="E643">IFerror(INDEX(Papers!G$2:G$995,MATCH($A643, Papers!$A$2:$A$995,0)),"")</f>
        <v/>
      </c>
    </row>
    <row r="644">
      <c r="B644" s="85" t="str">
        <f t="array" ref="B644">IFerror(INDEX(Papers!C$2:C$995,MATCH($A644, Papers!$A$2:$A$995,0)),"")</f>
        <v/>
      </c>
      <c r="C644" s="85" t="str">
        <f t="array" ref="C644">IFerror(INDEX(Papers!D$2:D$995,MATCH($A644, Papers!$A$2:$A$995,0)),"")</f>
        <v/>
      </c>
      <c r="D644" s="86" t="str">
        <f t="array" ref="D644">IFerror(INDEX(Papers!F$2:F$995,MATCH($A644, Papers!$A$2:$A$995,0)),"")</f>
        <v/>
      </c>
      <c r="E644" s="59" t="str">
        <f t="array" ref="E644">IFerror(INDEX(Papers!G$2:G$995,MATCH($A644, Papers!$A$2:$A$995,0)),"")</f>
        <v/>
      </c>
    </row>
    <row r="645">
      <c r="B645" s="85" t="str">
        <f t="array" ref="B645">IFerror(INDEX(Papers!C$2:C$995,MATCH($A645, Papers!$A$2:$A$995,0)),"")</f>
        <v/>
      </c>
      <c r="C645" s="85" t="str">
        <f t="array" ref="C645">IFerror(INDEX(Papers!D$2:D$995,MATCH($A645, Papers!$A$2:$A$995,0)),"")</f>
        <v/>
      </c>
      <c r="D645" s="86" t="str">
        <f t="array" ref="D645">IFerror(INDEX(Papers!F$2:F$995,MATCH($A645, Papers!$A$2:$A$995,0)),"")</f>
        <v/>
      </c>
      <c r="E645" s="59" t="str">
        <f t="array" ref="E645">IFerror(INDEX(Papers!G$2:G$995,MATCH($A645, Papers!$A$2:$A$995,0)),"")</f>
        <v/>
      </c>
    </row>
    <row r="646">
      <c r="B646" s="85" t="str">
        <f t="array" ref="B646">IFerror(INDEX(Papers!C$2:C$995,MATCH($A646, Papers!$A$2:$A$995,0)),"")</f>
        <v/>
      </c>
      <c r="C646" s="85" t="str">
        <f t="array" ref="C646">IFerror(INDEX(Papers!D$2:D$995,MATCH($A646, Papers!$A$2:$A$995,0)),"")</f>
        <v/>
      </c>
      <c r="D646" s="86" t="str">
        <f t="array" ref="D646">IFerror(INDEX(Papers!F$2:F$995,MATCH($A646, Papers!$A$2:$A$995,0)),"")</f>
        <v/>
      </c>
      <c r="E646" s="59" t="str">
        <f t="array" ref="E646">IFerror(INDEX(Papers!G$2:G$995,MATCH($A646, Papers!$A$2:$A$995,0)),"")</f>
        <v/>
      </c>
    </row>
    <row r="647">
      <c r="B647" s="85" t="str">
        <f t="array" ref="B647">IFerror(INDEX(Papers!C$2:C$995,MATCH($A647, Papers!$A$2:$A$995,0)),"")</f>
        <v/>
      </c>
      <c r="C647" s="85" t="str">
        <f t="array" ref="C647">IFerror(INDEX(Papers!D$2:D$995,MATCH($A647, Papers!$A$2:$A$995,0)),"")</f>
        <v/>
      </c>
      <c r="D647" s="86" t="str">
        <f t="array" ref="D647">IFerror(INDEX(Papers!F$2:F$995,MATCH($A647, Papers!$A$2:$A$995,0)),"")</f>
        <v/>
      </c>
      <c r="E647" s="59" t="str">
        <f t="array" ref="E647">IFerror(INDEX(Papers!G$2:G$995,MATCH($A647, Papers!$A$2:$A$995,0)),"")</f>
        <v/>
      </c>
    </row>
    <row r="648">
      <c r="B648" s="85" t="str">
        <f t="array" ref="B648">IFerror(INDEX(Papers!C$2:C$995,MATCH($A648, Papers!$A$2:$A$995,0)),"")</f>
        <v/>
      </c>
      <c r="C648" s="85" t="str">
        <f t="array" ref="C648">IFerror(INDEX(Papers!D$2:D$995,MATCH($A648, Papers!$A$2:$A$995,0)),"")</f>
        <v/>
      </c>
      <c r="D648" s="86" t="str">
        <f t="array" ref="D648">IFerror(INDEX(Papers!F$2:F$995,MATCH($A648, Papers!$A$2:$A$995,0)),"")</f>
        <v/>
      </c>
      <c r="E648" s="59" t="str">
        <f t="array" ref="E648">IFerror(INDEX(Papers!G$2:G$995,MATCH($A648, Papers!$A$2:$A$995,0)),"")</f>
        <v/>
      </c>
    </row>
    <row r="649">
      <c r="B649" s="85" t="str">
        <f t="array" ref="B649">IFerror(INDEX(Papers!C$2:C$995,MATCH($A649, Papers!$A$2:$A$995,0)),"")</f>
        <v/>
      </c>
      <c r="C649" s="85" t="str">
        <f t="array" ref="C649">IFerror(INDEX(Papers!D$2:D$995,MATCH($A649, Papers!$A$2:$A$995,0)),"")</f>
        <v/>
      </c>
      <c r="D649" s="86" t="str">
        <f t="array" ref="D649">IFerror(INDEX(Papers!F$2:F$995,MATCH($A649, Papers!$A$2:$A$995,0)),"")</f>
        <v/>
      </c>
      <c r="E649" s="59" t="str">
        <f t="array" ref="E649">IFerror(INDEX(Papers!G$2:G$995,MATCH($A649, Papers!$A$2:$A$995,0)),"")</f>
        <v/>
      </c>
    </row>
    <row r="650">
      <c r="B650" s="85" t="str">
        <f t="array" ref="B650">IFerror(INDEX(Papers!C$2:C$995,MATCH($A650, Papers!$A$2:$A$995,0)),"")</f>
        <v/>
      </c>
      <c r="C650" s="85" t="str">
        <f t="array" ref="C650">IFerror(INDEX(Papers!D$2:D$995,MATCH($A650, Papers!$A$2:$A$995,0)),"")</f>
        <v/>
      </c>
      <c r="D650" s="86" t="str">
        <f t="array" ref="D650">IFerror(INDEX(Papers!F$2:F$995,MATCH($A650, Papers!$A$2:$A$995,0)),"")</f>
        <v/>
      </c>
      <c r="E650" s="59" t="str">
        <f t="array" ref="E650">IFerror(INDEX(Papers!G$2:G$995,MATCH($A650, Papers!$A$2:$A$995,0)),"")</f>
        <v/>
      </c>
    </row>
    <row r="651">
      <c r="B651" s="85" t="str">
        <f t="array" ref="B651">IFerror(INDEX(Papers!C$2:C$995,MATCH($A651, Papers!$A$2:$A$995,0)),"")</f>
        <v/>
      </c>
      <c r="C651" s="85" t="str">
        <f t="array" ref="C651">IFerror(INDEX(Papers!D$2:D$995,MATCH($A651, Papers!$A$2:$A$995,0)),"")</f>
        <v/>
      </c>
      <c r="D651" s="86" t="str">
        <f t="array" ref="D651">IFerror(INDEX(Papers!F$2:F$995,MATCH($A651, Papers!$A$2:$A$995,0)),"")</f>
        <v/>
      </c>
      <c r="E651" s="59" t="str">
        <f t="array" ref="E651">IFerror(INDEX(Papers!G$2:G$995,MATCH($A651, Papers!$A$2:$A$995,0)),"")</f>
        <v/>
      </c>
    </row>
    <row r="652">
      <c r="B652" s="85" t="str">
        <f t="array" ref="B652">IFerror(INDEX(Papers!C$2:C$995,MATCH($A652, Papers!$A$2:$A$995,0)),"")</f>
        <v/>
      </c>
      <c r="C652" s="85" t="str">
        <f t="array" ref="C652">IFerror(INDEX(Papers!D$2:D$995,MATCH($A652, Papers!$A$2:$A$995,0)),"")</f>
        <v/>
      </c>
      <c r="D652" s="86" t="str">
        <f t="array" ref="D652">IFerror(INDEX(Papers!F$2:F$995,MATCH($A652, Papers!$A$2:$A$995,0)),"")</f>
        <v/>
      </c>
      <c r="E652" s="59" t="str">
        <f t="array" ref="E652">IFerror(INDEX(Papers!G$2:G$995,MATCH($A652, Papers!$A$2:$A$995,0)),"")</f>
        <v/>
      </c>
    </row>
    <row r="653">
      <c r="B653" s="85" t="str">
        <f t="array" ref="B653">IFerror(INDEX(Papers!C$2:C$995,MATCH($A653, Papers!$A$2:$A$995,0)),"")</f>
        <v/>
      </c>
      <c r="C653" s="85" t="str">
        <f t="array" ref="C653">IFerror(INDEX(Papers!D$2:D$995,MATCH($A653, Papers!$A$2:$A$995,0)),"")</f>
        <v/>
      </c>
      <c r="D653" s="86" t="str">
        <f t="array" ref="D653">IFerror(INDEX(Papers!F$2:F$995,MATCH($A653, Papers!$A$2:$A$995,0)),"")</f>
        <v/>
      </c>
      <c r="E653" s="59" t="str">
        <f t="array" ref="E653">IFerror(INDEX(Papers!G$2:G$995,MATCH($A653, Papers!$A$2:$A$995,0)),"")</f>
        <v/>
      </c>
    </row>
    <row r="654">
      <c r="B654" s="85" t="str">
        <f t="array" ref="B654">IFerror(INDEX(Papers!C$2:C$995,MATCH($A654, Papers!$A$2:$A$995,0)),"")</f>
        <v/>
      </c>
      <c r="C654" s="85" t="str">
        <f t="array" ref="C654">IFerror(INDEX(Papers!D$2:D$995,MATCH($A654, Papers!$A$2:$A$995,0)),"")</f>
        <v/>
      </c>
      <c r="D654" s="86" t="str">
        <f t="array" ref="D654">IFerror(INDEX(Papers!F$2:F$995,MATCH($A654, Papers!$A$2:$A$995,0)),"")</f>
        <v/>
      </c>
      <c r="E654" s="59" t="str">
        <f t="array" ref="E654">IFerror(INDEX(Papers!G$2:G$995,MATCH($A654, Papers!$A$2:$A$995,0)),"")</f>
        <v/>
      </c>
    </row>
    <row r="655">
      <c r="B655" s="85" t="str">
        <f t="array" ref="B655">IFerror(INDEX(Papers!C$2:C$995,MATCH($A655, Papers!$A$2:$A$995,0)),"")</f>
        <v/>
      </c>
      <c r="C655" s="85" t="str">
        <f t="array" ref="C655">IFerror(INDEX(Papers!D$2:D$995,MATCH($A655, Papers!$A$2:$A$995,0)),"")</f>
        <v/>
      </c>
      <c r="D655" s="86" t="str">
        <f t="array" ref="D655">IFerror(INDEX(Papers!F$2:F$995,MATCH($A655, Papers!$A$2:$A$995,0)),"")</f>
        <v/>
      </c>
      <c r="E655" s="59" t="str">
        <f t="array" ref="E655">IFerror(INDEX(Papers!G$2:G$995,MATCH($A655, Papers!$A$2:$A$995,0)),"")</f>
        <v/>
      </c>
    </row>
    <row r="656">
      <c r="B656" s="85" t="str">
        <f t="array" ref="B656">IFerror(INDEX(Papers!C$2:C$995,MATCH($A656, Papers!$A$2:$A$995,0)),"")</f>
        <v/>
      </c>
      <c r="C656" s="85" t="str">
        <f t="array" ref="C656">IFerror(INDEX(Papers!D$2:D$995,MATCH($A656, Papers!$A$2:$A$995,0)),"")</f>
        <v/>
      </c>
      <c r="D656" s="86" t="str">
        <f t="array" ref="D656">IFerror(INDEX(Papers!F$2:F$995,MATCH($A656, Papers!$A$2:$A$995,0)),"")</f>
        <v/>
      </c>
      <c r="E656" s="59" t="str">
        <f t="array" ref="E656">IFerror(INDEX(Papers!G$2:G$995,MATCH($A656, Papers!$A$2:$A$995,0)),"")</f>
        <v/>
      </c>
    </row>
    <row r="657">
      <c r="B657" s="85" t="str">
        <f t="array" ref="B657">IFerror(INDEX(Papers!C$2:C$995,MATCH($A657, Papers!$A$2:$A$995,0)),"")</f>
        <v/>
      </c>
      <c r="C657" s="85" t="str">
        <f t="array" ref="C657">IFerror(INDEX(Papers!D$2:D$995,MATCH($A657, Papers!$A$2:$A$995,0)),"")</f>
        <v/>
      </c>
      <c r="D657" s="86" t="str">
        <f t="array" ref="D657">IFerror(INDEX(Papers!F$2:F$995,MATCH($A657, Papers!$A$2:$A$995,0)),"")</f>
        <v/>
      </c>
      <c r="E657" s="59" t="str">
        <f t="array" ref="E657">IFerror(INDEX(Papers!G$2:G$995,MATCH($A657, Papers!$A$2:$A$995,0)),"")</f>
        <v/>
      </c>
    </row>
    <row r="658">
      <c r="B658" s="85" t="str">
        <f t="array" ref="B658">IFerror(INDEX(Papers!C$2:C$995,MATCH($A658, Papers!$A$2:$A$995,0)),"")</f>
        <v/>
      </c>
      <c r="C658" s="85" t="str">
        <f t="array" ref="C658">IFerror(INDEX(Papers!D$2:D$995,MATCH($A658, Papers!$A$2:$A$995,0)),"")</f>
        <v/>
      </c>
      <c r="D658" s="86" t="str">
        <f t="array" ref="D658">IFerror(INDEX(Papers!F$2:F$995,MATCH($A658, Papers!$A$2:$A$995,0)),"")</f>
        <v/>
      </c>
      <c r="E658" s="59" t="str">
        <f t="array" ref="E658">IFerror(INDEX(Papers!G$2:G$995,MATCH($A658, Papers!$A$2:$A$995,0)),"")</f>
        <v/>
      </c>
    </row>
    <row r="659">
      <c r="B659" s="85" t="str">
        <f t="array" ref="B659">IFerror(INDEX(Papers!C$2:C$995,MATCH($A659, Papers!$A$2:$A$995,0)),"")</f>
        <v/>
      </c>
      <c r="C659" s="85" t="str">
        <f t="array" ref="C659">IFerror(INDEX(Papers!D$2:D$995,MATCH($A659, Papers!$A$2:$A$995,0)),"")</f>
        <v/>
      </c>
      <c r="D659" s="86" t="str">
        <f t="array" ref="D659">IFerror(INDEX(Papers!F$2:F$995,MATCH($A659, Papers!$A$2:$A$995,0)),"")</f>
        <v/>
      </c>
      <c r="E659" s="59" t="str">
        <f t="array" ref="E659">IFerror(INDEX(Papers!G$2:G$995,MATCH($A659, Papers!$A$2:$A$995,0)),"")</f>
        <v/>
      </c>
    </row>
    <row r="660">
      <c r="B660" s="85" t="str">
        <f t="array" ref="B660">IFerror(INDEX(Papers!C$2:C$995,MATCH($A660, Papers!$A$2:$A$995,0)),"")</f>
        <v/>
      </c>
      <c r="C660" s="85" t="str">
        <f t="array" ref="C660">IFerror(INDEX(Papers!D$2:D$995,MATCH($A660, Papers!$A$2:$A$995,0)),"")</f>
        <v/>
      </c>
      <c r="D660" s="86" t="str">
        <f t="array" ref="D660">IFerror(INDEX(Papers!F$2:F$995,MATCH($A660, Papers!$A$2:$A$995,0)),"")</f>
        <v/>
      </c>
      <c r="E660" s="59" t="str">
        <f t="array" ref="E660">IFerror(INDEX(Papers!G$2:G$995,MATCH($A660, Papers!$A$2:$A$995,0)),"")</f>
        <v/>
      </c>
    </row>
    <row r="661">
      <c r="B661" s="85" t="str">
        <f t="array" ref="B661">IFerror(INDEX(Papers!C$2:C$995,MATCH($A661, Papers!$A$2:$A$995,0)),"")</f>
        <v/>
      </c>
      <c r="C661" s="85" t="str">
        <f t="array" ref="C661">IFerror(INDEX(Papers!D$2:D$995,MATCH($A661, Papers!$A$2:$A$995,0)),"")</f>
        <v/>
      </c>
      <c r="D661" s="86" t="str">
        <f t="array" ref="D661">IFerror(INDEX(Papers!F$2:F$995,MATCH($A661, Papers!$A$2:$A$995,0)),"")</f>
        <v/>
      </c>
      <c r="E661" s="59" t="str">
        <f t="array" ref="E661">IFerror(INDEX(Papers!G$2:G$995,MATCH($A661, Papers!$A$2:$A$995,0)),"")</f>
        <v/>
      </c>
    </row>
    <row r="662">
      <c r="B662" s="85" t="str">
        <f t="array" ref="B662">IFerror(INDEX(Papers!C$2:C$995,MATCH($A662, Papers!$A$2:$A$995,0)),"")</f>
        <v/>
      </c>
      <c r="C662" s="85" t="str">
        <f t="array" ref="C662">IFerror(INDEX(Papers!D$2:D$995,MATCH($A662, Papers!$A$2:$A$995,0)),"")</f>
        <v/>
      </c>
      <c r="D662" s="86" t="str">
        <f t="array" ref="D662">IFerror(INDEX(Papers!F$2:F$995,MATCH($A662, Papers!$A$2:$A$995,0)),"")</f>
        <v/>
      </c>
      <c r="E662" s="59" t="str">
        <f t="array" ref="E662">IFerror(INDEX(Papers!G$2:G$995,MATCH($A662, Papers!$A$2:$A$995,0)),"")</f>
        <v/>
      </c>
    </row>
    <row r="663">
      <c r="B663" s="85" t="str">
        <f t="array" ref="B663">IFerror(INDEX(Papers!C$2:C$995,MATCH($A663, Papers!$A$2:$A$995,0)),"")</f>
        <v/>
      </c>
      <c r="C663" s="85" t="str">
        <f t="array" ref="C663">IFerror(INDEX(Papers!D$2:D$995,MATCH($A663, Papers!$A$2:$A$995,0)),"")</f>
        <v/>
      </c>
      <c r="D663" s="86" t="str">
        <f t="array" ref="D663">IFerror(INDEX(Papers!F$2:F$995,MATCH($A663, Papers!$A$2:$A$995,0)),"")</f>
        <v/>
      </c>
      <c r="E663" s="59" t="str">
        <f t="array" ref="E663">IFerror(INDEX(Papers!G$2:G$995,MATCH($A663, Papers!$A$2:$A$995,0)),"")</f>
        <v/>
      </c>
    </row>
    <row r="664">
      <c r="B664" s="85" t="str">
        <f t="array" ref="B664">IFerror(INDEX(Papers!C$2:C$995,MATCH($A664, Papers!$A$2:$A$995,0)),"")</f>
        <v/>
      </c>
      <c r="C664" s="85" t="str">
        <f t="array" ref="C664">IFerror(INDEX(Papers!D$2:D$995,MATCH($A664, Papers!$A$2:$A$995,0)),"")</f>
        <v/>
      </c>
      <c r="D664" s="86" t="str">
        <f t="array" ref="D664">IFerror(INDEX(Papers!F$2:F$995,MATCH($A664, Papers!$A$2:$A$995,0)),"")</f>
        <v/>
      </c>
      <c r="E664" s="59" t="str">
        <f t="array" ref="E664">IFerror(INDEX(Papers!G$2:G$995,MATCH($A664, Papers!$A$2:$A$995,0)),"")</f>
        <v/>
      </c>
    </row>
    <row r="665">
      <c r="B665" s="85" t="str">
        <f t="array" ref="B665">IFerror(INDEX(Papers!C$2:C$995,MATCH($A665, Papers!$A$2:$A$995,0)),"")</f>
        <v/>
      </c>
      <c r="C665" s="85" t="str">
        <f t="array" ref="C665">IFerror(INDEX(Papers!D$2:D$995,MATCH($A665, Papers!$A$2:$A$995,0)),"")</f>
        <v/>
      </c>
      <c r="D665" s="86" t="str">
        <f t="array" ref="D665">IFerror(INDEX(Papers!F$2:F$995,MATCH($A665, Papers!$A$2:$A$995,0)),"")</f>
        <v/>
      </c>
      <c r="E665" s="59" t="str">
        <f t="array" ref="E665">IFerror(INDEX(Papers!G$2:G$995,MATCH($A665, Papers!$A$2:$A$995,0)),"")</f>
        <v/>
      </c>
    </row>
    <row r="666">
      <c r="B666" s="85" t="str">
        <f t="array" ref="B666">IFerror(INDEX(Papers!C$2:C$995,MATCH($A666, Papers!$A$2:$A$995,0)),"")</f>
        <v/>
      </c>
      <c r="C666" s="85" t="str">
        <f t="array" ref="C666">IFerror(INDEX(Papers!D$2:D$995,MATCH($A666, Papers!$A$2:$A$995,0)),"")</f>
        <v/>
      </c>
      <c r="D666" s="86" t="str">
        <f t="array" ref="D666">IFerror(INDEX(Papers!F$2:F$995,MATCH($A666, Papers!$A$2:$A$995,0)),"")</f>
        <v/>
      </c>
      <c r="E666" s="59" t="str">
        <f t="array" ref="E666">IFerror(INDEX(Papers!G$2:G$995,MATCH($A666, Papers!$A$2:$A$995,0)),"")</f>
        <v/>
      </c>
    </row>
    <row r="667">
      <c r="B667" s="85" t="str">
        <f t="array" ref="B667">IFerror(INDEX(Papers!C$2:C$995,MATCH($A667, Papers!$A$2:$A$995,0)),"")</f>
        <v/>
      </c>
      <c r="C667" s="85" t="str">
        <f t="array" ref="C667">IFerror(INDEX(Papers!D$2:D$995,MATCH($A667, Papers!$A$2:$A$995,0)),"")</f>
        <v/>
      </c>
      <c r="D667" s="86" t="str">
        <f t="array" ref="D667">IFerror(INDEX(Papers!F$2:F$995,MATCH($A667, Papers!$A$2:$A$995,0)),"")</f>
        <v/>
      </c>
      <c r="E667" s="59" t="str">
        <f t="array" ref="E667">IFerror(INDEX(Papers!G$2:G$995,MATCH($A667, Papers!$A$2:$A$995,0)),"")</f>
        <v/>
      </c>
    </row>
    <row r="668">
      <c r="B668" s="85" t="str">
        <f t="array" ref="B668">IFerror(INDEX(Papers!C$2:C$995,MATCH($A668, Papers!$A$2:$A$995,0)),"")</f>
        <v/>
      </c>
      <c r="C668" s="85" t="str">
        <f t="array" ref="C668">IFerror(INDEX(Papers!D$2:D$995,MATCH($A668, Papers!$A$2:$A$995,0)),"")</f>
        <v/>
      </c>
      <c r="D668" s="86" t="str">
        <f t="array" ref="D668">IFerror(INDEX(Papers!F$2:F$995,MATCH($A668, Papers!$A$2:$A$995,0)),"")</f>
        <v/>
      </c>
      <c r="E668" s="59" t="str">
        <f t="array" ref="E668">IFerror(INDEX(Papers!G$2:G$995,MATCH($A668, Papers!$A$2:$A$995,0)),"")</f>
        <v/>
      </c>
    </row>
    <row r="669">
      <c r="B669" s="85" t="str">
        <f t="array" ref="B669">IFerror(INDEX(Papers!C$2:C$995,MATCH($A669, Papers!$A$2:$A$995,0)),"")</f>
        <v/>
      </c>
      <c r="C669" s="85" t="str">
        <f t="array" ref="C669">IFerror(INDEX(Papers!D$2:D$995,MATCH($A669, Papers!$A$2:$A$995,0)),"")</f>
        <v/>
      </c>
      <c r="D669" s="86" t="str">
        <f t="array" ref="D669">IFerror(INDEX(Papers!F$2:F$995,MATCH($A669, Papers!$A$2:$A$995,0)),"")</f>
        <v/>
      </c>
      <c r="E669" s="59" t="str">
        <f t="array" ref="E669">IFerror(INDEX(Papers!G$2:G$995,MATCH($A669, Papers!$A$2:$A$995,0)),"")</f>
        <v/>
      </c>
    </row>
    <row r="670">
      <c r="B670" s="85" t="str">
        <f t="array" ref="B670">IFerror(INDEX(Papers!C$2:C$995,MATCH($A670, Papers!$A$2:$A$995,0)),"")</f>
        <v/>
      </c>
      <c r="C670" s="85" t="str">
        <f t="array" ref="C670">IFerror(INDEX(Papers!D$2:D$995,MATCH($A670, Papers!$A$2:$A$995,0)),"")</f>
        <v/>
      </c>
      <c r="D670" s="86" t="str">
        <f t="array" ref="D670">IFerror(INDEX(Papers!F$2:F$995,MATCH($A670, Papers!$A$2:$A$995,0)),"")</f>
        <v/>
      </c>
      <c r="E670" s="59" t="str">
        <f t="array" ref="E670">IFerror(INDEX(Papers!G$2:G$995,MATCH($A670, Papers!$A$2:$A$995,0)),"")</f>
        <v/>
      </c>
    </row>
    <row r="671">
      <c r="B671" s="85" t="str">
        <f t="array" ref="B671">IFerror(INDEX(Papers!C$2:C$995,MATCH($A671, Papers!$A$2:$A$995,0)),"")</f>
        <v/>
      </c>
      <c r="C671" s="85" t="str">
        <f t="array" ref="C671">IFerror(INDEX(Papers!D$2:D$995,MATCH($A671, Papers!$A$2:$A$995,0)),"")</f>
        <v/>
      </c>
      <c r="D671" s="86" t="str">
        <f t="array" ref="D671">IFerror(INDEX(Papers!F$2:F$995,MATCH($A671, Papers!$A$2:$A$995,0)),"")</f>
        <v/>
      </c>
      <c r="E671" s="59" t="str">
        <f t="array" ref="E671">IFerror(INDEX(Papers!G$2:G$995,MATCH($A671, Papers!$A$2:$A$995,0)),"")</f>
        <v/>
      </c>
    </row>
    <row r="672">
      <c r="B672" s="85" t="str">
        <f t="array" ref="B672">IFerror(INDEX(Papers!C$2:C$995,MATCH($A672, Papers!$A$2:$A$995,0)),"")</f>
        <v/>
      </c>
      <c r="C672" s="85" t="str">
        <f t="array" ref="C672">IFerror(INDEX(Papers!D$2:D$995,MATCH($A672, Papers!$A$2:$A$995,0)),"")</f>
        <v/>
      </c>
      <c r="D672" s="86" t="str">
        <f t="array" ref="D672">IFerror(INDEX(Papers!F$2:F$995,MATCH($A672, Papers!$A$2:$A$995,0)),"")</f>
        <v/>
      </c>
      <c r="E672" s="59" t="str">
        <f t="array" ref="E672">IFerror(INDEX(Papers!G$2:G$995,MATCH($A672, Papers!$A$2:$A$995,0)),"")</f>
        <v/>
      </c>
    </row>
    <row r="673">
      <c r="B673" s="85" t="str">
        <f t="array" ref="B673">IFerror(INDEX(Papers!C$2:C$995,MATCH($A673, Papers!$A$2:$A$995,0)),"")</f>
        <v/>
      </c>
      <c r="C673" s="85" t="str">
        <f t="array" ref="C673">IFerror(INDEX(Papers!D$2:D$995,MATCH($A673, Papers!$A$2:$A$995,0)),"")</f>
        <v/>
      </c>
      <c r="D673" s="86" t="str">
        <f t="array" ref="D673">IFerror(INDEX(Papers!F$2:F$995,MATCH($A673, Papers!$A$2:$A$995,0)),"")</f>
        <v/>
      </c>
      <c r="E673" s="59" t="str">
        <f t="array" ref="E673">IFerror(INDEX(Papers!G$2:G$995,MATCH($A673, Papers!$A$2:$A$995,0)),"")</f>
        <v/>
      </c>
    </row>
    <row r="674">
      <c r="B674" s="85" t="str">
        <f t="array" ref="B674">IFerror(INDEX(Papers!C$2:C$995,MATCH($A674, Papers!$A$2:$A$995,0)),"")</f>
        <v/>
      </c>
      <c r="C674" s="85" t="str">
        <f t="array" ref="C674">IFerror(INDEX(Papers!D$2:D$995,MATCH($A674, Papers!$A$2:$A$995,0)),"")</f>
        <v/>
      </c>
      <c r="D674" s="86" t="str">
        <f t="array" ref="D674">IFerror(INDEX(Papers!F$2:F$995,MATCH($A674, Papers!$A$2:$A$995,0)),"")</f>
        <v/>
      </c>
      <c r="E674" s="59" t="str">
        <f t="array" ref="E674">IFerror(INDEX(Papers!G$2:G$995,MATCH($A674, Papers!$A$2:$A$995,0)),"")</f>
        <v/>
      </c>
    </row>
    <row r="675">
      <c r="B675" s="85" t="str">
        <f t="array" ref="B675">IFerror(INDEX(Papers!C$2:C$995,MATCH($A675, Papers!$A$2:$A$995,0)),"")</f>
        <v/>
      </c>
      <c r="C675" s="85" t="str">
        <f t="array" ref="C675">IFerror(INDEX(Papers!D$2:D$995,MATCH($A675, Papers!$A$2:$A$995,0)),"")</f>
        <v/>
      </c>
      <c r="D675" s="86" t="str">
        <f t="array" ref="D675">IFerror(INDEX(Papers!F$2:F$995,MATCH($A675, Papers!$A$2:$A$995,0)),"")</f>
        <v/>
      </c>
      <c r="E675" s="59" t="str">
        <f t="array" ref="E675">IFerror(INDEX(Papers!G$2:G$995,MATCH($A675, Papers!$A$2:$A$995,0)),"")</f>
        <v/>
      </c>
    </row>
    <row r="676">
      <c r="B676" s="85" t="str">
        <f t="array" ref="B676">IFerror(INDEX(Papers!C$2:C$995,MATCH($A676, Papers!$A$2:$A$995,0)),"")</f>
        <v/>
      </c>
      <c r="C676" s="85" t="str">
        <f t="array" ref="C676">IFerror(INDEX(Papers!D$2:D$995,MATCH($A676, Papers!$A$2:$A$995,0)),"")</f>
        <v/>
      </c>
      <c r="D676" s="86" t="str">
        <f t="array" ref="D676">IFerror(INDEX(Papers!F$2:F$995,MATCH($A676, Papers!$A$2:$A$995,0)),"")</f>
        <v/>
      </c>
      <c r="E676" s="59" t="str">
        <f t="array" ref="E676">IFerror(INDEX(Papers!G$2:G$995,MATCH($A676, Papers!$A$2:$A$995,0)),"")</f>
        <v/>
      </c>
    </row>
    <row r="677">
      <c r="B677" s="85" t="str">
        <f t="array" ref="B677">IFerror(INDEX(Papers!C$2:C$995,MATCH($A677, Papers!$A$2:$A$995,0)),"")</f>
        <v/>
      </c>
      <c r="C677" s="85" t="str">
        <f t="array" ref="C677">IFerror(INDEX(Papers!D$2:D$995,MATCH($A677, Papers!$A$2:$A$995,0)),"")</f>
        <v/>
      </c>
      <c r="D677" s="86" t="str">
        <f t="array" ref="D677">IFerror(INDEX(Papers!F$2:F$995,MATCH($A677, Papers!$A$2:$A$995,0)),"")</f>
        <v/>
      </c>
      <c r="E677" s="59" t="str">
        <f t="array" ref="E677">IFerror(INDEX(Papers!G$2:G$995,MATCH($A677, Papers!$A$2:$A$995,0)),"")</f>
        <v/>
      </c>
    </row>
    <row r="678">
      <c r="B678" s="85" t="str">
        <f t="array" ref="B678">IFerror(INDEX(Papers!C$2:C$995,MATCH($A678, Papers!$A$2:$A$995,0)),"")</f>
        <v/>
      </c>
      <c r="C678" s="85" t="str">
        <f t="array" ref="C678">IFerror(INDEX(Papers!D$2:D$995,MATCH($A678, Papers!$A$2:$A$995,0)),"")</f>
        <v/>
      </c>
      <c r="D678" s="86" t="str">
        <f t="array" ref="D678">IFerror(INDEX(Papers!F$2:F$995,MATCH($A678, Papers!$A$2:$A$995,0)),"")</f>
        <v/>
      </c>
      <c r="E678" s="59" t="str">
        <f t="array" ref="E678">IFerror(INDEX(Papers!G$2:G$995,MATCH($A678, Papers!$A$2:$A$995,0)),"")</f>
        <v/>
      </c>
    </row>
    <row r="679">
      <c r="B679" s="85" t="str">
        <f t="array" ref="B679">IFerror(INDEX(Papers!C$2:C$995,MATCH($A679, Papers!$A$2:$A$995,0)),"")</f>
        <v/>
      </c>
      <c r="C679" s="85" t="str">
        <f t="array" ref="C679">IFerror(INDEX(Papers!D$2:D$995,MATCH($A679, Papers!$A$2:$A$995,0)),"")</f>
        <v/>
      </c>
      <c r="D679" s="86" t="str">
        <f t="array" ref="D679">IFerror(INDEX(Papers!F$2:F$995,MATCH($A679, Papers!$A$2:$A$995,0)),"")</f>
        <v/>
      </c>
      <c r="E679" s="59" t="str">
        <f t="array" ref="E679">IFerror(INDEX(Papers!G$2:G$995,MATCH($A679, Papers!$A$2:$A$995,0)),"")</f>
        <v/>
      </c>
    </row>
    <row r="680">
      <c r="B680" s="85" t="str">
        <f t="array" ref="B680">IFerror(INDEX(Papers!C$2:C$995,MATCH($A680, Papers!$A$2:$A$995,0)),"")</f>
        <v/>
      </c>
      <c r="C680" s="85" t="str">
        <f t="array" ref="C680">IFerror(INDEX(Papers!D$2:D$995,MATCH($A680, Papers!$A$2:$A$995,0)),"")</f>
        <v/>
      </c>
      <c r="D680" s="86" t="str">
        <f t="array" ref="D680">IFerror(INDEX(Papers!F$2:F$995,MATCH($A680, Papers!$A$2:$A$995,0)),"")</f>
        <v/>
      </c>
      <c r="E680" s="59" t="str">
        <f t="array" ref="E680">IFerror(INDEX(Papers!G$2:G$995,MATCH($A680, Papers!$A$2:$A$995,0)),"")</f>
        <v/>
      </c>
    </row>
    <row r="681">
      <c r="B681" s="85" t="str">
        <f t="array" ref="B681">IFerror(INDEX(Papers!C$2:C$995,MATCH($A681, Papers!$A$2:$A$995,0)),"")</f>
        <v/>
      </c>
      <c r="C681" s="85" t="str">
        <f t="array" ref="C681">IFerror(INDEX(Papers!D$2:D$995,MATCH($A681, Papers!$A$2:$A$995,0)),"")</f>
        <v/>
      </c>
      <c r="D681" s="86" t="str">
        <f t="array" ref="D681">IFerror(INDEX(Papers!F$2:F$995,MATCH($A681, Papers!$A$2:$A$995,0)),"")</f>
        <v/>
      </c>
      <c r="E681" s="59" t="str">
        <f t="array" ref="E681">IFerror(INDEX(Papers!G$2:G$995,MATCH($A681, Papers!$A$2:$A$995,0)),"")</f>
        <v/>
      </c>
    </row>
    <row r="682">
      <c r="B682" s="85" t="str">
        <f t="array" ref="B682">IFerror(INDEX(Papers!C$2:C$995,MATCH($A682, Papers!$A$2:$A$995,0)),"")</f>
        <v/>
      </c>
      <c r="C682" s="85" t="str">
        <f t="array" ref="C682">IFerror(INDEX(Papers!D$2:D$995,MATCH($A682, Papers!$A$2:$A$995,0)),"")</f>
        <v/>
      </c>
      <c r="D682" s="86" t="str">
        <f t="array" ref="D682">IFerror(INDEX(Papers!F$2:F$995,MATCH($A682, Papers!$A$2:$A$995,0)),"")</f>
        <v/>
      </c>
      <c r="E682" s="59" t="str">
        <f t="array" ref="E682">IFerror(INDEX(Papers!G$2:G$995,MATCH($A682, Papers!$A$2:$A$995,0)),"")</f>
        <v/>
      </c>
    </row>
    <row r="683">
      <c r="B683" s="85" t="str">
        <f t="array" ref="B683">IFerror(INDEX(Papers!C$2:C$995,MATCH($A683, Papers!$A$2:$A$995,0)),"")</f>
        <v/>
      </c>
      <c r="C683" s="85" t="str">
        <f t="array" ref="C683">IFerror(INDEX(Papers!D$2:D$995,MATCH($A683, Papers!$A$2:$A$995,0)),"")</f>
        <v/>
      </c>
      <c r="D683" s="86" t="str">
        <f t="array" ref="D683">IFerror(INDEX(Papers!F$2:F$995,MATCH($A683, Papers!$A$2:$A$995,0)),"")</f>
        <v/>
      </c>
      <c r="E683" s="59" t="str">
        <f t="array" ref="E683">IFerror(INDEX(Papers!G$2:G$995,MATCH($A683, Papers!$A$2:$A$995,0)),"")</f>
        <v/>
      </c>
    </row>
    <row r="684">
      <c r="B684" s="85" t="str">
        <f t="array" ref="B684">IFerror(INDEX(Papers!C$2:C$995,MATCH($A684, Papers!$A$2:$A$995,0)),"")</f>
        <v/>
      </c>
      <c r="C684" s="85" t="str">
        <f t="array" ref="C684">IFerror(INDEX(Papers!D$2:D$995,MATCH($A684, Papers!$A$2:$A$995,0)),"")</f>
        <v/>
      </c>
      <c r="D684" s="86" t="str">
        <f t="array" ref="D684">IFerror(INDEX(Papers!F$2:F$995,MATCH($A684, Papers!$A$2:$A$995,0)),"")</f>
        <v/>
      </c>
      <c r="E684" s="59" t="str">
        <f t="array" ref="E684">IFerror(INDEX(Papers!G$2:G$995,MATCH($A684, Papers!$A$2:$A$995,0)),"")</f>
        <v/>
      </c>
    </row>
    <row r="685">
      <c r="B685" s="85" t="str">
        <f t="array" ref="B685">IFerror(INDEX(Papers!C$2:C$995,MATCH($A685, Papers!$A$2:$A$995,0)),"")</f>
        <v/>
      </c>
      <c r="C685" s="85" t="str">
        <f t="array" ref="C685">IFerror(INDEX(Papers!D$2:D$995,MATCH($A685, Papers!$A$2:$A$995,0)),"")</f>
        <v/>
      </c>
      <c r="D685" s="86" t="str">
        <f t="array" ref="D685">IFerror(INDEX(Papers!F$2:F$995,MATCH($A685, Papers!$A$2:$A$995,0)),"")</f>
        <v/>
      </c>
      <c r="E685" s="59" t="str">
        <f t="array" ref="E685">IFerror(INDEX(Papers!G$2:G$995,MATCH($A685, Papers!$A$2:$A$995,0)),"")</f>
        <v/>
      </c>
    </row>
    <row r="686">
      <c r="B686" s="85" t="str">
        <f t="array" ref="B686">IFerror(INDEX(Papers!C$2:C$995,MATCH($A686, Papers!$A$2:$A$995,0)),"")</f>
        <v/>
      </c>
      <c r="C686" s="85" t="str">
        <f t="array" ref="C686">IFerror(INDEX(Papers!D$2:D$995,MATCH($A686, Papers!$A$2:$A$995,0)),"")</f>
        <v/>
      </c>
      <c r="D686" s="86" t="str">
        <f t="array" ref="D686">IFerror(INDEX(Papers!F$2:F$995,MATCH($A686, Papers!$A$2:$A$995,0)),"")</f>
        <v/>
      </c>
      <c r="E686" s="59" t="str">
        <f t="array" ref="E686">IFerror(INDEX(Papers!G$2:G$995,MATCH($A686, Papers!$A$2:$A$995,0)),"")</f>
        <v/>
      </c>
    </row>
    <row r="687">
      <c r="B687" s="85" t="str">
        <f t="array" ref="B687">IFerror(INDEX(Papers!C$2:C$995,MATCH($A687, Papers!$A$2:$A$995,0)),"")</f>
        <v/>
      </c>
      <c r="C687" s="85" t="str">
        <f t="array" ref="C687">IFerror(INDEX(Papers!D$2:D$995,MATCH($A687, Papers!$A$2:$A$995,0)),"")</f>
        <v/>
      </c>
      <c r="D687" s="86" t="str">
        <f t="array" ref="D687">IFerror(INDEX(Papers!F$2:F$995,MATCH($A687, Papers!$A$2:$A$995,0)),"")</f>
        <v/>
      </c>
      <c r="E687" s="59" t="str">
        <f t="array" ref="E687">IFerror(INDEX(Papers!G$2:G$995,MATCH($A687, Papers!$A$2:$A$995,0)),"")</f>
        <v/>
      </c>
    </row>
    <row r="688">
      <c r="B688" s="85" t="str">
        <f t="array" ref="B688">IFerror(INDEX(Papers!C$2:C$995,MATCH($A688, Papers!$A$2:$A$995,0)),"")</f>
        <v/>
      </c>
      <c r="C688" s="85" t="str">
        <f t="array" ref="C688">IFerror(INDEX(Papers!D$2:D$995,MATCH($A688, Papers!$A$2:$A$995,0)),"")</f>
        <v/>
      </c>
      <c r="D688" s="86" t="str">
        <f t="array" ref="D688">IFerror(INDEX(Papers!F$2:F$995,MATCH($A688, Papers!$A$2:$A$995,0)),"")</f>
        <v/>
      </c>
      <c r="E688" s="59" t="str">
        <f t="array" ref="E688">IFerror(INDEX(Papers!G$2:G$995,MATCH($A688, Papers!$A$2:$A$995,0)),"")</f>
        <v/>
      </c>
    </row>
    <row r="689">
      <c r="B689" s="85" t="str">
        <f t="array" ref="B689">IFerror(INDEX(Papers!C$2:C$995,MATCH($A689, Papers!$A$2:$A$995,0)),"")</f>
        <v/>
      </c>
      <c r="C689" s="85" t="str">
        <f t="array" ref="C689">IFerror(INDEX(Papers!D$2:D$995,MATCH($A689, Papers!$A$2:$A$995,0)),"")</f>
        <v/>
      </c>
      <c r="D689" s="86" t="str">
        <f t="array" ref="D689">IFerror(INDEX(Papers!F$2:F$995,MATCH($A689, Papers!$A$2:$A$995,0)),"")</f>
        <v/>
      </c>
      <c r="E689" s="59" t="str">
        <f t="array" ref="E689">IFerror(INDEX(Papers!G$2:G$995,MATCH($A689, Papers!$A$2:$A$995,0)),"")</f>
        <v/>
      </c>
    </row>
    <row r="690">
      <c r="B690" s="85" t="str">
        <f t="array" ref="B690">IFerror(INDEX(Papers!C$2:C$995,MATCH($A690, Papers!$A$2:$A$995,0)),"")</f>
        <v/>
      </c>
      <c r="C690" s="85" t="str">
        <f t="array" ref="C690">IFerror(INDEX(Papers!D$2:D$995,MATCH($A690, Papers!$A$2:$A$995,0)),"")</f>
        <v/>
      </c>
      <c r="D690" s="86" t="str">
        <f t="array" ref="D690">IFerror(INDEX(Papers!F$2:F$995,MATCH($A690, Papers!$A$2:$A$995,0)),"")</f>
        <v/>
      </c>
      <c r="E690" s="59" t="str">
        <f t="array" ref="E690">IFerror(INDEX(Papers!G$2:G$995,MATCH($A690, Papers!$A$2:$A$995,0)),"")</f>
        <v/>
      </c>
    </row>
    <row r="691">
      <c r="B691" s="85" t="str">
        <f t="array" ref="B691">IFerror(INDEX(Papers!C$2:C$995,MATCH($A691, Papers!$A$2:$A$995,0)),"")</f>
        <v/>
      </c>
      <c r="C691" s="85" t="str">
        <f t="array" ref="C691">IFerror(INDEX(Papers!D$2:D$995,MATCH($A691, Papers!$A$2:$A$995,0)),"")</f>
        <v/>
      </c>
      <c r="D691" s="86" t="str">
        <f t="array" ref="D691">IFerror(INDEX(Papers!F$2:F$995,MATCH($A691, Papers!$A$2:$A$995,0)),"")</f>
        <v/>
      </c>
      <c r="E691" s="59" t="str">
        <f t="array" ref="E691">IFerror(INDEX(Papers!G$2:G$995,MATCH($A691, Papers!$A$2:$A$995,0)),"")</f>
        <v/>
      </c>
    </row>
    <row r="692">
      <c r="B692" s="85" t="str">
        <f t="array" ref="B692">IFerror(INDEX(Papers!C$2:C$995,MATCH($A692, Papers!$A$2:$A$995,0)),"")</f>
        <v/>
      </c>
      <c r="C692" s="85" t="str">
        <f t="array" ref="C692">IFerror(INDEX(Papers!D$2:D$995,MATCH($A692, Papers!$A$2:$A$995,0)),"")</f>
        <v/>
      </c>
      <c r="D692" s="86" t="str">
        <f t="array" ref="D692">IFerror(INDEX(Papers!F$2:F$995,MATCH($A692, Papers!$A$2:$A$995,0)),"")</f>
        <v/>
      </c>
      <c r="E692" s="59" t="str">
        <f t="array" ref="E692">IFerror(INDEX(Papers!G$2:G$995,MATCH($A692, Papers!$A$2:$A$995,0)),"")</f>
        <v/>
      </c>
    </row>
    <row r="693">
      <c r="B693" s="85" t="str">
        <f t="array" ref="B693">IFerror(INDEX(Papers!C$2:C$995,MATCH($A693, Papers!$A$2:$A$995,0)),"")</f>
        <v/>
      </c>
      <c r="C693" s="85" t="str">
        <f t="array" ref="C693">IFerror(INDEX(Papers!D$2:D$995,MATCH($A693, Papers!$A$2:$A$995,0)),"")</f>
        <v/>
      </c>
      <c r="D693" s="86" t="str">
        <f t="array" ref="D693">IFerror(INDEX(Papers!F$2:F$995,MATCH($A693, Papers!$A$2:$A$995,0)),"")</f>
        <v/>
      </c>
      <c r="E693" s="59" t="str">
        <f t="array" ref="E693">IFerror(INDEX(Papers!G$2:G$995,MATCH($A693, Papers!$A$2:$A$995,0)),"")</f>
        <v/>
      </c>
    </row>
    <row r="694">
      <c r="B694" s="85" t="str">
        <f t="array" ref="B694">IFerror(INDEX(Papers!C$2:C$995,MATCH($A694, Papers!$A$2:$A$995,0)),"")</f>
        <v/>
      </c>
      <c r="C694" s="85" t="str">
        <f t="array" ref="C694">IFerror(INDEX(Papers!D$2:D$995,MATCH($A694, Papers!$A$2:$A$995,0)),"")</f>
        <v/>
      </c>
      <c r="D694" s="86" t="str">
        <f t="array" ref="D694">IFerror(INDEX(Papers!F$2:F$995,MATCH($A694, Papers!$A$2:$A$995,0)),"")</f>
        <v/>
      </c>
      <c r="E694" s="59" t="str">
        <f t="array" ref="E694">IFerror(INDEX(Papers!G$2:G$995,MATCH($A694, Papers!$A$2:$A$995,0)),"")</f>
        <v/>
      </c>
    </row>
    <row r="695">
      <c r="B695" s="85" t="str">
        <f t="array" ref="B695">IFerror(INDEX(Papers!C$2:C$995,MATCH($A695, Papers!$A$2:$A$995,0)),"")</f>
        <v/>
      </c>
      <c r="C695" s="85" t="str">
        <f t="array" ref="C695">IFerror(INDEX(Papers!D$2:D$995,MATCH($A695, Papers!$A$2:$A$995,0)),"")</f>
        <v/>
      </c>
      <c r="D695" s="86" t="str">
        <f t="array" ref="D695">IFerror(INDEX(Papers!F$2:F$995,MATCH($A695, Papers!$A$2:$A$995,0)),"")</f>
        <v/>
      </c>
      <c r="E695" s="59" t="str">
        <f t="array" ref="E695">IFerror(INDEX(Papers!G$2:G$995,MATCH($A695, Papers!$A$2:$A$995,0)),"")</f>
        <v/>
      </c>
    </row>
    <row r="696">
      <c r="B696" s="85" t="str">
        <f t="array" ref="B696">IFerror(INDEX(Papers!C$2:C$995,MATCH($A696, Papers!$A$2:$A$995,0)),"")</f>
        <v/>
      </c>
      <c r="C696" s="85" t="str">
        <f t="array" ref="C696">IFerror(INDEX(Papers!D$2:D$995,MATCH($A696, Papers!$A$2:$A$995,0)),"")</f>
        <v/>
      </c>
      <c r="D696" s="86" t="str">
        <f t="array" ref="D696">IFerror(INDEX(Papers!F$2:F$995,MATCH($A696, Papers!$A$2:$A$995,0)),"")</f>
        <v/>
      </c>
      <c r="E696" s="59" t="str">
        <f t="array" ref="E696">IFerror(INDEX(Papers!G$2:G$995,MATCH($A696, Papers!$A$2:$A$995,0)),"")</f>
        <v/>
      </c>
    </row>
    <row r="697">
      <c r="B697" s="85" t="str">
        <f t="array" ref="B697">IFerror(INDEX(Papers!C$2:C$995,MATCH($A697, Papers!$A$2:$A$995,0)),"")</f>
        <v/>
      </c>
      <c r="C697" s="85" t="str">
        <f t="array" ref="C697">IFerror(INDEX(Papers!D$2:D$995,MATCH($A697, Papers!$A$2:$A$995,0)),"")</f>
        <v/>
      </c>
      <c r="D697" s="86" t="str">
        <f t="array" ref="D697">IFerror(INDEX(Papers!F$2:F$995,MATCH($A697, Papers!$A$2:$A$995,0)),"")</f>
        <v/>
      </c>
      <c r="E697" s="59" t="str">
        <f t="array" ref="E697">IFerror(INDEX(Papers!G$2:G$995,MATCH($A697, Papers!$A$2:$A$995,0)),"")</f>
        <v/>
      </c>
    </row>
    <row r="698">
      <c r="B698" s="85" t="str">
        <f t="array" ref="B698">IFerror(INDEX(Papers!C$2:C$995,MATCH($A698, Papers!$A$2:$A$995,0)),"")</f>
        <v/>
      </c>
      <c r="C698" s="85" t="str">
        <f t="array" ref="C698">IFerror(INDEX(Papers!D$2:D$995,MATCH($A698, Papers!$A$2:$A$995,0)),"")</f>
        <v/>
      </c>
      <c r="D698" s="86" t="str">
        <f t="array" ref="D698">IFerror(INDEX(Papers!F$2:F$995,MATCH($A698, Papers!$A$2:$A$995,0)),"")</f>
        <v/>
      </c>
      <c r="E698" s="59" t="str">
        <f t="array" ref="E698">IFerror(INDEX(Papers!G$2:G$995,MATCH($A698, Papers!$A$2:$A$995,0)),"")</f>
        <v/>
      </c>
    </row>
    <row r="699">
      <c r="B699" s="85" t="str">
        <f t="array" ref="B699">IFerror(INDEX(Papers!C$2:C$995,MATCH($A699, Papers!$A$2:$A$995,0)),"")</f>
        <v/>
      </c>
      <c r="C699" s="85" t="str">
        <f t="array" ref="C699">IFerror(INDEX(Papers!D$2:D$995,MATCH($A699, Papers!$A$2:$A$995,0)),"")</f>
        <v/>
      </c>
      <c r="D699" s="86" t="str">
        <f t="array" ref="D699">IFerror(INDEX(Papers!F$2:F$995,MATCH($A699, Papers!$A$2:$A$995,0)),"")</f>
        <v/>
      </c>
      <c r="E699" s="59" t="str">
        <f t="array" ref="E699">IFerror(INDEX(Papers!G$2:G$995,MATCH($A699, Papers!$A$2:$A$995,0)),"")</f>
        <v/>
      </c>
    </row>
    <row r="700">
      <c r="B700" s="85" t="str">
        <f t="array" ref="B700">IFerror(INDEX(Papers!C$2:C$995,MATCH($A700, Papers!$A$2:$A$995,0)),"")</f>
        <v/>
      </c>
      <c r="C700" s="85" t="str">
        <f t="array" ref="C700">IFerror(INDEX(Papers!D$2:D$995,MATCH($A700, Papers!$A$2:$A$995,0)),"")</f>
        <v/>
      </c>
      <c r="D700" s="86" t="str">
        <f t="array" ref="D700">IFerror(INDEX(Papers!F$2:F$995,MATCH($A700, Papers!$A$2:$A$995,0)),"")</f>
        <v/>
      </c>
      <c r="E700" s="59" t="str">
        <f t="array" ref="E700">IFerror(INDEX(Papers!G$2:G$995,MATCH($A700, Papers!$A$2:$A$995,0)),"")</f>
        <v/>
      </c>
    </row>
    <row r="701">
      <c r="B701" s="85" t="str">
        <f t="array" ref="B701">IFerror(INDEX(Papers!C$2:C$995,MATCH($A701, Papers!$A$2:$A$995,0)),"")</f>
        <v/>
      </c>
      <c r="C701" s="85" t="str">
        <f t="array" ref="C701">IFerror(INDEX(Papers!D$2:D$995,MATCH($A701, Papers!$A$2:$A$995,0)),"")</f>
        <v/>
      </c>
      <c r="D701" s="86" t="str">
        <f t="array" ref="D701">IFerror(INDEX(Papers!F$2:F$995,MATCH($A701, Papers!$A$2:$A$995,0)),"")</f>
        <v/>
      </c>
      <c r="E701" s="59" t="str">
        <f t="array" ref="E701">IFerror(INDEX(Papers!G$2:G$995,MATCH($A701, Papers!$A$2:$A$995,0)),"")</f>
        <v/>
      </c>
    </row>
    <row r="702">
      <c r="B702" s="85" t="str">
        <f t="array" ref="B702">IFerror(INDEX(Papers!C$2:C$995,MATCH($A702, Papers!$A$2:$A$995,0)),"")</f>
        <v/>
      </c>
      <c r="C702" s="85" t="str">
        <f t="array" ref="C702">IFerror(INDEX(Papers!D$2:D$995,MATCH($A702, Papers!$A$2:$A$995,0)),"")</f>
        <v/>
      </c>
      <c r="D702" s="86" t="str">
        <f t="array" ref="D702">IFerror(INDEX(Papers!F$2:F$995,MATCH($A702, Papers!$A$2:$A$995,0)),"")</f>
        <v/>
      </c>
      <c r="E702" s="59" t="str">
        <f t="array" ref="E702">IFerror(INDEX(Papers!G$2:G$995,MATCH($A702, Papers!$A$2:$A$995,0)),"")</f>
        <v/>
      </c>
    </row>
    <row r="703">
      <c r="B703" s="85" t="str">
        <f t="array" ref="B703">IFerror(INDEX(Papers!C$2:C$995,MATCH($A703, Papers!$A$2:$A$995,0)),"")</f>
        <v/>
      </c>
      <c r="C703" s="85" t="str">
        <f t="array" ref="C703">IFerror(INDEX(Papers!D$2:D$995,MATCH($A703, Papers!$A$2:$A$995,0)),"")</f>
        <v/>
      </c>
      <c r="D703" s="86" t="str">
        <f t="array" ref="D703">IFerror(INDEX(Papers!F$2:F$995,MATCH($A703, Papers!$A$2:$A$995,0)),"")</f>
        <v/>
      </c>
      <c r="E703" s="59" t="str">
        <f t="array" ref="E703">IFerror(INDEX(Papers!G$2:G$995,MATCH($A703, Papers!$A$2:$A$995,0)),"")</f>
        <v/>
      </c>
    </row>
    <row r="704">
      <c r="B704" s="85" t="str">
        <f t="array" ref="B704">IFerror(INDEX(Papers!C$2:C$995,MATCH($A704, Papers!$A$2:$A$995,0)),"")</f>
        <v/>
      </c>
      <c r="C704" s="85" t="str">
        <f t="array" ref="C704">IFerror(INDEX(Papers!D$2:D$995,MATCH($A704, Papers!$A$2:$A$995,0)),"")</f>
        <v/>
      </c>
      <c r="D704" s="86" t="str">
        <f t="array" ref="D704">IFerror(INDEX(Papers!F$2:F$995,MATCH($A704, Papers!$A$2:$A$995,0)),"")</f>
        <v/>
      </c>
      <c r="E704" s="59" t="str">
        <f t="array" ref="E704">IFerror(INDEX(Papers!G$2:G$995,MATCH($A704, Papers!$A$2:$A$995,0)),"")</f>
        <v/>
      </c>
    </row>
    <row r="705">
      <c r="B705" s="85" t="str">
        <f t="array" ref="B705">IFerror(INDEX(Papers!C$2:C$995,MATCH($A705, Papers!$A$2:$A$995,0)),"")</f>
        <v/>
      </c>
      <c r="C705" s="85" t="str">
        <f t="array" ref="C705">IFerror(INDEX(Papers!D$2:D$995,MATCH($A705, Papers!$A$2:$A$995,0)),"")</f>
        <v/>
      </c>
      <c r="D705" s="86" t="str">
        <f t="array" ref="D705">IFerror(INDEX(Papers!F$2:F$995,MATCH($A705, Papers!$A$2:$A$995,0)),"")</f>
        <v/>
      </c>
      <c r="E705" s="59" t="str">
        <f t="array" ref="E705">IFerror(INDEX(Papers!G$2:G$995,MATCH($A705, Papers!$A$2:$A$995,0)),"")</f>
        <v/>
      </c>
    </row>
    <row r="706">
      <c r="B706" s="85" t="str">
        <f t="array" ref="B706">IFerror(INDEX(Papers!C$2:C$995,MATCH($A706, Papers!$A$2:$A$995,0)),"")</f>
        <v/>
      </c>
      <c r="C706" s="85" t="str">
        <f t="array" ref="C706">IFerror(INDEX(Papers!D$2:D$995,MATCH($A706, Papers!$A$2:$A$995,0)),"")</f>
        <v/>
      </c>
      <c r="D706" s="86" t="str">
        <f t="array" ref="D706">IFerror(INDEX(Papers!F$2:F$995,MATCH($A706, Papers!$A$2:$A$995,0)),"")</f>
        <v/>
      </c>
      <c r="E706" s="59" t="str">
        <f t="array" ref="E706">IFerror(INDEX(Papers!G$2:G$995,MATCH($A706, Papers!$A$2:$A$995,0)),"")</f>
        <v/>
      </c>
    </row>
    <row r="707">
      <c r="B707" s="85" t="str">
        <f t="array" ref="B707">IFerror(INDEX(Papers!C$2:C$995,MATCH($A707, Papers!$A$2:$A$995,0)),"")</f>
        <v/>
      </c>
      <c r="C707" s="85" t="str">
        <f t="array" ref="C707">IFerror(INDEX(Papers!D$2:D$995,MATCH($A707, Papers!$A$2:$A$995,0)),"")</f>
        <v/>
      </c>
      <c r="D707" s="86" t="str">
        <f t="array" ref="D707">IFerror(INDEX(Papers!F$2:F$995,MATCH($A707, Papers!$A$2:$A$995,0)),"")</f>
        <v/>
      </c>
      <c r="E707" s="59" t="str">
        <f t="array" ref="E707">IFerror(INDEX(Papers!G$2:G$995,MATCH($A707, Papers!$A$2:$A$995,0)),"")</f>
        <v/>
      </c>
    </row>
    <row r="708">
      <c r="B708" s="85" t="str">
        <f t="array" ref="B708">IFerror(INDEX(Papers!C$2:C$995,MATCH($A708, Papers!$A$2:$A$995,0)),"")</f>
        <v/>
      </c>
      <c r="C708" s="85" t="str">
        <f t="array" ref="C708">IFerror(INDEX(Papers!D$2:D$995,MATCH($A708, Papers!$A$2:$A$995,0)),"")</f>
        <v/>
      </c>
      <c r="D708" s="86" t="str">
        <f t="array" ref="D708">IFerror(INDEX(Papers!F$2:F$995,MATCH($A708, Papers!$A$2:$A$995,0)),"")</f>
        <v/>
      </c>
      <c r="E708" s="59" t="str">
        <f t="array" ref="E708">IFerror(INDEX(Papers!G$2:G$995,MATCH($A708, Papers!$A$2:$A$995,0)),"")</f>
        <v/>
      </c>
    </row>
    <row r="709">
      <c r="B709" s="85" t="str">
        <f t="array" ref="B709">IFerror(INDEX(Papers!C$2:C$995,MATCH($A709, Papers!$A$2:$A$995,0)),"")</f>
        <v/>
      </c>
      <c r="C709" s="85" t="str">
        <f t="array" ref="C709">IFerror(INDEX(Papers!D$2:D$995,MATCH($A709, Papers!$A$2:$A$995,0)),"")</f>
        <v/>
      </c>
      <c r="D709" s="86" t="str">
        <f t="array" ref="D709">IFerror(INDEX(Papers!F$2:F$995,MATCH($A709, Papers!$A$2:$A$995,0)),"")</f>
        <v/>
      </c>
      <c r="E709" s="59" t="str">
        <f t="array" ref="E709">IFerror(INDEX(Papers!G$2:G$995,MATCH($A709, Papers!$A$2:$A$995,0)),"")</f>
        <v/>
      </c>
    </row>
    <row r="710">
      <c r="B710" s="85" t="str">
        <f t="array" ref="B710">IFerror(INDEX(Papers!C$2:C$995,MATCH($A710, Papers!$A$2:$A$995,0)),"")</f>
        <v/>
      </c>
      <c r="C710" s="85" t="str">
        <f t="array" ref="C710">IFerror(INDEX(Papers!D$2:D$995,MATCH($A710, Papers!$A$2:$A$995,0)),"")</f>
        <v/>
      </c>
      <c r="D710" s="86" t="str">
        <f t="array" ref="D710">IFerror(INDEX(Papers!F$2:F$995,MATCH($A710, Papers!$A$2:$A$995,0)),"")</f>
        <v/>
      </c>
      <c r="E710" s="59" t="str">
        <f t="array" ref="E710">IFerror(INDEX(Papers!G$2:G$995,MATCH($A710, Papers!$A$2:$A$995,0)),"")</f>
        <v/>
      </c>
    </row>
    <row r="711">
      <c r="B711" s="85" t="str">
        <f t="array" ref="B711">IFerror(INDEX(Papers!C$2:C$995,MATCH($A711, Papers!$A$2:$A$995,0)),"")</f>
        <v/>
      </c>
      <c r="C711" s="85" t="str">
        <f t="array" ref="C711">IFerror(INDEX(Papers!D$2:D$995,MATCH($A711, Papers!$A$2:$A$995,0)),"")</f>
        <v/>
      </c>
      <c r="D711" s="86" t="str">
        <f t="array" ref="D711">IFerror(INDEX(Papers!F$2:F$995,MATCH($A711, Papers!$A$2:$A$995,0)),"")</f>
        <v/>
      </c>
      <c r="E711" s="59" t="str">
        <f t="array" ref="E711">IFerror(INDEX(Papers!G$2:G$995,MATCH($A711, Papers!$A$2:$A$995,0)),"")</f>
        <v/>
      </c>
    </row>
    <row r="712">
      <c r="B712" s="85" t="str">
        <f t="array" ref="B712">IFerror(INDEX(Papers!C$2:C$995,MATCH($A712, Papers!$A$2:$A$995,0)),"")</f>
        <v/>
      </c>
      <c r="C712" s="85" t="str">
        <f t="array" ref="C712">IFerror(INDEX(Papers!D$2:D$995,MATCH($A712, Papers!$A$2:$A$995,0)),"")</f>
        <v/>
      </c>
      <c r="D712" s="86" t="str">
        <f t="array" ref="D712">IFerror(INDEX(Papers!F$2:F$995,MATCH($A712, Papers!$A$2:$A$995,0)),"")</f>
        <v/>
      </c>
      <c r="E712" s="59" t="str">
        <f t="array" ref="E712">IFerror(INDEX(Papers!G$2:G$995,MATCH($A712, Papers!$A$2:$A$995,0)),"")</f>
        <v/>
      </c>
    </row>
    <row r="713">
      <c r="B713" s="85" t="str">
        <f t="array" ref="B713">IFerror(INDEX(Papers!C$2:C$995,MATCH($A713, Papers!$A$2:$A$995,0)),"")</f>
        <v/>
      </c>
      <c r="C713" s="85" t="str">
        <f t="array" ref="C713">IFerror(INDEX(Papers!D$2:D$995,MATCH($A713, Papers!$A$2:$A$995,0)),"")</f>
        <v/>
      </c>
      <c r="D713" s="86" t="str">
        <f t="array" ref="D713">IFerror(INDEX(Papers!F$2:F$995,MATCH($A713, Papers!$A$2:$A$995,0)),"")</f>
        <v/>
      </c>
      <c r="E713" s="59" t="str">
        <f t="array" ref="E713">IFerror(INDEX(Papers!G$2:G$995,MATCH($A713, Papers!$A$2:$A$995,0)),"")</f>
        <v/>
      </c>
    </row>
    <row r="714">
      <c r="B714" s="85" t="str">
        <f t="array" ref="B714">IFerror(INDEX(Papers!C$2:C$995,MATCH($A714, Papers!$A$2:$A$995,0)),"")</f>
        <v/>
      </c>
      <c r="C714" s="85" t="str">
        <f t="array" ref="C714">IFerror(INDEX(Papers!D$2:D$995,MATCH($A714, Papers!$A$2:$A$995,0)),"")</f>
        <v/>
      </c>
      <c r="D714" s="86" t="str">
        <f t="array" ref="D714">IFerror(INDEX(Papers!F$2:F$995,MATCH($A714, Papers!$A$2:$A$995,0)),"")</f>
        <v/>
      </c>
      <c r="E714" s="59" t="str">
        <f t="array" ref="E714">IFerror(INDEX(Papers!G$2:G$995,MATCH($A714, Papers!$A$2:$A$995,0)),"")</f>
        <v/>
      </c>
    </row>
    <row r="715">
      <c r="B715" s="85" t="str">
        <f t="array" ref="B715">IFerror(INDEX(Papers!C$2:C$995,MATCH($A715, Papers!$A$2:$A$995,0)),"")</f>
        <v/>
      </c>
      <c r="C715" s="85" t="str">
        <f t="array" ref="C715">IFerror(INDEX(Papers!D$2:D$995,MATCH($A715, Papers!$A$2:$A$995,0)),"")</f>
        <v/>
      </c>
      <c r="D715" s="86" t="str">
        <f t="array" ref="D715">IFerror(INDEX(Papers!F$2:F$995,MATCH($A715, Papers!$A$2:$A$995,0)),"")</f>
        <v/>
      </c>
      <c r="E715" s="59" t="str">
        <f t="array" ref="E715">IFerror(INDEX(Papers!G$2:G$995,MATCH($A715, Papers!$A$2:$A$995,0)),"")</f>
        <v/>
      </c>
    </row>
    <row r="716">
      <c r="B716" s="85" t="str">
        <f t="array" ref="B716">IFerror(INDEX(Papers!C$2:C$995,MATCH($A716, Papers!$A$2:$A$995,0)),"")</f>
        <v/>
      </c>
      <c r="C716" s="85" t="str">
        <f t="array" ref="C716">IFerror(INDEX(Papers!D$2:D$995,MATCH($A716, Papers!$A$2:$A$995,0)),"")</f>
        <v/>
      </c>
      <c r="D716" s="86" t="str">
        <f t="array" ref="D716">IFerror(INDEX(Papers!F$2:F$995,MATCH($A716, Papers!$A$2:$A$995,0)),"")</f>
        <v/>
      </c>
      <c r="E716" s="59" t="str">
        <f t="array" ref="E716">IFerror(INDEX(Papers!G$2:G$995,MATCH($A716, Papers!$A$2:$A$995,0)),"")</f>
        <v/>
      </c>
    </row>
    <row r="717">
      <c r="B717" s="85" t="str">
        <f t="array" ref="B717">IFerror(INDEX(Papers!C$2:C$995,MATCH($A717, Papers!$A$2:$A$995,0)),"")</f>
        <v/>
      </c>
      <c r="C717" s="85" t="str">
        <f t="array" ref="C717">IFerror(INDEX(Papers!D$2:D$995,MATCH($A717, Papers!$A$2:$A$995,0)),"")</f>
        <v/>
      </c>
      <c r="D717" s="86" t="str">
        <f t="array" ref="D717">IFerror(INDEX(Papers!F$2:F$995,MATCH($A717, Papers!$A$2:$A$995,0)),"")</f>
        <v/>
      </c>
      <c r="E717" s="59" t="str">
        <f t="array" ref="E717">IFerror(INDEX(Papers!G$2:G$995,MATCH($A717, Papers!$A$2:$A$995,0)),"")</f>
        <v/>
      </c>
    </row>
    <row r="718">
      <c r="B718" s="85" t="str">
        <f t="array" ref="B718">IFerror(INDEX(Papers!C$2:C$995,MATCH($A718, Papers!$A$2:$A$995,0)),"")</f>
        <v/>
      </c>
      <c r="C718" s="85" t="str">
        <f t="array" ref="C718">IFerror(INDEX(Papers!D$2:D$995,MATCH($A718, Papers!$A$2:$A$995,0)),"")</f>
        <v/>
      </c>
      <c r="D718" s="86" t="str">
        <f t="array" ref="D718">IFerror(INDEX(Papers!F$2:F$995,MATCH($A718, Papers!$A$2:$A$995,0)),"")</f>
        <v/>
      </c>
      <c r="E718" s="59" t="str">
        <f t="array" ref="E718">IFerror(INDEX(Papers!G$2:G$995,MATCH($A718, Papers!$A$2:$A$995,0)),"")</f>
        <v/>
      </c>
    </row>
    <row r="719">
      <c r="B719" s="85" t="str">
        <f t="array" ref="B719">IFerror(INDEX(Papers!C$2:C$995,MATCH($A719, Papers!$A$2:$A$995,0)),"")</f>
        <v/>
      </c>
      <c r="C719" s="85" t="str">
        <f t="array" ref="C719">IFerror(INDEX(Papers!D$2:D$995,MATCH($A719, Papers!$A$2:$A$995,0)),"")</f>
        <v/>
      </c>
      <c r="D719" s="86" t="str">
        <f t="array" ref="D719">IFerror(INDEX(Papers!F$2:F$995,MATCH($A719, Papers!$A$2:$A$995,0)),"")</f>
        <v/>
      </c>
      <c r="E719" s="59" t="str">
        <f t="array" ref="E719">IFerror(INDEX(Papers!G$2:G$995,MATCH($A719, Papers!$A$2:$A$995,0)),"")</f>
        <v/>
      </c>
    </row>
    <row r="720">
      <c r="B720" s="85" t="str">
        <f t="array" ref="B720">IFerror(INDEX(Papers!C$2:C$995,MATCH($A720, Papers!$A$2:$A$995,0)),"")</f>
        <v/>
      </c>
      <c r="C720" s="85" t="str">
        <f t="array" ref="C720">IFerror(INDEX(Papers!D$2:D$995,MATCH($A720, Papers!$A$2:$A$995,0)),"")</f>
        <v/>
      </c>
      <c r="D720" s="86" t="str">
        <f t="array" ref="D720">IFerror(INDEX(Papers!F$2:F$995,MATCH($A720, Papers!$A$2:$A$995,0)),"")</f>
        <v/>
      </c>
      <c r="E720" s="59" t="str">
        <f t="array" ref="E720">IFerror(INDEX(Papers!G$2:G$995,MATCH($A720, Papers!$A$2:$A$995,0)),"")</f>
        <v/>
      </c>
    </row>
    <row r="721">
      <c r="B721" s="85" t="str">
        <f t="array" ref="B721">IFerror(INDEX(Papers!C$2:C$995,MATCH($A721, Papers!$A$2:$A$995,0)),"")</f>
        <v/>
      </c>
      <c r="C721" s="85" t="str">
        <f t="array" ref="C721">IFerror(INDEX(Papers!D$2:D$995,MATCH($A721, Papers!$A$2:$A$995,0)),"")</f>
        <v/>
      </c>
      <c r="D721" s="86" t="str">
        <f t="array" ref="D721">IFerror(INDEX(Papers!F$2:F$995,MATCH($A721, Papers!$A$2:$A$995,0)),"")</f>
        <v/>
      </c>
      <c r="E721" s="59" t="str">
        <f t="array" ref="E721">IFerror(INDEX(Papers!G$2:G$995,MATCH($A721, Papers!$A$2:$A$995,0)),"")</f>
        <v/>
      </c>
    </row>
    <row r="722">
      <c r="B722" s="85" t="str">
        <f t="array" ref="B722">IFerror(INDEX(Papers!C$2:C$995,MATCH($A722, Papers!$A$2:$A$995,0)),"")</f>
        <v/>
      </c>
      <c r="C722" s="85" t="str">
        <f t="array" ref="C722">IFerror(INDEX(Papers!D$2:D$995,MATCH($A722, Papers!$A$2:$A$995,0)),"")</f>
        <v/>
      </c>
      <c r="D722" s="86" t="str">
        <f t="array" ref="D722">IFerror(INDEX(Papers!F$2:F$995,MATCH($A722, Papers!$A$2:$A$995,0)),"")</f>
        <v/>
      </c>
      <c r="E722" s="59" t="str">
        <f t="array" ref="E722">IFerror(INDEX(Papers!G$2:G$995,MATCH($A722, Papers!$A$2:$A$995,0)),"")</f>
        <v/>
      </c>
    </row>
    <row r="723">
      <c r="B723" s="85" t="str">
        <f t="array" ref="B723">IFerror(INDEX(Papers!C$2:C$995,MATCH($A723, Papers!$A$2:$A$995,0)),"")</f>
        <v/>
      </c>
      <c r="C723" s="85" t="str">
        <f t="array" ref="C723">IFerror(INDEX(Papers!D$2:D$995,MATCH($A723, Papers!$A$2:$A$995,0)),"")</f>
        <v/>
      </c>
      <c r="D723" s="86" t="str">
        <f t="array" ref="D723">IFerror(INDEX(Papers!F$2:F$995,MATCH($A723, Papers!$A$2:$A$995,0)),"")</f>
        <v/>
      </c>
      <c r="E723" s="59" t="str">
        <f t="array" ref="E723">IFerror(INDEX(Papers!G$2:G$995,MATCH($A723, Papers!$A$2:$A$995,0)),"")</f>
        <v/>
      </c>
    </row>
    <row r="724">
      <c r="B724" s="85" t="str">
        <f t="array" ref="B724">IFerror(INDEX(Papers!C$2:C$995,MATCH($A724, Papers!$A$2:$A$995,0)),"")</f>
        <v/>
      </c>
      <c r="C724" s="85" t="str">
        <f t="array" ref="C724">IFerror(INDEX(Papers!D$2:D$995,MATCH($A724, Papers!$A$2:$A$995,0)),"")</f>
        <v/>
      </c>
      <c r="D724" s="86" t="str">
        <f t="array" ref="D724">IFerror(INDEX(Papers!F$2:F$995,MATCH($A724, Papers!$A$2:$A$995,0)),"")</f>
        <v/>
      </c>
      <c r="E724" s="59" t="str">
        <f t="array" ref="E724">IFerror(INDEX(Papers!G$2:G$995,MATCH($A724, Papers!$A$2:$A$995,0)),"")</f>
        <v/>
      </c>
    </row>
    <row r="725">
      <c r="B725" s="85" t="str">
        <f t="array" ref="B725">IFerror(INDEX(Papers!C$2:C$995,MATCH($A725, Papers!$A$2:$A$995,0)),"")</f>
        <v/>
      </c>
      <c r="C725" s="85" t="str">
        <f t="array" ref="C725">IFerror(INDEX(Papers!D$2:D$995,MATCH($A725, Papers!$A$2:$A$995,0)),"")</f>
        <v/>
      </c>
      <c r="D725" s="86" t="str">
        <f t="array" ref="D725">IFerror(INDEX(Papers!F$2:F$995,MATCH($A725, Papers!$A$2:$A$995,0)),"")</f>
        <v/>
      </c>
      <c r="E725" s="59" t="str">
        <f t="array" ref="E725">IFerror(INDEX(Papers!G$2:G$995,MATCH($A725, Papers!$A$2:$A$995,0)),"")</f>
        <v/>
      </c>
    </row>
    <row r="726">
      <c r="B726" s="85" t="str">
        <f t="array" ref="B726">IFerror(INDEX(Papers!C$2:C$995,MATCH($A726, Papers!$A$2:$A$995,0)),"")</f>
        <v/>
      </c>
      <c r="C726" s="85" t="str">
        <f t="array" ref="C726">IFerror(INDEX(Papers!D$2:D$995,MATCH($A726, Papers!$A$2:$A$995,0)),"")</f>
        <v/>
      </c>
      <c r="D726" s="86" t="str">
        <f t="array" ref="D726">IFerror(INDEX(Papers!F$2:F$995,MATCH($A726, Papers!$A$2:$A$995,0)),"")</f>
        <v/>
      </c>
      <c r="E726" s="59" t="str">
        <f t="array" ref="E726">IFerror(INDEX(Papers!G$2:G$995,MATCH($A726, Papers!$A$2:$A$995,0)),"")</f>
        <v/>
      </c>
    </row>
    <row r="727">
      <c r="B727" s="85" t="str">
        <f t="array" ref="B727">IFerror(INDEX(Papers!C$2:C$995,MATCH($A727, Papers!$A$2:$A$995,0)),"")</f>
        <v/>
      </c>
      <c r="C727" s="85" t="str">
        <f t="array" ref="C727">IFerror(INDEX(Papers!D$2:D$995,MATCH($A727, Papers!$A$2:$A$995,0)),"")</f>
        <v/>
      </c>
      <c r="D727" s="86" t="str">
        <f t="array" ref="D727">IFerror(INDEX(Papers!F$2:F$995,MATCH($A727, Papers!$A$2:$A$995,0)),"")</f>
        <v/>
      </c>
      <c r="E727" s="59" t="str">
        <f t="array" ref="E727">IFerror(INDEX(Papers!G$2:G$995,MATCH($A727, Papers!$A$2:$A$995,0)),"")</f>
        <v/>
      </c>
    </row>
    <row r="728">
      <c r="B728" s="85" t="str">
        <f t="array" ref="B728">IFerror(INDEX(Papers!C$2:C$995,MATCH($A728, Papers!$A$2:$A$995,0)),"")</f>
        <v/>
      </c>
      <c r="C728" s="85" t="str">
        <f t="array" ref="C728">IFerror(INDEX(Papers!D$2:D$995,MATCH($A728, Papers!$A$2:$A$995,0)),"")</f>
        <v/>
      </c>
      <c r="D728" s="86" t="str">
        <f t="array" ref="D728">IFerror(INDEX(Papers!F$2:F$995,MATCH($A728, Papers!$A$2:$A$995,0)),"")</f>
        <v/>
      </c>
      <c r="E728" s="59" t="str">
        <f t="array" ref="E728">IFerror(INDEX(Papers!G$2:G$995,MATCH($A728, Papers!$A$2:$A$995,0)),"")</f>
        <v/>
      </c>
    </row>
    <row r="729">
      <c r="B729" s="85" t="str">
        <f t="array" ref="B729">IFerror(INDEX(Papers!C$2:C$995,MATCH($A729, Papers!$A$2:$A$995,0)),"")</f>
        <v/>
      </c>
      <c r="C729" s="85" t="str">
        <f t="array" ref="C729">IFerror(INDEX(Papers!D$2:D$995,MATCH($A729, Papers!$A$2:$A$995,0)),"")</f>
        <v/>
      </c>
      <c r="D729" s="86" t="str">
        <f t="array" ref="D729">IFerror(INDEX(Papers!F$2:F$995,MATCH($A729, Papers!$A$2:$A$995,0)),"")</f>
        <v/>
      </c>
      <c r="E729" s="59" t="str">
        <f t="array" ref="E729">IFerror(INDEX(Papers!G$2:G$995,MATCH($A729, Papers!$A$2:$A$995,0)),"")</f>
        <v/>
      </c>
    </row>
    <row r="730">
      <c r="B730" s="85" t="str">
        <f t="array" ref="B730">IFerror(INDEX(Papers!C$2:C$995,MATCH($A730, Papers!$A$2:$A$995,0)),"")</f>
        <v/>
      </c>
      <c r="C730" s="85" t="str">
        <f t="array" ref="C730">IFerror(INDEX(Papers!D$2:D$995,MATCH($A730, Papers!$A$2:$A$995,0)),"")</f>
        <v/>
      </c>
      <c r="D730" s="86" t="str">
        <f t="array" ref="D730">IFerror(INDEX(Papers!F$2:F$995,MATCH($A730, Papers!$A$2:$A$995,0)),"")</f>
        <v/>
      </c>
      <c r="E730" s="59" t="str">
        <f t="array" ref="E730">IFerror(INDEX(Papers!G$2:G$995,MATCH($A730, Papers!$A$2:$A$995,0)),"")</f>
        <v/>
      </c>
    </row>
    <row r="731">
      <c r="B731" s="85" t="str">
        <f t="array" ref="B731">IFerror(INDEX(Papers!C$2:C$995,MATCH($A731, Papers!$A$2:$A$995,0)),"")</f>
        <v/>
      </c>
      <c r="C731" s="85" t="str">
        <f t="array" ref="C731">IFerror(INDEX(Papers!D$2:D$995,MATCH($A731, Papers!$A$2:$A$995,0)),"")</f>
        <v/>
      </c>
      <c r="D731" s="86" t="str">
        <f t="array" ref="D731">IFerror(INDEX(Papers!F$2:F$995,MATCH($A731, Papers!$A$2:$A$995,0)),"")</f>
        <v/>
      </c>
      <c r="E731" s="59" t="str">
        <f t="array" ref="E731">IFerror(INDEX(Papers!G$2:G$995,MATCH($A731, Papers!$A$2:$A$995,0)),"")</f>
        <v/>
      </c>
    </row>
    <row r="732">
      <c r="B732" s="85" t="str">
        <f t="array" ref="B732">IFerror(INDEX(Papers!C$2:C$995,MATCH($A732, Papers!$A$2:$A$995,0)),"")</f>
        <v/>
      </c>
      <c r="C732" s="85" t="str">
        <f t="array" ref="C732">IFerror(INDEX(Papers!D$2:D$995,MATCH($A732, Papers!$A$2:$A$995,0)),"")</f>
        <v/>
      </c>
      <c r="D732" s="86" t="str">
        <f t="array" ref="D732">IFerror(INDEX(Papers!F$2:F$995,MATCH($A732, Papers!$A$2:$A$995,0)),"")</f>
        <v/>
      </c>
      <c r="E732" s="59" t="str">
        <f t="array" ref="E732">IFerror(INDEX(Papers!G$2:G$995,MATCH($A732, Papers!$A$2:$A$995,0)),"")</f>
        <v/>
      </c>
    </row>
    <row r="733">
      <c r="B733" s="85" t="str">
        <f t="array" ref="B733">IFerror(INDEX(Papers!C$2:C$995,MATCH($A733, Papers!$A$2:$A$995,0)),"")</f>
        <v/>
      </c>
      <c r="C733" s="85" t="str">
        <f t="array" ref="C733">IFerror(INDEX(Papers!D$2:D$995,MATCH($A733, Papers!$A$2:$A$995,0)),"")</f>
        <v/>
      </c>
      <c r="D733" s="86" t="str">
        <f t="array" ref="D733">IFerror(INDEX(Papers!F$2:F$995,MATCH($A733, Papers!$A$2:$A$995,0)),"")</f>
        <v/>
      </c>
      <c r="E733" s="59" t="str">
        <f t="array" ref="E733">IFerror(INDEX(Papers!G$2:G$995,MATCH($A733, Papers!$A$2:$A$995,0)),"")</f>
        <v/>
      </c>
    </row>
    <row r="734">
      <c r="B734" s="85" t="str">
        <f t="array" ref="B734">IFerror(INDEX(Papers!C$2:C$995,MATCH($A734, Papers!$A$2:$A$995,0)),"")</f>
        <v/>
      </c>
      <c r="C734" s="85" t="str">
        <f t="array" ref="C734">IFerror(INDEX(Papers!D$2:D$995,MATCH($A734, Papers!$A$2:$A$995,0)),"")</f>
        <v/>
      </c>
      <c r="D734" s="86" t="str">
        <f t="array" ref="D734">IFerror(INDEX(Papers!F$2:F$995,MATCH($A734, Papers!$A$2:$A$995,0)),"")</f>
        <v/>
      </c>
      <c r="E734" s="59" t="str">
        <f t="array" ref="E734">IFerror(INDEX(Papers!G$2:G$995,MATCH($A734, Papers!$A$2:$A$995,0)),"")</f>
        <v/>
      </c>
    </row>
    <row r="735">
      <c r="B735" s="85" t="str">
        <f t="array" ref="B735">IFerror(INDEX(Papers!C$2:C$995,MATCH($A735, Papers!$A$2:$A$995,0)),"")</f>
        <v/>
      </c>
      <c r="C735" s="85" t="str">
        <f t="array" ref="C735">IFerror(INDEX(Papers!D$2:D$995,MATCH($A735, Papers!$A$2:$A$995,0)),"")</f>
        <v/>
      </c>
      <c r="D735" s="86" t="str">
        <f t="array" ref="D735">IFerror(INDEX(Papers!F$2:F$995,MATCH($A735, Papers!$A$2:$A$995,0)),"")</f>
        <v/>
      </c>
      <c r="E735" s="59" t="str">
        <f t="array" ref="E735">IFerror(INDEX(Papers!G$2:G$995,MATCH($A735, Papers!$A$2:$A$995,0)),"")</f>
        <v/>
      </c>
    </row>
    <row r="736">
      <c r="B736" s="85" t="str">
        <f t="array" ref="B736">IFerror(INDEX(Papers!C$2:C$995,MATCH($A736, Papers!$A$2:$A$995,0)),"")</f>
        <v/>
      </c>
      <c r="C736" s="85" t="str">
        <f t="array" ref="C736">IFerror(INDEX(Papers!D$2:D$995,MATCH($A736, Papers!$A$2:$A$995,0)),"")</f>
        <v/>
      </c>
      <c r="D736" s="86" t="str">
        <f t="array" ref="D736">IFerror(INDEX(Papers!F$2:F$995,MATCH($A736, Papers!$A$2:$A$995,0)),"")</f>
        <v/>
      </c>
      <c r="E736" s="59" t="str">
        <f t="array" ref="E736">IFerror(INDEX(Papers!G$2:G$995,MATCH($A736, Papers!$A$2:$A$995,0)),"")</f>
        <v/>
      </c>
    </row>
    <row r="737">
      <c r="B737" s="85" t="str">
        <f t="array" ref="B737">IFerror(INDEX(Papers!C$2:C$995,MATCH($A737, Papers!$A$2:$A$995,0)),"")</f>
        <v/>
      </c>
      <c r="C737" s="85" t="str">
        <f t="array" ref="C737">IFerror(INDEX(Papers!D$2:D$995,MATCH($A737, Papers!$A$2:$A$995,0)),"")</f>
        <v/>
      </c>
      <c r="D737" s="86" t="str">
        <f t="array" ref="D737">IFerror(INDEX(Papers!F$2:F$995,MATCH($A737, Papers!$A$2:$A$995,0)),"")</f>
        <v/>
      </c>
      <c r="E737" s="59" t="str">
        <f t="array" ref="E737">IFerror(INDEX(Papers!G$2:G$995,MATCH($A737, Papers!$A$2:$A$995,0)),"")</f>
        <v/>
      </c>
    </row>
    <row r="738">
      <c r="B738" s="85" t="str">
        <f t="array" ref="B738">IFerror(INDEX(Papers!C$2:C$995,MATCH($A738, Papers!$A$2:$A$995,0)),"")</f>
        <v/>
      </c>
      <c r="C738" s="85" t="str">
        <f t="array" ref="C738">IFerror(INDEX(Papers!D$2:D$995,MATCH($A738, Papers!$A$2:$A$995,0)),"")</f>
        <v/>
      </c>
      <c r="D738" s="86" t="str">
        <f t="array" ref="D738">IFerror(INDEX(Papers!F$2:F$995,MATCH($A738, Papers!$A$2:$A$995,0)),"")</f>
        <v/>
      </c>
      <c r="E738" s="59" t="str">
        <f t="array" ref="E738">IFerror(INDEX(Papers!G$2:G$995,MATCH($A738, Papers!$A$2:$A$995,0)),"")</f>
        <v/>
      </c>
    </row>
    <row r="739">
      <c r="B739" s="85" t="str">
        <f t="array" ref="B739">IFerror(INDEX(Papers!C$2:C$995,MATCH($A739, Papers!$A$2:$A$995,0)),"")</f>
        <v/>
      </c>
      <c r="C739" s="85" t="str">
        <f t="array" ref="C739">IFerror(INDEX(Papers!D$2:D$995,MATCH($A739, Papers!$A$2:$A$995,0)),"")</f>
        <v/>
      </c>
      <c r="D739" s="86" t="str">
        <f t="array" ref="D739">IFerror(INDEX(Papers!F$2:F$995,MATCH($A739, Papers!$A$2:$A$995,0)),"")</f>
        <v/>
      </c>
      <c r="E739" s="59" t="str">
        <f t="array" ref="E739">IFerror(INDEX(Papers!G$2:G$995,MATCH($A739, Papers!$A$2:$A$995,0)),"")</f>
        <v/>
      </c>
    </row>
    <row r="740">
      <c r="B740" s="85" t="str">
        <f t="array" ref="B740">IFerror(INDEX(Papers!C$2:C$995,MATCH($A740, Papers!$A$2:$A$995,0)),"")</f>
        <v/>
      </c>
      <c r="C740" s="85" t="str">
        <f t="array" ref="C740">IFerror(INDEX(Papers!D$2:D$995,MATCH($A740, Papers!$A$2:$A$995,0)),"")</f>
        <v/>
      </c>
      <c r="D740" s="86" t="str">
        <f t="array" ref="D740">IFerror(INDEX(Papers!F$2:F$995,MATCH($A740, Papers!$A$2:$A$995,0)),"")</f>
        <v/>
      </c>
      <c r="E740" s="59" t="str">
        <f t="array" ref="E740">IFerror(INDEX(Papers!G$2:G$995,MATCH($A740, Papers!$A$2:$A$995,0)),"")</f>
        <v/>
      </c>
    </row>
    <row r="741">
      <c r="B741" s="85" t="str">
        <f t="array" ref="B741">IFerror(INDEX(Papers!C$2:C$995,MATCH($A741, Papers!$A$2:$A$995,0)),"")</f>
        <v/>
      </c>
      <c r="C741" s="85" t="str">
        <f t="array" ref="C741">IFerror(INDEX(Papers!D$2:D$995,MATCH($A741, Papers!$A$2:$A$995,0)),"")</f>
        <v/>
      </c>
      <c r="D741" s="86" t="str">
        <f t="array" ref="D741">IFerror(INDEX(Papers!F$2:F$995,MATCH($A741, Papers!$A$2:$A$995,0)),"")</f>
        <v/>
      </c>
      <c r="E741" s="59" t="str">
        <f t="array" ref="E741">IFerror(INDEX(Papers!G$2:G$995,MATCH($A741, Papers!$A$2:$A$995,0)),"")</f>
        <v/>
      </c>
    </row>
    <row r="742">
      <c r="B742" s="85" t="str">
        <f t="array" ref="B742">IFerror(INDEX(Papers!C$2:C$995,MATCH($A742, Papers!$A$2:$A$995,0)),"")</f>
        <v/>
      </c>
      <c r="C742" s="85" t="str">
        <f t="array" ref="C742">IFerror(INDEX(Papers!D$2:D$995,MATCH($A742, Papers!$A$2:$A$995,0)),"")</f>
        <v/>
      </c>
      <c r="D742" s="86" t="str">
        <f t="array" ref="D742">IFerror(INDEX(Papers!F$2:F$995,MATCH($A742, Papers!$A$2:$A$995,0)),"")</f>
        <v/>
      </c>
      <c r="E742" s="59" t="str">
        <f t="array" ref="E742">IFerror(INDEX(Papers!G$2:G$995,MATCH($A742, Papers!$A$2:$A$995,0)),"")</f>
        <v/>
      </c>
    </row>
    <row r="743">
      <c r="B743" s="85" t="str">
        <f t="array" ref="B743">IFerror(INDEX(Papers!C$2:C$995,MATCH($A743, Papers!$A$2:$A$995,0)),"")</f>
        <v/>
      </c>
      <c r="C743" s="85" t="str">
        <f t="array" ref="C743">IFerror(INDEX(Papers!D$2:D$995,MATCH($A743, Papers!$A$2:$A$995,0)),"")</f>
        <v/>
      </c>
      <c r="D743" s="86" t="str">
        <f t="array" ref="D743">IFerror(INDEX(Papers!F$2:F$995,MATCH($A743, Papers!$A$2:$A$995,0)),"")</f>
        <v/>
      </c>
      <c r="E743" s="59" t="str">
        <f t="array" ref="E743">IFerror(INDEX(Papers!G$2:G$995,MATCH($A743, Papers!$A$2:$A$995,0)),"")</f>
        <v/>
      </c>
    </row>
    <row r="744">
      <c r="B744" s="85" t="str">
        <f t="array" ref="B744">IFerror(INDEX(Papers!C$2:C$995,MATCH($A744, Papers!$A$2:$A$995,0)),"")</f>
        <v/>
      </c>
      <c r="C744" s="85" t="str">
        <f t="array" ref="C744">IFerror(INDEX(Papers!D$2:D$995,MATCH($A744, Papers!$A$2:$A$995,0)),"")</f>
        <v/>
      </c>
      <c r="D744" s="86" t="str">
        <f t="array" ref="D744">IFerror(INDEX(Papers!F$2:F$995,MATCH($A744, Papers!$A$2:$A$995,0)),"")</f>
        <v/>
      </c>
      <c r="E744" s="59" t="str">
        <f t="array" ref="E744">IFerror(INDEX(Papers!G$2:G$995,MATCH($A744, Papers!$A$2:$A$995,0)),"")</f>
        <v/>
      </c>
    </row>
    <row r="745">
      <c r="B745" s="85" t="str">
        <f t="array" ref="B745">IFerror(INDEX(Papers!C$2:C$995,MATCH($A745, Papers!$A$2:$A$995,0)),"")</f>
        <v/>
      </c>
      <c r="C745" s="85" t="str">
        <f t="array" ref="C745">IFerror(INDEX(Papers!D$2:D$995,MATCH($A745, Papers!$A$2:$A$995,0)),"")</f>
        <v/>
      </c>
      <c r="D745" s="86" t="str">
        <f t="array" ref="D745">IFerror(INDEX(Papers!F$2:F$995,MATCH($A745, Papers!$A$2:$A$995,0)),"")</f>
        <v/>
      </c>
      <c r="E745" s="59" t="str">
        <f t="array" ref="E745">IFerror(INDEX(Papers!G$2:G$995,MATCH($A745, Papers!$A$2:$A$995,0)),"")</f>
        <v/>
      </c>
    </row>
    <row r="746">
      <c r="B746" s="85" t="str">
        <f t="array" ref="B746">IFerror(INDEX(Papers!C$2:C$995,MATCH($A746, Papers!$A$2:$A$995,0)),"")</f>
        <v/>
      </c>
      <c r="C746" s="85" t="str">
        <f t="array" ref="C746">IFerror(INDEX(Papers!D$2:D$995,MATCH($A746, Papers!$A$2:$A$995,0)),"")</f>
        <v/>
      </c>
      <c r="D746" s="86" t="str">
        <f t="array" ref="D746">IFerror(INDEX(Papers!F$2:F$995,MATCH($A746, Papers!$A$2:$A$995,0)),"")</f>
        <v/>
      </c>
      <c r="E746" s="59" t="str">
        <f t="array" ref="E746">IFerror(INDEX(Papers!G$2:G$995,MATCH($A746, Papers!$A$2:$A$995,0)),"")</f>
        <v/>
      </c>
    </row>
    <row r="747">
      <c r="B747" s="85" t="str">
        <f t="array" ref="B747">IFerror(INDEX(Papers!C$2:C$995,MATCH($A747, Papers!$A$2:$A$995,0)),"")</f>
        <v/>
      </c>
      <c r="C747" s="85" t="str">
        <f t="array" ref="C747">IFerror(INDEX(Papers!D$2:D$995,MATCH($A747, Papers!$A$2:$A$995,0)),"")</f>
        <v/>
      </c>
      <c r="D747" s="86" t="str">
        <f t="array" ref="D747">IFerror(INDEX(Papers!F$2:F$995,MATCH($A747, Papers!$A$2:$A$995,0)),"")</f>
        <v/>
      </c>
      <c r="E747" s="59" t="str">
        <f t="array" ref="E747">IFerror(INDEX(Papers!G$2:G$995,MATCH($A747, Papers!$A$2:$A$995,0)),"")</f>
        <v/>
      </c>
    </row>
    <row r="748">
      <c r="B748" s="85" t="str">
        <f t="array" ref="B748">IFerror(INDEX(Papers!C$2:C$995,MATCH($A748, Papers!$A$2:$A$995,0)),"")</f>
        <v/>
      </c>
      <c r="C748" s="85" t="str">
        <f t="array" ref="C748">IFerror(INDEX(Papers!D$2:D$995,MATCH($A748, Papers!$A$2:$A$995,0)),"")</f>
        <v/>
      </c>
      <c r="D748" s="86" t="str">
        <f t="array" ref="D748">IFerror(INDEX(Papers!F$2:F$995,MATCH($A748, Papers!$A$2:$A$995,0)),"")</f>
        <v/>
      </c>
      <c r="E748" s="59" t="str">
        <f t="array" ref="E748">IFerror(INDEX(Papers!G$2:G$995,MATCH($A748, Papers!$A$2:$A$995,0)),"")</f>
        <v/>
      </c>
    </row>
    <row r="749">
      <c r="B749" s="85" t="str">
        <f t="array" ref="B749">IFerror(INDEX(Papers!C$2:C$995,MATCH($A749, Papers!$A$2:$A$995,0)),"")</f>
        <v/>
      </c>
      <c r="C749" s="85" t="str">
        <f t="array" ref="C749">IFerror(INDEX(Papers!D$2:D$995,MATCH($A749, Papers!$A$2:$A$995,0)),"")</f>
        <v/>
      </c>
      <c r="D749" s="86" t="str">
        <f t="array" ref="D749">IFerror(INDEX(Papers!F$2:F$995,MATCH($A749, Papers!$A$2:$A$995,0)),"")</f>
        <v/>
      </c>
      <c r="E749" s="59" t="str">
        <f t="array" ref="E749">IFerror(INDEX(Papers!G$2:G$995,MATCH($A749, Papers!$A$2:$A$995,0)),"")</f>
        <v/>
      </c>
    </row>
    <row r="750">
      <c r="B750" s="85" t="str">
        <f t="array" ref="B750">IFerror(INDEX(Papers!C$2:C$995,MATCH($A750, Papers!$A$2:$A$995,0)),"")</f>
        <v/>
      </c>
      <c r="C750" s="85" t="str">
        <f t="array" ref="C750">IFerror(INDEX(Papers!D$2:D$995,MATCH($A750, Papers!$A$2:$A$995,0)),"")</f>
        <v/>
      </c>
      <c r="D750" s="86" t="str">
        <f t="array" ref="D750">IFerror(INDEX(Papers!F$2:F$995,MATCH($A750, Papers!$A$2:$A$995,0)),"")</f>
        <v/>
      </c>
      <c r="E750" s="59" t="str">
        <f t="array" ref="E750">IFerror(INDEX(Papers!G$2:G$995,MATCH($A750, Papers!$A$2:$A$995,0)),"")</f>
        <v/>
      </c>
    </row>
    <row r="751">
      <c r="B751" s="85" t="str">
        <f t="array" ref="B751">IFerror(INDEX(Papers!C$2:C$995,MATCH($A751, Papers!$A$2:$A$995,0)),"")</f>
        <v/>
      </c>
      <c r="C751" s="85" t="str">
        <f t="array" ref="C751">IFerror(INDEX(Papers!D$2:D$995,MATCH($A751, Papers!$A$2:$A$995,0)),"")</f>
        <v/>
      </c>
      <c r="D751" s="86" t="str">
        <f t="array" ref="D751">IFerror(INDEX(Papers!F$2:F$995,MATCH($A751, Papers!$A$2:$A$995,0)),"")</f>
        <v/>
      </c>
      <c r="E751" s="59" t="str">
        <f t="array" ref="E751">IFerror(INDEX(Papers!G$2:G$995,MATCH($A751, Papers!$A$2:$A$995,0)),"")</f>
        <v/>
      </c>
    </row>
    <row r="752">
      <c r="B752" s="85" t="str">
        <f t="array" ref="B752">IFerror(INDEX(Papers!C$2:C$995,MATCH($A752, Papers!$A$2:$A$995,0)),"")</f>
        <v/>
      </c>
      <c r="C752" s="85" t="str">
        <f t="array" ref="C752">IFerror(INDEX(Papers!D$2:D$995,MATCH($A752, Papers!$A$2:$A$995,0)),"")</f>
        <v/>
      </c>
      <c r="D752" s="86" t="str">
        <f t="array" ref="D752">IFerror(INDEX(Papers!F$2:F$995,MATCH($A752, Papers!$A$2:$A$995,0)),"")</f>
        <v/>
      </c>
      <c r="E752" s="59" t="str">
        <f t="array" ref="E752">IFerror(INDEX(Papers!G$2:G$995,MATCH($A752, Papers!$A$2:$A$995,0)),"")</f>
        <v/>
      </c>
    </row>
    <row r="753">
      <c r="B753" s="85" t="str">
        <f t="array" ref="B753">IFerror(INDEX(Papers!C$2:C$995,MATCH($A753, Papers!$A$2:$A$995,0)),"")</f>
        <v/>
      </c>
      <c r="C753" s="85" t="str">
        <f t="array" ref="C753">IFerror(INDEX(Papers!D$2:D$995,MATCH($A753, Papers!$A$2:$A$995,0)),"")</f>
        <v/>
      </c>
      <c r="D753" s="86" t="str">
        <f t="array" ref="D753">IFerror(INDEX(Papers!F$2:F$995,MATCH($A753, Papers!$A$2:$A$995,0)),"")</f>
        <v/>
      </c>
      <c r="E753" s="59" t="str">
        <f t="array" ref="E753">IFerror(INDEX(Papers!G$2:G$995,MATCH($A753, Papers!$A$2:$A$995,0)),"")</f>
        <v/>
      </c>
    </row>
    <row r="754">
      <c r="B754" s="85" t="str">
        <f t="array" ref="B754">IFerror(INDEX(Papers!C$2:C$995,MATCH($A754, Papers!$A$2:$A$995,0)),"")</f>
        <v/>
      </c>
      <c r="C754" s="85" t="str">
        <f t="array" ref="C754">IFerror(INDEX(Papers!D$2:D$995,MATCH($A754, Papers!$A$2:$A$995,0)),"")</f>
        <v/>
      </c>
      <c r="D754" s="86" t="str">
        <f t="array" ref="D754">IFerror(INDEX(Papers!F$2:F$995,MATCH($A754, Papers!$A$2:$A$995,0)),"")</f>
        <v/>
      </c>
      <c r="E754" s="59" t="str">
        <f t="array" ref="E754">IFerror(INDEX(Papers!G$2:G$995,MATCH($A754, Papers!$A$2:$A$995,0)),"")</f>
        <v/>
      </c>
    </row>
    <row r="755">
      <c r="B755" s="85" t="str">
        <f t="array" ref="B755">IFerror(INDEX(Papers!C$2:C$995,MATCH($A755, Papers!$A$2:$A$995,0)),"")</f>
        <v/>
      </c>
      <c r="C755" s="85" t="str">
        <f t="array" ref="C755">IFerror(INDEX(Papers!D$2:D$995,MATCH($A755, Papers!$A$2:$A$995,0)),"")</f>
        <v/>
      </c>
      <c r="D755" s="86" t="str">
        <f t="array" ref="D755">IFerror(INDEX(Papers!F$2:F$995,MATCH($A755, Papers!$A$2:$A$995,0)),"")</f>
        <v/>
      </c>
      <c r="E755" s="59" t="str">
        <f t="array" ref="E755">IFerror(INDEX(Papers!G$2:G$995,MATCH($A755, Papers!$A$2:$A$995,0)),"")</f>
        <v/>
      </c>
    </row>
    <row r="756">
      <c r="B756" s="85" t="str">
        <f t="array" ref="B756">IFerror(INDEX(Papers!C$2:C$995,MATCH($A756, Papers!$A$2:$A$995,0)),"")</f>
        <v/>
      </c>
      <c r="C756" s="85" t="str">
        <f t="array" ref="C756">IFerror(INDEX(Papers!D$2:D$995,MATCH($A756, Papers!$A$2:$A$995,0)),"")</f>
        <v/>
      </c>
      <c r="D756" s="86" t="str">
        <f t="array" ref="D756">IFerror(INDEX(Papers!F$2:F$995,MATCH($A756, Papers!$A$2:$A$995,0)),"")</f>
        <v/>
      </c>
      <c r="E756" s="59" t="str">
        <f t="array" ref="E756">IFerror(INDEX(Papers!G$2:G$995,MATCH($A756, Papers!$A$2:$A$995,0)),"")</f>
        <v/>
      </c>
    </row>
    <row r="757">
      <c r="B757" s="85" t="str">
        <f t="array" ref="B757">IFerror(INDEX(Papers!C$2:C$995,MATCH($A757, Papers!$A$2:$A$995,0)),"")</f>
        <v/>
      </c>
      <c r="C757" s="85" t="str">
        <f t="array" ref="C757">IFerror(INDEX(Papers!D$2:D$995,MATCH($A757, Papers!$A$2:$A$995,0)),"")</f>
        <v/>
      </c>
      <c r="D757" s="86" t="str">
        <f t="array" ref="D757">IFerror(INDEX(Papers!F$2:F$995,MATCH($A757, Papers!$A$2:$A$995,0)),"")</f>
        <v/>
      </c>
      <c r="E757" s="59" t="str">
        <f t="array" ref="E757">IFerror(INDEX(Papers!G$2:G$995,MATCH($A757, Papers!$A$2:$A$995,0)),"")</f>
        <v/>
      </c>
    </row>
    <row r="758">
      <c r="B758" s="85" t="str">
        <f t="array" ref="B758">IFerror(INDEX(Papers!C$2:C$995,MATCH($A758, Papers!$A$2:$A$995,0)),"")</f>
        <v/>
      </c>
      <c r="C758" s="85" t="str">
        <f t="array" ref="C758">IFerror(INDEX(Papers!D$2:D$995,MATCH($A758, Papers!$A$2:$A$995,0)),"")</f>
        <v/>
      </c>
      <c r="D758" s="86" t="str">
        <f t="array" ref="D758">IFerror(INDEX(Papers!F$2:F$995,MATCH($A758, Papers!$A$2:$A$995,0)),"")</f>
        <v/>
      </c>
      <c r="E758" s="59" t="str">
        <f t="array" ref="E758">IFerror(INDEX(Papers!G$2:G$995,MATCH($A758, Papers!$A$2:$A$995,0)),"")</f>
        <v/>
      </c>
    </row>
    <row r="759">
      <c r="B759" s="85" t="str">
        <f t="array" ref="B759">IFerror(INDEX(Papers!C$2:C$995,MATCH($A759, Papers!$A$2:$A$995,0)),"")</f>
        <v/>
      </c>
      <c r="C759" s="85" t="str">
        <f t="array" ref="C759">IFerror(INDEX(Papers!D$2:D$995,MATCH($A759, Papers!$A$2:$A$995,0)),"")</f>
        <v/>
      </c>
      <c r="D759" s="86" t="str">
        <f t="array" ref="D759">IFerror(INDEX(Papers!F$2:F$995,MATCH($A759, Papers!$A$2:$A$995,0)),"")</f>
        <v/>
      </c>
      <c r="E759" s="59" t="str">
        <f t="array" ref="E759">IFerror(INDEX(Papers!G$2:G$995,MATCH($A759, Papers!$A$2:$A$995,0)),"")</f>
        <v/>
      </c>
    </row>
    <row r="760">
      <c r="B760" s="85" t="str">
        <f t="array" ref="B760">IFerror(INDEX(Papers!C$2:C$995,MATCH($A760, Papers!$A$2:$A$995,0)),"")</f>
        <v/>
      </c>
      <c r="C760" s="85" t="str">
        <f t="array" ref="C760">IFerror(INDEX(Papers!D$2:D$995,MATCH($A760, Papers!$A$2:$A$995,0)),"")</f>
        <v/>
      </c>
      <c r="D760" s="86" t="str">
        <f t="array" ref="D760">IFerror(INDEX(Papers!F$2:F$995,MATCH($A760, Papers!$A$2:$A$995,0)),"")</f>
        <v/>
      </c>
      <c r="E760" s="59" t="str">
        <f t="array" ref="E760">IFerror(INDEX(Papers!G$2:G$995,MATCH($A760, Papers!$A$2:$A$995,0)),"")</f>
        <v/>
      </c>
    </row>
    <row r="761">
      <c r="B761" s="85" t="str">
        <f t="array" ref="B761">IFerror(INDEX(Papers!C$2:C$995,MATCH($A761, Papers!$A$2:$A$995,0)),"")</f>
        <v/>
      </c>
      <c r="C761" s="85" t="str">
        <f t="array" ref="C761">IFerror(INDEX(Papers!D$2:D$995,MATCH($A761, Papers!$A$2:$A$995,0)),"")</f>
        <v/>
      </c>
      <c r="D761" s="86" t="str">
        <f t="array" ref="D761">IFerror(INDEX(Papers!F$2:F$995,MATCH($A761, Papers!$A$2:$A$995,0)),"")</f>
        <v/>
      </c>
      <c r="E761" s="59" t="str">
        <f t="array" ref="E761">IFerror(INDEX(Papers!G$2:G$995,MATCH($A761, Papers!$A$2:$A$995,0)),"")</f>
        <v/>
      </c>
    </row>
    <row r="762">
      <c r="B762" s="85" t="str">
        <f t="array" ref="B762">IFerror(INDEX(Papers!C$2:C$995,MATCH($A762, Papers!$A$2:$A$995,0)),"")</f>
        <v/>
      </c>
      <c r="C762" s="85" t="str">
        <f t="array" ref="C762">IFerror(INDEX(Papers!D$2:D$995,MATCH($A762, Papers!$A$2:$A$995,0)),"")</f>
        <v/>
      </c>
      <c r="D762" s="86" t="str">
        <f t="array" ref="D762">IFerror(INDEX(Papers!F$2:F$995,MATCH($A762, Papers!$A$2:$A$995,0)),"")</f>
        <v/>
      </c>
      <c r="E762" s="59" t="str">
        <f t="array" ref="E762">IFerror(INDEX(Papers!G$2:G$995,MATCH($A762, Papers!$A$2:$A$995,0)),"")</f>
        <v/>
      </c>
    </row>
    <row r="763">
      <c r="B763" s="85" t="str">
        <f t="array" ref="B763">IFerror(INDEX(Papers!C$2:C$995,MATCH($A763, Papers!$A$2:$A$995,0)),"")</f>
        <v/>
      </c>
      <c r="C763" s="85" t="str">
        <f t="array" ref="C763">IFerror(INDEX(Papers!D$2:D$995,MATCH($A763, Papers!$A$2:$A$995,0)),"")</f>
        <v/>
      </c>
      <c r="D763" s="86" t="str">
        <f t="array" ref="D763">IFerror(INDEX(Papers!F$2:F$995,MATCH($A763, Papers!$A$2:$A$995,0)),"")</f>
        <v/>
      </c>
      <c r="E763" s="59" t="str">
        <f t="array" ref="E763">IFerror(INDEX(Papers!G$2:G$995,MATCH($A763, Papers!$A$2:$A$995,0)),"")</f>
        <v/>
      </c>
    </row>
    <row r="764">
      <c r="B764" s="85" t="str">
        <f t="array" ref="B764">IFerror(INDEX(Papers!C$2:C$995,MATCH($A764, Papers!$A$2:$A$995,0)),"")</f>
        <v/>
      </c>
      <c r="C764" s="85" t="str">
        <f t="array" ref="C764">IFerror(INDEX(Papers!D$2:D$995,MATCH($A764, Papers!$A$2:$A$995,0)),"")</f>
        <v/>
      </c>
      <c r="D764" s="86" t="str">
        <f t="array" ref="D764">IFerror(INDEX(Papers!F$2:F$995,MATCH($A764, Papers!$A$2:$A$995,0)),"")</f>
        <v/>
      </c>
      <c r="E764" s="59" t="str">
        <f t="array" ref="E764">IFerror(INDEX(Papers!G$2:G$995,MATCH($A764, Papers!$A$2:$A$995,0)),"")</f>
        <v/>
      </c>
    </row>
    <row r="765">
      <c r="B765" s="85" t="str">
        <f t="array" ref="B765">IFerror(INDEX(Papers!C$2:C$995,MATCH($A765, Papers!$A$2:$A$995,0)),"")</f>
        <v/>
      </c>
      <c r="C765" s="85" t="str">
        <f t="array" ref="C765">IFerror(INDEX(Papers!D$2:D$995,MATCH($A765, Papers!$A$2:$A$995,0)),"")</f>
        <v/>
      </c>
      <c r="D765" s="86" t="str">
        <f t="array" ref="D765">IFerror(INDEX(Papers!F$2:F$995,MATCH($A765, Papers!$A$2:$A$995,0)),"")</f>
        <v/>
      </c>
      <c r="E765" s="59" t="str">
        <f t="array" ref="E765">IFerror(INDEX(Papers!G$2:G$995,MATCH($A765, Papers!$A$2:$A$995,0)),"")</f>
        <v/>
      </c>
    </row>
    <row r="766">
      <c r="B766" s="85" t="str">
        <f t="array" ref="B766">IFerror(INDEX(Papers!C$2:C$995,MATCH($A766, Papers!$A$2:$A$995,0)),"")</f>
        <v/>
      </c>
      <c r="C766" s="85" t="str">
        <f t="array" ref="C766">IFerror(INDEX(Papers!D$2:D$995,MATCH($A766, Papers!$A$2:$A$995,0)),"")</f>
        <v/>
      </c>
      <c r="D766" s="86" t="str">
        <f t="array" ref="D766">IFerror(INDEX(Papers!F$2:F$995,MATCH($A766, Papers!$A$2:$A$995,0)),"")</f>
        <v/>
      </c>
      <c r="E766" s="59" t="str">
        <f t="array" ref="E766">IFerror(INDEX(Papers!G$2:G$995,MATCH($A766, Papers!$A$2:$A$995,0)),"")</f>
        <v/>
      </c>
    </row>
    <row r="767">
      <c r="B767" s="85" t="str">
        <f t="array" ref="B767">IFerror(INDEX(Papers!C$2:C$995,MATCH($A767, Papers!$A$2:$A$995,0)),"")</f>
        <v/>
      </c>
      <c r="C767" s="85" t="str">
        <f t="array" ref="C767">IFerror(INDEX(Papers!D$2:D$995,MATCH($A767, Papers!$A$2:$A$995,0)),"")</f>
        <v/>
      </c>
      <c r="D767" s="86" t="str">
        <f t="array" ref="D767">IFerror(INDEX(Papers!F$2:F$995,MATCH($A767, Papers!$A$2:$A$995,0)),"")</f>
        <v/>
      </c>
      <c r="E767" s="59" t="str">
        <f t="array" ref="E767">IFerror(INDEX(Papers!G$2:G$995,MATCH($A767, Papers!$A$2:$A$995,0)),"")</f>
        <v/>
      </c>
    </row>
    <row r="768">
      <c r="B768" s="85" t="str">
        <f t="array" ref="B768">IFerror(INDEX(Papers!C$2:C$995,MATCH($A768, Papers!$A$2:$A$995,0)),"")</f>
        <v/>
      </c>
      <c r="C768" s="85" t="str">
        <f t="array" ref="C768">IFerror(INDEX(Papers!D$2:D$995,MATCH($A768, Papers!$A$2:$A$995,0)),"")</f>
        <v/>
      </c>
      <c r="D768" s="86" t="str">
        <f t="array" ref="D768">IFerror(INDEX(Papers!F$2:F$995,MATCH($A768, Papers!$A$2:$A$995,0)),"")</f>
        <v/>
      </c>
      <c r="E768" s="59" t="str">
        <f t="array" ref="E768">IFerror(INDEX(Papers!G$2:G$995,MATCH($A768, Papers!$A$2:$A$995,0)),"")</f>
        <v/>
      </c>
    </row>
    <row r="769">
      <c r="B769" s="85" t="str">
        <f t="array" ref="B769">IFerror(INDEX(Papers!C$2:C$995,MATCH($A769, Papers!$A$2:$A$995,0)),"")</f>
        <v/>
      </c>
      <c r="C769" s="85" t="str">
        <f t="array" ref="C769">IFerror(INDEX(Papers!D$2:D$995,MATCH($A769, Papers!$A$2:$A$995,0)),"")</f>
        <v/>
      </c>
      <c r="D769" s="86" t="str">
        <f t="array" ref="D769">IFerror(INDEX(Papers!F$2:F$995,MATCH($A769, Papers!$A$2:$A$995,0)),"")</f>
        <v/>
      </c>
      <c r="E769" s="59" t="str">
        <f t="array" ref="E769">IFerror(INDEX(Papers!G$2:G$995,MATCH($A769, Papers!$A$2:$A$995,0)),"")</f>
        <v/>
      </c>
    </row>
    <row r="770">
      <c r="B770" s="85" t="str">
        <f t="array" ref="B770">IFerror(INDEX(Papers!C$2:C$995,MATCH($A770, Papers!$A$2:$A$995,0)),"")</f>
        <v/>
      </c>
      <c r="C770" s="85" t="str">
        <f t="array" ref="C770">IFerror(INDEX(Papers!D$2:D$995,MATCH($A770, Papers!$A$2:$A$995,0)),"")</f>
        <v/>
      </c>
      <c r="D770" s="86" t="str">
        <f t="array" ref="D770">IFerror(INDEX(Papers!F$2:F$995,MATCH($A770, Papers!$A$2:$A$995,0)),"")</f>
        <v/>
      </c>
      <c r="E770" s="59" t="str">
        <f t="array" ref="E770">IFerror(INDEX(Papers!G$2:G$995,MATCH($A770, Papers!$A$2:$A$995,0)),"")</f>
        <v/>
      </c>
    </row>
    <row r="771">
      <c r="B771" s="85" t="str">
        <f t="array" ref="B771">IFerror(INDEX(Papers!C$2:C$995,MATCH($A771, Papers!$A$2:$A$995,0)),"")</f>
        <v/>
      </c>
      <c r="C771" s="85" t="str">
        <f t="array" ref="C771">IFerror(INDEX(Papers!D$2:D$995,MATCH($A771, Papers!$A$2:$A$995,0)),"")</f>
        <v/>
      </c>
      <c r="D771" s="86" t="str">
        <f t="array" ref="D771">IFerror(INDEX(Papers!F$2:F$995,MATCH($A771, Papers!$A$2:$A$995,0)),"")</f>
        <v/>
      </c>
      <c r="E771" s="59" t="str">
        <f t="array" ref="E771">IFerror(INDEX(Papers!G$2:G$995,MATCH($A771, Papers!$A$2:$A$995,0)),"")</f>
        <v/>
      </c>
    </row>
    <row r="772">
      <c r="B772" s="85" t="str">
        <f t="array" ref="B772">IFerror(INDEX(Papers!C$2:C$995,MATCH($A772, Papers!$A$2:$A$995,0)),"")</f>
        <v/>
      </c>
      <c r="C772" s="85" t="str">
        <f t="array" ref="C772">IFerror(INDEX(Papers!D$2:D$995,MATCH($A772, Papers!$A$2:$A$995,0)),"")</f>
        <v/>
      </c>
      <c r="D772" s="86" t="str">
        <f t="array" ref="D772">IFerror(INDEX(Papers!F$2:F$995,MATCH($A772, Papers!$A$2:$A$995,0)),"")</f>
        <v/>
      </c>
      <c r="E772" s="59" t="str">
        <f t="array" ref="E772">IFerror(INDEX(Papers!G$2:G$995,MATCH($A772, Papers!$A$2:$A$995,0)),"")</f>
        <v/>
      </c>
    </row>
    <row r="773">
      <c r="B773" s="85" t="str">
        <f t="array" ref="B773">IFerror(INDEX(Papers!C$2:C$995,MATCH($A773, Papers!$A$2:$A$995,0)),"")</f>
        <v/>
      </c>
      <c r="C773" s="85" t="str">
        <f t="array" ref="C773">IFerror(INDEX(Papers!D$2:D$995,MATCH($A773, Papers!$A$2:$A$995,0)),"")</f>
        <v/>
      </c>
      <c r="D773" s="86" t="str">
        <f t="array" ref="D773">IFerror(INDEX(Papers!F$2:F$995,MATCH($A773, Papers!$A$2:$A$995,0)),"")</f>
        <v/>
      </c>
      <c r="E773" s="59" t="str">
        <f t="array" ref="E773">IFerror(INDEX(Papers!G$2:G$995,MATCH($A773, Papers!$A$2:$A$995,0)),"")</f>
        <v/>
      </c>
    </row>
    <row r="774">
      <c r="B774" s="85" t="str">
        <f t="array" ref="B774">IFerror(INDEX(Papers!C$2:C$995,MATCH($A774, Papers!$A$2:$A$995,0)),"")</f>
        <v/>
      </c>
      <c r="C774" s="85" t="str">
        <f t="array" ref="C774">IFerror(INDEX(Papers!D$2:D$995,MATCH($A774, Papers!$A$2:$A$995,0)),"")</f>
        <v/>
      </c>
      <c r="D774" s="86" t="str">
        <f t="array" ref="D774">IFerror(INDEX(Papers!F$2:F$995,MATCH($A774, Papers!$A$2:$A$995,0)),"")</f>
        <v/>
      </c>
      <c r="E774" s="59" t="str">
        <f t="array" ref="E774">IFerror(INDEX(Papers!G$2:G$995,MATCH($A774, Papers!$A$2:$A$995,0)),"")</f>
        <v/>
      </c>
    </row>
    <row r="775">
      <c r="B775" s="85" t="str">
        <f t="array" ref="B775">IFerror(INDEX(Papers!C$2:C$995,MATCH($A775, Papers!$A$2:$A$995,0)),"")</f>
        <v/>
      </c>
      <c r="C775" s="85" t="str">
        <f t="array" ref="C775">IFerror(INDEX(Papers!D$2:D$995,MATCH($A775, Papers!$A$2:$A$995,0)),"")</f>
        <v/>
      </c>
      <c r="D775" s="86" t="str">
        <f t="array" ref="D775">IFerror(INDEX(Papers!F$2:F$995,MATCH($A775, Papers!$A$2:$A$995,0)),"")</f>
        <v/>
      </c>
      <c r="E775" s="59" t="str">
        <f t="array" ref="E775">IFerror(INDEX(Papers!G$2:G$995,MATCH($A775, Papers!$A$2:$A$995,0)),"")</f>
        <v/>
      </c>
    </row>
    <row r="776">
      <c r="B776" s="85" t="str">
        <f t="array" ref="B776">IFerror(INDEX(Papers!C$2:C$995,MATCH($A776, Papers!$A$2:$A$995,0)),"")</f>
        <v/>
      </c>
      <c r="C776" s="85" t="str">
        <f t="array" ref="C776">IFerror(INDEX(Papers!D$2:D$995,MATCH($A776, Papers!$A$2:$A$995,0)),"")</f>
        <v/>
      </c>
      <c r="D776" s="86" t="str">
        <f t="array" ref="D776">IFerror(INDEX(Papers!F$2:F$995,MATCH($A776, Papers!$A$2:$A$995,0)),"")</f>
        <v/>
      </c>
      <c r="E776" s="59" t="str">
        <f t="array" ref="E776">IFerror(INDEX(Papers!G$2:G$995,MATCH($A776, Papers!$A$2:$A$995,0)),"")</f>
        <v/>
      </c>
    </row>
    <row r="777">
      <c r="B777" s="85" t="str">
        <f t="array" ref="B777">IFerror(INDEX(Papers!C$2:C$995,MATCH($A777, Papers!$A$2:$A$995,0)),"")</f>
        <v/>
      </c>
      <c r="C777" s="85" t="str">
        <f t="array" ref="C777">IFerror(INDEX(Papers!D$2:D$995,MATCH($A777, Papers!$A$2:$A$995,0)),"")</f>
        <v/>
      </c>
      <c r="D777" s="86" t="str">
        <f t="array" ref="D777">IFerror(INDEX(Papers!F$2:F$995,MATCH($A777, Papers!$A$2:$A$995,0)),"")</f>
        <v/>
      </c>
      <c r="E777" s="59" t="str">
        <f t="array" ref="E777">IFerror(INDEX(Papers!G$2:G$995,MATCH($A777, Papers!$A$2:$A$995,0)),"")</f>
        <v/>
      </c>
    </row>
    <row r="778">
      <c r="B778" s="85" t="str">
        <f t="array" ref="B778">IFerror(INDEX(Papers!C$2:C$995,MATCH($A778, Papers!$A$2:$A$995,0)),"")</f>
        <v/>
      </c>
      <c r="C778" s="85" t="str">
        <f t="array" ref="C778">IFerror(INDEX(Papers!D$2:D$995,MATCH($A778, Papers!$A$2:$A$995,0)),"")</f>
        <v/>
      </c>
      <c r="D778" s="86" t="str">
        <f t="array" ref="D778">IFerror(INDEX(Papers!F$2:F$995,MATCH($A778, Papers!$A$2:$A$995,0)),"")</f>
        <v/>
      </c>
      <c r="E778" s="59" t="str">
        <f t="array" ref="E778">IFerror(INDEX(Papers!G$2:G$995,MATCH($A778, Papers!$A$2:$A$995,0)),"")</f>
        <v/>
      </c>
    </row>
    <row r="779">
      <c r="B779" s="85" t="str">
        <f t="array" ref="B779">IFerror(INDEX(Papers!C$2:C$995,MATCH($A779, Papers!$A$2:$A$995,0)),"")</f>
        <v/>
      </c>
      <c r="C779" s="85" t="str">
        <f t="array" ref="C779">IFerror(INDEX(Papers!D$2:D$995,MATCH($A779, Papers!$A$2:$A$995,0)),"")</f>
        <v/>
      </c>
      <c r="D779" s="86" t="str">
        <f t="array" ref="D779">IFerror(INDEX(Papers!F$2:F$995,MATCH($A779, Papers!$A$2:$A$995,0)),"")</f>
        <v/>
      </c>
      <c r="E779" s="59" t="str">
        <f t="array" ref="E779">IFerror(INDEX(Papers!G$2:G$995,MATCH($A779, Papers!$A$2:$A$995,0)),"")</f>
        <v/>
      </c>
    </row>
    <row r="780">
      <c r="B780" s="85" t="str">
        <f t="array" ref="B780">IFerror(INDEX(Papers!C$2:C$995,MATCH($A780, Papers!$A$2:$A$995,0)),"")</f>
        <v/>
      </c>
      <c r="C780" s="85" t="str">
        <f t="array" ref="C780">IFerror(INDEX(Papers!D$2:D$995,MATCH($A780, Papers!$A$2:$A$995,0)),"")</f>
        <v/>
      </c>
      <c r="D780" s="86" t="str">
        <f t="array" ref="D780">IFerror(INDEX(Papers!F$2:F$995,MATCH($A780, Papers!$A$2:$A$995,0)),"")</f>
        <v/>
      </c>
      <c r="E780" s="59" t="str">
        <f t="array" ref="E780">IFerror(INDEX(Papers!G$2:G$995,MATCH($A780, Papers!$A$2:$A$995,0)),"")</f>
        <v/>
      </c>
    </row>
    <row r="781">
      <c r="B781" s="85" t="str">
        <f t="array" ref="B781">IFerror(INDEX(Papers!C$2:C$995,MATCH($A781, Papers!$A$2:$A$995,0)),"")</f>
        <v/>
      </c>
      <c r="C781" s="85" t="str">
        <f t="array" ref="C781">IFerror(INDEX(Papers!D$2:D$995,MATCH($A781, Papers!$A$2:$A$995,0)),"")</f>
        <v/>
      </c>
      <c r="D781" s="86" t="str">
        <f t="array" ref="D781">IFerror(INDEX(Papers!F$2:F$995,MATCH($A781, Papers!$A$2:$A$995,0)),"")</f>
        <v/>
      </c>
      <c r="E781" s="59" t="str">
        <f t="array" ref="E781">IFerror(INDEX(Papers!G$2:G$995,MATCH($A781, Papers!$A$2:$A$995,0)),"")</f>
        <v/>
      </c>
    </row>
    <row r="782">
      <c r="B782" s="85" t="str">
        <f t="array" ref="B782">IFerror(INDEX(Papers!C$2:C$995,MATCH($A782, Papers!$A$2:$A$995,0)),"")</f>
        <v/>
      </c>
      <c r="C782" s="85" t="str">
        <f t="array" ref="C782">IFerror(INDEX(Papers!D$2:D$995,MATCH($A782, Papers!$A$2:$A$995,0)),"")</f>
        <v/>
      </c>
      <c r="D782" s="86" t="str">
        <f t="array" ref="D782">IFerror(INDEX(Papers!F$2:F$995,MATCH($A782, Papers!$A$2:$A$995,0)),"")</f>
        <v/>
      </c>
      <c r="E782" s="59" t="str">
        <f t="array" ref="E782">IFerror(INDEX(Papers!G$2:G$995,MATCH($A782, Papers!$A$2:$A$995,0)),"")</f>
        <v/>
      </c>
    </row>
    <row r="783">
      <c r="B783" s="85" t="str">
        <f t="array" ref="B783">IFerror(INDEX(Papers!C$2:C$995,MATCH($A783, Papers!$A$2:$A$995,0)),"")</f>
        <v/>
      </c>
      <c r="C783" s="85" t="str">
        <f t="array" ref="C783">IFerror(INDEX(Papers!D$2:D$995,MATCH($A783, Papers!$A$2:$A$995,0)),"")</f>
        <v/>
      </c>
      <c r="D783" s="86" t="str">
        <f t="array" ref="D783">IFerror(INDEX(Papers!F$2:F$995,MATCH($A783, Papers!$A$2:$A$995,0)),"")</f>
        <v/>
      </c>
      <c r="E783" s="59" t="str">
        <f t="array" ref="E783">IFerror(INDEX(Papers!G$2:G$995,MATCH($A783, Papers!$A$2:$A$995,0)),"")</f>
        <v/>
      </c>
    </row>
    <row r="784">
      <c r="B784" s="85" t="str">
        <f t="array" ref="B784">IFerror(INDEX(Papers!C$2:C$995,MATCH($A784, Papers!$A$2:$A$995,0)),"")</f>
        <v/>
      </c>
      <c r="C784" s="85" t="str">
        <f t="array" ref="C784">IFerror(INDEX(Papers!D$2:D$995,MATCH($A784, Papers!$A$2:$A$995,0)),"")</f>
        <v/>
      </c>
      <c r="D784" s="86" t="str">
        <f t="array" ref="D784">IFerror(INDEX(Papers!F$2:F$995,MATCH($A784, Papers!$A$2:$A$995,0)),"")</f>
        <v/>
      </c>
      <c r="E784" s="59" t="str">
        <f t="array" ref="E784">IFerror(INDEX(Papers!G$2:G$995,MATCH($A784, Papers!$A$2:$A$995,0)),"")</f>
        <v/>
      </c>
    </row>
    <row r="785">
      <c r="B785" s="85" t="str">
        <f t="array" ref="B785">IFerror(INDEX(Papers!C$2:C$995,MATCH($A785, Papers!$A$2:$A$995,0)),"")</f>
        <v/>
      </c>
      <c r="C785" s="85" t="str">
        <f t="array" ref="C785">IFerror(INDEX(Papers!D$2:D$995,MATCH($A785, Papers!$A$2:$A$995,0)),"")</f>
        <v/>
      </c>
      <c r="D785" s="86" t="str">
        <f t="array" ref="D785">IFerror(INDEX(Papers!F$2:F$995,MATCH($A785, Papers!$A$2:$A$995,0)),"")</f>
        <v/>
      </c>
      <c r="E785" s="59" t="str">
        <f t="array" ref="E785">IFerror(INDEX(Papers!G$2:G$995,MATCH($A785, Papers!$A$2:$A$995,0)),"")</f>
        <v/>
      </c>
    </row>
    <row r="786">
      <c r="B786" s="85" t="str">
        <f t="array" ref="B786">IFerror(INDEX(Papers!C$2:C$995,MATCH($A786, Papers!$A$2:$A$995,0)),"")</f>
        <v/>
      </c>
      <c r="C786" s="85" t="str">
        <f t="array" ref="C786">IFerror(INDEX(Papers!D$2:D$995,MATCH($A786, Papers!$A$2:$A$995,0)),"")</f>
        <v/>
      </c>
      <c r="D786" s="86" t="str">
        <f t="array" ref="D786">IFerror(INDEX(Papers!F$2:F$995,MATCH($A786, Papers!$A$2:$A$995,0)),"")</f>
        <v/>
      </c>
      <c r="E786" s="59" t="str">
        <f t="array" ref="E786">IFerror(INDEX(Papers!G$2:G$995,MATCH($A786, Papers!$A$2:$A$995,0)),"")</f>
        <v/>
      </c>
    </row>
    <row r="787">
      <c r="B787" s="85" t="str">
        <f t="array" ref="B787">IFerror(INDEX(Papers!C$2:C$995,MATCH($A787, Papers!$A$2:$A$995,0)),"")</f>
        <v/>
      </c>
      <c r="C787" s="85" t="str">
        <f t="array" ref="C787">IFerror(INDEX(Papers!D$2:D$995,MATCH($A787, Papers!$A$2:$A$995,0)),"")</f>
        <v/>
      </c>
      <c r="D787" s="86" t="str">
        <f t="array" ref="D787">IFerror(INDEX(Papers!F$2:F$995,MATCH($A787, Papers!$A$2:$A$995,0)),"")</f>
        <v/>
      </c>
      <c r="E787" s="59" t="str">
        <f t="array" ref="E787">IFerror(INDEX(Papers!G$2:G$995,MATCH($A787, Papers!$A$2:$A$995,0)),"")</f>
        <v/>
      </c>
    </row>
    <row r="788">
      <c r="B788" s="85" t="str">
        <f t="array" ref="B788">IFerror(INDEX(Papers!C$2:C$995,MATCH($A788, Papers!$A$2:$A$995,0)),"")</f>
        <v/>
      </c>
      <c r="C788" s="85" t="str">
        <f t="array" ref="C788">IFerror(INDEX(Papers!D$2:D$995,MATCH($A788, Papers!$A$2:$A$995,0)),"")</f>
        <v/>
      </c>
      <c r="D788" s="86" t="str">
        <f t="array" ref="D788">IFerror(INDEX(Papers!F$2:F$995,MATCH($A788, Papers!$A$2:$A$995,0)),"")</f>
        <v/>
      </c>
      <c r="E788" s="59" t="str">
        <f t="array" ref="E788">IFerror(INDEX(Papers!G$2:G$995,MATCH($A788, Papers!$A$2:$A$995,0)),"")</f>
        <v/>
      </c>
    </row>
    <row r="789">
      <c r="B789" s="85" t="str">
        <f t="array" ref="B789">IFerror(INDEX(Papers!C$2:C$995,MATCH($A789, Papers!$A$2:$A$995,0)),"")</f>
        <v/>
      </c>
      <c r="C789" s="85" t="str">
        <f t="array" ref="C789">IFerror(INDEX(Papers!D$2:D$995,MATCH($A789, Papers!$A$2:$A$995,0)),"")</f>
        <v/>
      </c>
      <c r="D789" s="86" t="str">
        <f t="array" ref="D789">IFerror(INDEX(Papers!F$2:F$995,MATCH($A789, Papers!$A$2:$A$995,0)),"")</f>
        <v/>
      </c>
      <c r="E789" s="59" t="str">
        <f t="array" ref="E789">IFerror(INDEX(Papers!G$2:G$995,MATCH($A789, Papers!$A$2:$A$995,0)),"")</f>
        <v/>
      </c>
    </row>
    <row r="790">
      <c r="B790" s="85" t="str">
        <f t="array" ref="B790">IFerror(INDEX(Papers!C$2:C$995,MATCH($A790, Papers!$A$2:$A$995,0)),"")</f>
        <v/>
      </c>
      <c r="C790" s="85" t="str">
        <f t="array" ref="C790">IFerror(INDEX(Papers!D$2:D$995,MATCH($A790, Papers!$A$2:$A$995,0)),"")</f>
        <v/>
      </c>
      <c r="D790" s="86" t="str">
        <f t="array" ref="D790">IFerror(INDEX(Papers!F$2:F$995,MATCH($A790, Papers!$A$2:$A$995,0)),"")</f>
        <v/>
      </c>
      <c r="E790" s="59" t="str">
        <f t="array" ref="E790">IFerror(INDEX(Papers!G$2:G$995,MATCH($A790, Papers!$A$2:$A$995,0)),"")</f>
        <v/>
      </c>
    </row>
    <row r="791">
      <c r="B791" s="85" t="str">
        <f t="array" ref="B791">IFerror(INDEX(Papers!C$2:C$995,MATCH($A791, Papers!$A$2:$A$995,0)),"")</f>
        <v/>
      </c>
      <c r="C791" s="85" t="str">
        <f t="array" ref="C791">IFerror(INDEX(Papers!D$2:D$995,MATCH($A791, Papers!$A$2:$A$995,0)),"")</f>
        <v/>
      </c>
      <c r="D791" s="86" t="str">
        <f t="array" ref="D791">IFerror(INDEX(Papers!F$2:F$995,MATCH($A791, Papers!$A$2:$A$995,0)),"")</f>
        <v/>
      </c>
      <c r="E791" s="59" t="str">
        <f t="array" ref="E791">IFerror(INDEX(Papers!G$2:G$995,MATCH($A791, Papers!$A$2:$A$995,0)),"")</f>
        <v/>
      </c>
    </row>
    <row r="792">
      <c r="B792" s="85" t="str">
        <f t="array" ref="B792">IFerror(INDEX(Papers!C$2:C$995,MATCH($A792, Papers!$A$2:$A$995,0)),"")</f>
        <v/>
      </c>
      <c r="C792" s="85" t="str">
        <f t="array" ref="C792">IFerror(INDEX(Papers!D$2:D$995,MATCH($A792, Papers!$A$2:$A$995,0)),"")</f>
        <v/>
      </c>
      <c r="D792" s="86" t="str">
        <f t="array" ref="D792">IFerror(INDEX(Papers!F$2:F$995,MATCH($A792, Papers!$A$2:$A$995,0)),"")</f>
        <v/>
      </c>
      <c r="E792" s="59" t="str">
        <f t="array" ref="E792">IFerror(INDEX(Papers!G$2:G$995,MATCH($A792, Papers!$A$2:$A$995,0)),"")</f>
        <v/>
      </c>
    </row>
    <row r="793">
      <c r="B793" s="85" t="str">
        <f t="array" ref="B793">IFerror(INDEX(Papers!C$2:C$995,MATCH($A793, Papers!$A$2:$A$995,0)),"")</f>
        <v/>
      </c>
      <c r="C793" s="85" t="str">
        <f t="array" ref="C793">IFerror(INDEX(Papers!D$2:D$995,MATCH($A793, Papers!$A$2:$A$995,0)),"")</f>
        <v/>
      </c>
      <c r="D793" s="86" t="str">
        <f t="array" ref="D793">IFerror(INDEX(Papers!F$2:F$995,MATCH($A793, Papers!$A$2:$A$995,0)),"")</f>
        <v/>
      </c>
      <c r="E793" s="59" t="str">
        <f t="array" ref="E793">IFerror(INDEX(Papers!G$2:G$995,MATCH($A793, Papers!$A$2:$A$995,0)),"")</f>
        <v/>
      </c>
    </row>
    <row r="794">
      <c r="B794" s="85" t="str">
        <f t="array" ref="B794">IFerror(INDEX(Papers!C$2:C$995,MATCH($A794, Papers!$A$2:$A$995,0)),"")</f>
        <v/>
      </c>
      <c r="C794" s="85" t="str">
        <f t="array" ref="C794">IFerror(INDEX(Papers!D$2:D$995,MATCH($A794, Papers!$A$2:$A$995,0)),"")</f>
        <v/>
      </c>
      <c r="D794" s="86" t="str">
        <f t="array" ref="D794">IFerror(INDEX(Papers!F$2:F$995,MATCH($A794, Papers!$A$2:$A$995,0)),"")</f>
        <v/>
      </c>
      <c r="E794" s="59" t="str">
        <f t="array" ref="E794">IFerror(INDEX(Papers!G$2:G$995,MATCH($A794, Papers!$A$2:$A$995,0)),"")</f>
        <v/>
      </c>
    </row>
    <row r="795">
      <c r="B795" s="85" t="str">
        <f t="array" ref="B795">IFerror(INDEX(Papers!C$2:C$995,MATCH($A795, Papers!$A$2:$A$995,0)),"")</f>
        <v/>
      </c>
      <c r="C795" s="85" t="str">
        <f t="array" ref="C795">IFerror(INDEX(Papers!D$2:D$995,MATCH($A795, Papers!$A$2:$A$995,0)),"")</f>
        <v/>
      </c>
      <c r="D795" s="86" t="str">
        <f t="array" ref="D795">IFerror(INDEX(Papers!F$2:F$995,MATCH($A795, Papers!$A$2:$A$995,0)),"")</f>
        <v/>
      </c>
      <c r="E795" s="59" t="str">
        <f t="array" ref="E795">IFerror(INDEX(Papers!G$2:G$995,MATCH($A795, Papers!$A$2:$A$995,0)),"")</f>
        <v/>
      </c>
    </row>
    <row r="796">
      <c r="B796" s="85" t="str">
        <f t="array" ref="B796">IFerror(INDEX(Papers!C$2:C$995,MATCH($A796, Papers!$A$2:$A$995,0)),"")</f>
        <v/>
      </c>
      <c r="C796" s="85" t="str">
        <f t="array" ref="C796">IFerror(INDEX(Papers!D$2:D$995,MATCH($A796, Papers!$A$2:$A$995,0)),"")</f>
        <v/>
      </c>
      <c r="D796" s="86" t="str">
        <f t="array" ref="D796">IFerror(INDEX(Papers!F$2:F$995,MATCH($A796, Papers!$A$2:$A$995,0)),"")</f>
        <v/>
      </c>
      <c r="E796" s="59" t="str">
        <f t="array" ref="E796">IFerror(INDEX(Papers!G$2:G$995,MATCH($A796, Papers!$A$2:$A$995,0)),"")</f>
        <v/>
      </c>
    </row>
    <row r="797">
      <c r="B797" s="85" t="str">
        <f t="array" ref="B797">IFerror(INDEX(Papers!C$2:C$995,MATCH($A797, Papers!$A$2:$A$995,0)),"")</f>
        <v/>
      </c>
      <c r="C797" s="85" t="str">
        <f t="array" ref="C797">IFerror(INDEX(Papers!D$2:D$995,MATCH($A797, Papers!$A$2:$A$995,0)),"")</f>
        <v/>
      </c>
      <c r="D797" s="86" t="str">
        <f t="array" ref="D797">IFerror(INDEX(Papers!F$2:F$995,MATCH($A797, Papers!$A$2:$A$995,0)),"")</f>
        <v/>
      </c>
      <c r="E797" s="59" t="str">
        <f t="array" ref="E797">IFerror(INDEX(Papers!G$2:G$995,MATCH($A797, Papers!$A$2:$A$995,0)),"")</f>
        <v/>
      </c>
    </row>
    <row r="798">
      <c r="B798" s="85" t="str">
        <f t="array" ref="B798">IFerror(INDEX(Papers!C$2:C$995,MATCH($A798, Papers!$A$2:$A$995,0)),"")</f>
        <v/>
      </c>
      <c r="C798" s="85" t="str">
        <f t="array" ref="C798">IFerror(INDEX(Papers!D$2:D$995,MATCH($A798, Papers!$A$2:$A$995,0)),"")</f>
        <v/>
      </c>
      <c r="D798" s="86" t="str">
        <f t="array" ref="D798">IFerror(INDEX(Papers!F$2:F$995,MATCH($A798, Papers!$A$2:$A$995,0)),"")</f>
        <v/>
      </c>
      <c r="E798" s="59" t="str">
        <f t="array" ref="E798">IFerror(INDEX(Papers!G$2:G$995,MATCH($A798, Papers!$A$2:$A$995,0)),"")</f>
        <v/>
      </c>
    </row>
    <row r="799">
      <c r="B799" s="85" t="str">
        <f t="array" ref="B799">IFerror(INDEX(Papers!C$2:C$995,MATCH($A799, Papers!$A$2:$A$995,0)),"")</f>
        <v/>
      </c>
      <c r="C799" s="85" t="str">
        <f t="array" ref="C799">IFerror(INDEX(Papers!D$2:D$995,MATCH($A799, Papers!$A$2:$A$995,0)),"")</f>
        <v/>
      </c>
      <c r="D799" s="86" t="str">
        <f t="array" ref="D799">IFerror(INDEX(Papers!F$2:F$995,MATCH($A799, Papers!$A$2:$A$995,0)),"")</f>
        <v/>
      </c>
      <c r="E799" s="59" t="str">
        <f t="array" ref="E799">IFerror(INDEX(Papers!G$2:G$995,MATCH($A799, Papers!$A$2:$A$995,0)),"")</f>
        <v/>
      </c>
    </row>
    <row r="800">
      <c r="B800" s="85" t="str">
        <f t="array" ref="B800">IFerror(INDEX(Papers!C$2:C$995,MATCH($A800, Papers!$A$2:$A$995,0)),"")</f>
        <v/>
      </c>
      <c r="C800" s="85" t="str">
        <f t="array" ref="C800">IFerror(INDEX(Papers!D$2:D$995,MATCH($A800, Papers!$A$2:$A$995,0)),"")</f>
        <v/>
      </c>
      <c r="D800" s="86" t="str">
        <f t="array" ref="D800">IFerror(INDEX(Papers!F$2:F$995,MATCH($A800, Papers!$A$2:$A$995,0)),"")</f>
        <v/>
      </c>
      <c r="E800" s="59" t="str">
        <f t="array" ref="E800">IFerror(INDEX(Papers!G$2:G$995,MATCH($A800, Papers!$A$2:$A$995,0)),"")</f>
        <v/>
      </c>
    </row>
    <row r="801">
      <c r="B801" s="85" t="str">
        <f t="array" ref="B801">IFerror(INDEX(Papers!C$2:C$995,MATCH($A801, Papers!$A$2:$A$995,0)),"")</f>
        <v/>
      </c>
      <c r="C801" s="85" t="str">
        <f t="array" ref="C801">IFerror(INDEX(Papers!D$2:D$995,MATCH($A801, Papers!$A$2:$A$995,0)),"")</f>
        <v/>
      </c>
      <c r="D801" s="86" t="str">
        <f t="array" ref="D801">IFerror(INDEX(Papers!F$2:F$995,MATCH($A801, Papers!$A$2:$A$995,0)),"")</f>
        <v/>
      </c>
      <c r="E801" s="59" t="str">
        <f t="array" ref="E801">IFerror(INDEX(Papers!G$2:G$995,MATCH($A801, Papers!$A$2:$A$995,0)),"")</f>
        <v/>
      </c>
    </row>
    <row r="802">
      <c r="B802" s="85" t="str">
        <f t="array" ref="B802">IFerror(INDEX(Papers!C$2:C$995,MATCH($A802, Papers!$A$2:$A$995,0)),"")</f>
        <v/>
      </c>
      <c r="C802" s="85" t="str">
        <f t="array" ref="C802">IFerror(INDEX(Papers!D$2:D$995,MATCH($A802, Papers!$A$2:$A$995,0)),"")</f>
        <v/>
      </c>
      <c r="D802" s="86" t="str">
        <f t="array" ref="D802">IFerror(INDEX(Papers!F$2:F$995,MATCH($A802, Papers!$A$2:$A$995,0)),"")</f>
        <v/>
      </c>
      <c r="E802" s="59" t="str">
        <f t="array" ref="E802">IFerror(INDEX(Papers!G$2:G$995,MATCH($A802, Papers!$A$2:$A$995,0)),"")</f>
        <v/>
      </c>
    </row>
    <row r="803">
      <c r="B803" s="85" t="str">
        <f t="array" ref="B803">IFerror(INDEX(Papers!C$2:C$995,MATCH($A803, Papers!$A$2:$A$995,0)),"")</f>
        <v/>
      </c>
      <c r="C803" s="85" t="str">
        <f t="array" ref="C803">IFerror(INDEX(Papers!D$2:D$995,MATCH($A803, Papers!$A$2:$A$995,0)),"")</f>
        <v/>
      </c>
      <c r="D803" s="86" t="str">
        <f t="array" ref="D803">IFerror(INDEX(Papers!F$2:F$995,MATCH($A803, Papers!$A$2:$A$995,0)),"")</f>
        <v/>
      </c>
      <c r="E803" s="59" t="str">
        <f t="array" ref="E803">IFerror(INDEX(Papers!G$2:G$995,MATCH($A803, Papers!$A$2:$A$995,0)),"")</f>
        <v/>
      </c>
    </row>
    <row r="804">
      <c r="B804" s="85" t="str">
        <f t="array" ref="B804">IFerror(INDEX(Papers!C$2:C$995,MATCH($A804, Papers!$A$2:$A$995,0)),"")</f>
        <v/>
      </c>
      <c r="C804" s="85" t="str">
        <f t="array" ref="C804">IFerror(INDEX(Papers!D$2:D$995,MATCH($A804, Papers!$A$2:$A$995,0)),"")</f>
        <v/>
      </c>
      <c r="D804" s="86" t="str">
        <f t="array" ref="D804">IFerror(INDEX(Papers!F$2:F$995,MATCH($A804, Papers!$A$2:$A$995,0)),"")</f>
        <v/>
      </c>
      <c r="E804" s="59" t="str">
        <f t="array" ref="E804">IFerror(INDEX(Papers!G$2:G$995,MATCH($A804, Papers!$A$2:$A$995,0)),"")</f>
        <v/>
      </c>
    </row>
    <row r="805">
      <c r="B805" s="85" t="str">
        <f t="array" ref="B805">IFerror(INDEX(Papers!C$2:C$995,MATCH($A805, Papers!$A$2:$A$995,0)),"")</f>
        <v/>
      </c>
      <c r="C805" s="85" t="str">
        <f t="array" ref="C805">IFerror(INDEX(Papers!D$2:D$995,MATCH($A805, Papers!$A$2:$A$995,0)),"")</f>
        <v/>
      </c>
      <c r="D805" s="86" t="str">
        <f t="array" ref="D805">IFerror(INDEX(Papers!F$2:F$995,MATCH($A805, Papers!$A$2:$A$995,0)),"")</f>
        <v/>
      </c>
      <c r="E805" s="59" t="str">
        <f t="array" ref="E805">IFerror(INDEX(Papers!G$2:G$995,MATCH($A805, Papers!$A$2:$A$995,0)),"")</f>
        <v/>
      </c>
    </row>
    <row r="806">
      <c r="B806" s="85" t="str">
        <f t="array" ref="B806">IFerror(INDEX(Papers!C$2:C$995,MATCH($A806, Papers!$A$2:$A$995,0)),"")</f>
        <v/>
      </c>
      <c r="C806" s="85" t="str">
        <f t="array" ref="C806">IFerror(INDEX(Papers!D$2:D$995,MATCH($A806, Papers!$A$2:$A$995,0)),"")</f>
        <v/>
      </c>
      <c r="D806" s="86" t="str">
        <f t="array" ref="D806">IFerror(INDEX(Papers!F$2:F$995,MATCH($A806, Papers!$A$2:$A$995,0)),"")</f>
        <v/>
      </c>
      <c r="E806" s="59" t="str">
        <f t="array" ref="E806">IFerror(INDEX(Papers!G$2:G$995,MATCH($A806, Papers!$A$2:$A$995,0)),"")</f>
        <v/>
      </c>
    </row>
    <row r="807">
      <c r="B807" s="85" t="str">
        <f t="array" ref="B807">IFerror(INDEX(Papers!C$2:C$995,MATCH($A807, Papers!$A$2:$A$995,0)),"")</f>
        <v/>
      </c>
      <c r="C807" s="85" t="str">
        <f t="array" ref="C807">IFerror(INDEX(Papers!D$2:D$995,MATCH($A807, Papers!$A$2:$A$995,0)),"")</f>
        <v/>
      </c>
      <c r="D807" s="86" t="str">
        <f t="array" ref="D807">IFerror(INDEX(Papers!F$2:F$995,MATCH($A807, Papers!$A$2:$A$995,0)),"")</f>
        <v/>
      </c>
      <c r="E807" s="59" t="str">
        <f t="array" ref="E807">IFerror(INDEX(Papers!G$2:G$995,MATCH($A807, Papers!$A$2:$A$995,0)),"")</f>
        <v/>
      </c>
    </row>
    <row r="808">
      <c r="B808" s="85" t="str">
        <f t="array" ref="B808">IFerror(INDEX(Papers!C$2:C$995,MATCH($A808, Papers!$A$2:$A$995,0)),"")</f>
        <v/>
      </c>
      <c r="C808" s="85" t="str">
        <f t="array" ref="C808">IFerror(INDEX(Papers!D$2:D$995,MATCH($A808, Papers!$A$2:$A$995,0)),"")</f>
        <v/>
      </c>
      <c r="D808" s="86" t="str">
        <f t="array" ref="D808">IFerror(INDEX(Papers!F$2:F$995,MATCH($A808, Papers!$A$2:$A$995,0)),"")</f>
        <v/>
      </c>
      <c r="E808" s="59" t="str">
        <f t="array" ref="E808">IFerror(INDEX(Papers!G$2:G$995,MATCH($A808, Papers!$A$2:$A$995,0)),"")</f>
        <v/>
      </c>
    </row>
    <row r="809">
      <c r="B809" s="85" t="str">
        <f t="array" ref="B809">IFerror(INDEX(Papers!C$2:C$995,MATCH($A809, Papers!$A$2:$A$995,0)),"")</f>
        <v/>
      </c>
      <c r="C809" s="85" t="str">
        <f t="array" ref="C809">IFerror(INDEX(Papers!D$2:D$995,MATCH($A809, Papers!$A$2:$A$995,0)),"")</f>
        <v/>
      </c>
      <c r="D809" s="86" t="str">
        <f t="array" ref="D809">IFerror(INDEX(Papers!F$2:F$995,MATCH($A809, Papers!$A$2:$A$995,0)),"")</f>
        <v/>
      </c>
      <c r="E809" s="59" t="str">
        <f t="array" ref="E809">IFerror(INDEX(Papers!G$2:G$995,MATCH($A809, Papers!$A$2:$A$995,0)),"")</f>
        <v/>
      </c>
    </row>
    <row r="810">
      <c r="B810" s="85" t="str">
        <f t="array" ref="B810">IFerror(INDEX(Papers!C$2:C$995,MATCH($A810, Papers!$A$2:$A$995,0)),"")</f>
        <v/>
      </c>
      <c r="C810" s="85" t="str">
        <f t="array" ref="C810">IFerror(INDEX(Papers!D$2:D$995,MATCH($A810, Papers!$A$2:$A$995,0)),"")</f>
        <v/>
      </c>
      <c r="D810" s="86" t="str">
        <f t="array" ref="D810">IFerror(INDEX(Papers!F$2:F$995,MATCH($A810, Papers!$A$2:$A$995,0)),"")</f>
        <v/>
      </c>
      <c r="E810" s="59" t="str">
        <f t="array" ref="E810">IFerror(INDEX(Papers!G$2:G$995,MATCH($A810, Papers!$A$2:$A$995,0)),"")</f>
        <v/>
      </c>
    </row>
    <row r="811">
      <c r="B811" s="85" t="str">
        <f t="array" ref="B811">IFerror(INDEX(Papers!C$2:C$995,MATCH($A811, Papers!$A$2:$A$995,0)),"")</f>
        <v/>
      </c>
      <c r="C811" s="85" t="str">
        <f t="array" ref="C811">IFerror(INDEX(Papers!D$2:D$995,MATCH($A811, Papers!$A$2:$A$995,0)),"")</f>
        <v/>
      </c>
      <c r="D811" s="86" t="str">
        <f t="array" ref="D811">IFerror(INDEX(Papers!F$2:F$995,MATCH($A811, Papers!$A$2:$A$995,0)),"")</f>
        <v/>
      </c>
      <c r="E811" s="59" t="str">
        <f t="array" ref="E811">IFerror(INDEX(Papers!G$2:G$995,MATCH($A811, Papers!$A$2:$A$995,0)),"")</f>
        <v/>
      </c>
    </row>
    <row r="812">
      <c r="B812" s="85" t="str">
        <f t="array" ref="B812">IFerror(INDEX(Papers!C$2:C$995,MATCH($A812, Papers!$A$2:$A$995,0)),"")</f>
        <v/>
      </c>
      <c r="C812" s="85" t="str">
        <f t="array" ref="C812">IFerror(INDEX(Papers!D$2:D$995,MATCH($A812, Papers!$A$2:$A$995,0)),"")</f>
        <v/>
      </c>
      <c r="D812" s="86" t="str">
        <f t="array" ref="D812">IFerror(INDEX(Papers!F$2:F$995,MATCH($A812, Papers!$A$2:$A$995,0)),"")</f>
        <v/>
      </c>
      <c r="E812" s="59" t="str">
        <f t="array" ref="E812">IFerror(INDEX(Papers!G$2:G$995,MATCH($A812, Papers!$A$2:$A$995,0)),"")</f>
        <v/>
      </c>
    </row>
    <row r="813">
      <c r="B813" s="85" t="str">
        <f t="array" ref="B813">IFerror(INDEX(Papers!C$2:C$995,MATCH($A813, Papers!$A$2:$A$995,0)),"")</f>
        <v/>
      </c>
      <c r="C813" s="85" t="str">
        <f t="array" ref="C813">IFerror(INDEX(Papers!D$2:D$995,MATCH($A813, Papers!$A$2:$A$995,0)),"")</f>
        <v/>
      </c>
      <c r="D813" s="86" t="str">
        <f t="array" ref="D813">IFerror(INDEX(Papers!F$2:F$995,MATCH($A813, Papers!$A$2:$A$995,0)),"")</f>
        <v/>
      </c>
      <c r="E813" s="59" t="str">
        <f t="array" ref="E813">IFerror(INDEX(Papers!G$2:G$995,MATCH($A813, Papers!$A$2:$A$995,0)),"")</f>
        <v/>
      </c>
    </row>
    <row r="814">
      <c r="B814" s="85" t="str">
        <f t="array" ref="B814">IFerror(INDEX(Papers!C$2:C$995,MATCH($A814, Papers!$A$2:$A$995,0)),"")</f>
        <v/>
      </c>
      <c r="C814" s="85" t="str">
        <f t="array" ref="C814">IFerror(INDEX(Papers!D$2:D$995,MATCH($A814, Papers!$A$2:$A$995,0)),"")</f>
        <v/>
      </c>
      <c r="D814" s="86" t="str">
        <f t="array" ref="D814">IFerror(INDEX(Papers!F$2:F$995,MATCH($A814, Papers!$A$2:$A$995,0)),"")</f>
        <v/>
      </c>
      <c r="E814" s="59" t="str">
        <f t="array" ref="E814">IFerror(INDEX(Papers!G$2:G$995,MATCH($A814, Papers!$A$2:$A$995,0)),"")</f>
        <v/>
      </c>
    </row>
    <row r="815">
      <c r="B815" s="85" t="str">
        <f t="array" ref="B815">IFerror(INDEX(Papers!C$2:C$995,MATCH($A815, Papers!$A$2:$A$995,0)),"")</f>
        <v/>
      </c>
      <c r="C815" s="85" t="str">
        <f t="array" ref="C815">IFerror(INDEX(Papers!D$2:D$995,MATCH($A815, Papers!$A$2:$A$995,0)),"")</f>
        <v/>
      </c>
      <c r="D815" s="86" t="str">
        <f t="array" ref="D815">IFerror(INDEX(Papers!F$2:F$995,MATCH($A815, Papers!$A$2:$A$995,0)),"")</f>
        <v/>
      </c>
      <c r="E815" s="59" t="str">
        <f t="array" ref="E815">IFerror(INDEX(Papers!G$2:G$995,MATCH($A815, Papers!$A$2:$A$995,0)),"")</f>
        <v/>
      </c>
    </row>
    <row r="816">
      <c r="B816" s="85" t="str">
        <f t="array" ref="B816">IFerror(INDEX(Papers!C$2:C$995,MATCH($A816, Papers!$A$2:$A$995,0)),"")</f>
        <v/>
      </c>
      <c r="C816" s="85" t="str">
        <f t="array" ref="C816">IFerror(INDEX(Papers!D$2:D$995,MATCH($A816, Papers!$A$2:$A$995,0)),"")</f>
        <v/>
      </c>
      <c r="D816" s="86" t="str">
        <f t="array" ref="D816">IFerror(INDEX(Papers!F$2:F$995,MATCH($A816, Papers!$A$2:$A$995,0)),"")</f>
        <v/>
      </c>
      <c r="E816" s="59" t="str">
        <f t="array" ref="E816">IFerror(INDEX(Papers!G$2:G$995,MATCH($A816, Papers!$A$2:$A$995,0)),"")</f>
        <v/>
      </c>
    </row>
    <row r="817">
      <c r="B817" s="85" t="str">
        <f t="array" ref="B817">IFerror(INDEX(Papers!C$2:C$995,MATCH($A817, Papers!$A$2:$A$995,0)),"")</f>
        <v/>
      </c>
      <c r="C817" s="85" t="str">
        <f t="array" ref="C817">IFerror(INDEX(Papers!D$2:D$995,MATCH($A817, Papers!$A$2:$A$995,0)),"")</f>
        <v/>
      </c>
      <c r="D817" s="86" t="str">
        <f t="array" ref="D817">IFerror(INDEX(Papers!F$2:F$995,MATCH($A817, Papers!$A$2:$A$995,0)),"")</f>
        <v/>
      </c>
      <c r="E817" s="59" t="str">
        <f t="array" ref="E817">IFerror(INDEX(Papers!G$2:G$995,MATCH($A817, Papers!$A$2:$A$995,0)),"")</f>
        <v/>
      </c>
    </row>
    <row r="818">
      <c r="B818" s="85" t="str">
        <f t="array" ref="B818">IFerror(INDEX(Papers!C$2:C$995,MATCH($A818, Papers!$A$2:$A$995,0)),"")</f>
        <v/>
      </c>
      <c r="C818" s="85" t="str">
        <f t="array" ref="C818">IFerror(INDEX(Papers!D$2:D$995,MATCH($A818, Papers!$A$2:$A$995,0)),"")</f>
        <v/>
      </c>
      <c r="D818" s="86" t="str">
        <f t="array" ref="D818">IFerror(INDEX(Papers!F$2:F$995,MATCH($A818, Papers!$A$2:$A$995,0)),"")</f>
        <v/>
      </c>
      <c r="E818" s="59" t="str">
        <f t="array" ref="E818">IFerror(INDEX(Papers!G$2:G$995,MATCH($A818, Papers!$A$2:$A$995,0)),"")</f>
        <v/>
      </c>
    </row>
    <row r="819">
      <c r="B819" s="85" t="str">
        <f t="array" ref="B819">IFerror(INDEX(Papers!C$2:C$995,MATCH($A819, Papers!$A$2:$A$995,0)),"")</f>
        <v/>
      </c>
      <c r="C819" s="85" t="str">
        <f t="array" ref="C819">IFerror(INDEX(Papers!D$2:D$995,MATCH($A819, Papers!$A$2:$A$995,0)),"")</f>
        <v/>
      </c>
      <c r="D819" s="86" t="str">
        <f t="array" ref="D819">IFerror(INDEX(Papers!F$2:F$995,MATCH($A819, Papers!$A$2:$A$995,0)),"")</f>
        <v/>
      </c>
      <c r="E819" s="59" t="str">
        <f t="array" ref="E819">IFerror(INDEX(Papers!G$2:G$995,MATCH($A819, Papers!$A$2:$A$995,0)),"")</f>
        <v/>
      </c>
    </row>
    <row r="820">
      <c r="B820" s="85" t="str">
        <f t="array" ref="B820">IFerror(INDEX(Papers!C$2:C$995,MATCH($A820, Papers!$A$2:$A$995,0)),"")</f>
        <v/>
      </c>
      <c r="C820" s="85" t="str">
        <f t="array" ref="C820">IFerror(INDEX(Papers!D$2:D$995,MATCH($A820, Papers!$A$2:$A$995,0)),"")</f>
        <v/>
      </c>
      <c r="D820" s="86" t="str">
        <f t="array" ref="D820">IFerror(INDEX(Papers!F$2:F$995,MATCH($A820, Papers!$A$2:$A$995,0)),"")</f>
        <v/>
      </c>
      <c r="E820" s="59" t="str">
        <f t="array" ref="E820">IFerror(INDEX(Papers!G$2:G$995,MATCH($A820, Papers!$A$2:$A$995,0)),"")</f>
        <v/>
      </c>
    </row>
    <row r="821">
      <c r="B821" s="85" t="str">
        <f t="array" ref="B821">IFerror(INDEX(Papers!C$2:C$995,MATCH($A821, Papers!$A$2:$A$995,0)),"")</f>
        <v/>
      </c>
      <c r="C821" s="85" t="str">
        <f t="array" ref="C821">IFerror(INDEX(Papers!D$2:D$995,MATCH($A821, Papers!$A$2:$A$995,0)),"")</f>
        <v/>
      </c>
      <c r="D821" s="86" t="str">
        <f t="array" ref="D821">IFerror(INDEX(Papers!F$2:F$995,MATCH($A821, Papers!$A$2:$A$995,0)),"")</f>
        <v/>
      </c>
      <c r="E821" s="59" t="str">
        <f t="array" ref="E821">IFerror(INDEX(Papers!G$2:G$995,MATCH($A821, Papers!$A$2:$A$995,0)),"")</f>
        <v/>
      </c>
    </row>
    <row r="822">
      <c r="B822" s="85" t="str">
        <f t="array" ref="B822">IFerror(INDEX(Papers!C$2:C$995,MATCH($A822, Papers!$A$2:$A$995,0)),"")</f>
        <v/>
      </c>
      <c r="C822" s="85" t="str">
        <f t="array" ref="C822">IFerror(INDEX(Papers!D$2:D$995,MATCH($A822, Papers!$A$2:$A$995,0)),"")</f>
        <v/>
      </c>
      <c r="D822" s="86" t="str">
        <f t="array" ref="D822">IFerror(INDEX(Papers!F$2:F$995,MATCH($A822, Papers!$A$2:$A$995,0)),"")</f>
        <v/>
      </c>
      <c r="E822" s="59" t="str">
        <f t="array" ref="E822">IFerror(INDEX(Papers!G$2:G$995,MATCH($A822, Papers!$A$2:$A$995,0)),"")</f>
        <v/>
      </c>
    </row>
    <row r="823">
      <c r="B823" s="85" t="str">
        <f t="array" ref="B823">IFerror(INDEX(Papers!C$2:C$995,MATCH($A823, Papers!$A$2:$A$995,0)),"")</f>
        <v/>
      </c>
      <c r="C823" s="85" t="str">
        <f t="array" ref="C823">IFerror(INDEX(Papers!D$2:D$995,MATCH($A823, Papers!$A$2:$A$995,0)),"")</f>
        <v/>
      </c>
      <c r="D823" s="86" t="str">
        <f t="array" ref="D823">IFerror(INDEX(Papers!F$2:F$995,MATCH($A823, Papers!$A$2:$A$995,0)),"")</f>
        <v/>
      </c>
      <c r="E823" s="59" t="str">
        <f t="array" ref="E823">IFerror(INDEX(Papers!G$2:G$995,MATCH($A823, Papers!$A$2:$A$995,0)),"")</f>
        <v/>
      </c>
    </row>
    <row r="824">
      <c r="B824" s="85" t="str">
        <f t="array" ref="B824">IFerror(INDEX(Papers!C$2:C$995,MATCH($A824, Papers!$A$2:$A$995,0)),"")</f>
        <v/>
      </c>
      <c r="C824" s="85" t="str">
        <f t="array" ref="C824">IFerror(INDEX(Papers!D$2:D$995,MATCH($A824, Papers!$A$2:$A$995,0)),"")</f>
        <v/>
      </c>
      <c r="D824" s="86" t="str">
        <f t="array" ref="D824">IFerror(INDEX(Papers!F$2:F$995,MATCH($A824, Papers!$A$2:$A$995,0)),"")</f>
        <v/>
      </c>
      <c r="E824" s="59" t="str">
        <f t="array" ref="E824">IFerror(INDEX(Papers!G$2:G$995,MATCH($A824, Papers!$A$2:$A$995,0)),"")</f>
        <v/>
      </c>
    </row>
    <row r="825">
      <c r="B825" s="85" t="str">
        <f t="array" ref="B825">IFerror(INDEX(Papers!C$2:C$995,MATCH($A825, Papers!$A$2:$A$995,0)),"")</f>
        <v/>
      </c>
      <c r="C825" s="85" t="str">
        <f t="array" ref="C825">IFerror(INDEX(Papers!D$2:D$995,MATCH($A825, Papers!$A$2:$A$995,0)),"")</f>
        <v/>
      </c>
      <c r="D825" s="86" t="str">
        <f t="array" ref="D825">IFerror(INDEX(Papers!F$2:F$995,MATCH($A825, Papers!$A$2:$A$995,0)),"")</f>
        <v/>
      </c>
      <c r="E825" s="59" t="str">
        <f t="array" ref="E825">IFerror(INDEX(Papers!G$2:G$995,MATCH($A825, Papers!$A$2:$A$995,0)),"")</f>
        <v/>
      </c>
    </row>
    <row r="826">
      <c r="B826" s="85" t="str">
        <f t="array" ref="B826">IFerror(INDEX(Papers!C$2:C$995,MATCH($A826, Papers!$A$2:$A$995,0)),"")</f>
        <v/>
      </c>
      <c r="C826" s="85" t="str">
        <f t="array" ref="C826">IFerror(INDEX(Papers!D$2:D$995,MATCH($A826, Papers!$A$2:$A$995,0)),"")</f>
        <v/>
      </c>
      <c r="D826" s="86" t="str">
        <f t="array" ref="D826">IFerror(INDEX(Papers!F$2:F$995,MATCH($A826, Papers!$A$2:$A$995,0)),"")</f>
        <v/>
      </c>
      <c r="E826" s="59" t="str">
        <f t="array" ref="E826">IFerror(INDEX(Papers!G$2:G$995,MATCH($A826, Papers!$A$2:$A$995,0)),"")</f>
        <v/>
      </c>
    </row>
    <row r="827">
      <c r="B827" s="85" t="str">
        <f t="array" ref="B827">IFerror(INDEX(Papers!C$2:C$995,MATCH($A827, Papers!$A$2:$A$995,0)),"")</f>
        <v/>
      </c>
      <c r="C827" s="85" t="str">
        <f t="array" ref="C827">IFerror(INDEX(Papers!D$2:D$995,MATCH($A827, Papers!$A$2:$A$995,0)),"")</f>
        <v/>
      </c>
      <c r="D827" s="86" t="str">
        <f t="array" ref="D827">IFerror(INDEX(Papers!F$2:F$995,MATCH($A827, Papers!$A$2:$A$995,0)),"")</f>
        <v/>
      </c>
      <c r="E827" s="59" t="str">
        <f t="array" ref="E827">IFerror(INDEX(Papers!G$2:G$995,MATCH($A827, Papers!$A$2:$A$995,0)),"")</f>
        <v/>
      </c>
    </row>
    <row r="828">
      <c r="B828" s="85" t="str">
        <f t="array" ref="B828">IFerror(INDEX(Papers!C$2:C$995,MATCH($A828, Papers!$A$2:$A$995,0)),"")</f>
        <v/>
      </c>
      <c r="C828" s="85" t="str">
        <f t="array" ref="C828">IFerror(INDEX(Papers!D$2:D$995,MATCH($A828, Papers!$A$2:$A$995,0)),"")</f>
        <v/>
      </c>
      <c r="D828" s="86" t="str">
        <f t="array" ref="D828">IFerror(INDEX(Papers!F$2:F$995,MATCH($A828, Papers!$A$2:$A$995,0)),"")</f>
        <v/>
      </c>
      <c r="E828" s="59" t="str">
        <f t="array" ref="E828">IFerror(INDEX(Papers!G$2:G$995,MATCH($A828, Papers!$A$2:$A$995,0)),"")</f>
        <v/>
      </c>
    </row>
    <row r="829">
      <c r="B829" s="85" t="str">
        <f t="array" ref="B829">IFerror(INDEX(Papers!C$2:C$995,MATCH($A829, Papers!$A$2:$A$995,0)),"")</f>
        <v/>
      </c>
      <c r="C829" s="85" t="str">
        <f t="array" ref="C829">IFerror(INDEX(Papers!D$2:D$995,MATCH($A829, Papers!$A$2:$A$995,0)),"")</f>
        <v/>
      </c>
      <c r="D829" s="86" t="str">
        <f t="array" ref="D829">IFerror(INDEX(Papers!F$2:F$995,MATCH($A829, Papers!$A$2:$A$995,0)),"")</f>
        <v/>
      </c>
      <c r="E829" s="59" t="str">
        <f t="array" ref="E829">IFerror(INDEX(Papers!G$2:G$995,MATCH($A829, Papers!$A$2:$A$995,0)),"")</f>
        <v/>
      </c>
    </row>
    <row r="830">
      <c r="B830" s="85" t="str">
        <f t="array" ref="B830">IFerror(INDEX(Papers!C$2:C$995,MATCH($A830, Papers!$A$2:$A$995,0)),"")</f>
        <v/>
      </c>
      <c r="C830" s="85" t="str">
        <f t="array" ref="C830">IFerror(INDEX(Papers!D$2:D$995,MATCH($A830, Papers!$A$2:$A$995,0)),"")</f>
        <v/>
      </c>
      <c r="D830" s="86" t="str">
        <f t="array" ref="D830">IFerror(INDEX(Papers!F$2:F$995,MATCH($A830, Papers!$A$2:$A$995,0)),"")</f>
        <v/>
      </c>
      <c r="E830" s="59" t="str">
        <f t="array" ref="E830">IFerror(INDEX(Papers!G$2:G$995,MATCH($A830, Papers!$A$2:$A$995,0)),"")</f>
        <v/>
      </c>
    </row>
    <row r="831">
      <c r="B831" s="85" t="str">
        <f t="array" ref="B831">IFerror(INDEX(Papers!C$2:C$995,MATCH($A831, Papers!$A$2:$A$995,0)),"")</f>
        <v/>
      </c>
      <c r="C831" s="85" t="str">
        <f t="array" ref="C831">IFerror(INDEX(Papers!D$2:D$995,MATCH($A831, Papers!$A$2:$A$995,0)),"")</f>
        <v/>
      </c>
      <c r="D831" s="86" t="str">
        <f t="array" ref="D831">IFerror(INDEX(Papers!F$2:F$995,MATCH($A831, Papers!$A$2:$A$995,0)),"")</f>
        <v/>
      </c>
      <c r="E831" s="59" t="str">
        <f t="array" ref="E831">IFerror(INDEX(Papers!G$2:G$995,MATCH($A831, Papers!$A$2:$A$995,0)),"")</f>
        <v/>
      </c>
    </row>
    <row r="832">
      <c r="B832" s="85" t="str">
        <f t="array" ref="B832">IFerror(INDEX(Papers!C$2:C$995,MATCH($A832, Papers!$A$2:$A$995,0)),"")</f>
        <v/>
      </c>
      <c r="C832" s="85" t="str">
        <f t="array" ref="C832">IFerror(INDEX(Papers!D$2:D$995,MATCH($A832, Papers!$A$2:$A$995,0)),"")</f>
        <v/>
      </c>
      <c r="D832" s="86" t="str">
        <f t="array" ref="D832">IFerror(INDEX(Papers!F$2:F$995,MATCH($A832, Papers!$A$2:$A$995,0)),"")</f>
        <v/>
      </c>
      <c r="E832" s="59" t="str">
        <f t="array" ref="E832">IFerror(INDEX(Papers!G$2:G$995,MATCH($A832, Papers!$A$2:$A$995,0)),"")</f>
        <v/>
      </c>
    </row>
    <row r="833">
      <c r="B833" s="85" t="str">
        <f t="array" ref="B833">IFerror(INDEX(Papers!C$2:C$995,MATCH($A833, Papers!$A$2:$A$995,0)),"")</f>
        <v/>
      </c>
      <c r="C833" s="85" t="str">
        <f t="array" ref="C833">IFerror(INDEX(Papers!D$2:D$995,MATCH($A833, Papers!$A$2:$A$995,0)),"")</f>
        <v/>
      </c>
      <c r="D833" s="86" t="str">
        <f t="array" ref="D833">IFerror(INDEX(Papers!F$2:F$995,MATCH($A833, Papers!$A$2:$A$995,0)),"")</f>
        <v/>
      </c>
      <c r="E833" s="59" t="str">
        <f t="array" ref="E833">IFerror(INDEX(Papers!G$2:G$995,MATCH($A833, Papers!$A$2:$A$995,0)),"")</f>
        <v/>
      </c>
    </row>
    <row r="834">
      <c r="B834" s="85" t="str">
        <f t="array" ref="B834">IFerror(INDEX(Papers!C$2:C$995,MATCH($A834, Papers!$A$2:$A$995,0)),"")</f>
        <v/>
      </c>
      <c r="C834" s="85" t="str">
        <f t="array" ref="C834">IFerror(INDEX(Papers!D$2:D$995,MATCH($A834, Papers!$A$2:$A$995,0)),"")</f>
        <v/>
      </c>
      <c r="D834" s="86" t="str">
        <f t="array" ref="D834">IFerror(INDEX(Papers!F$2:F$995,MATCH($A834, Papers!$A$2:$A$995,0)),"")</f>
        <v/>
      </c>
      <c r="E834" s="59" t="str">
        <f t="array" ref="E834">IFerror(INDEX(Papers!G$2:G$995,MATCH($A834, Papers!$A$2:$A$995,0)),"")</f>
        <v/>
      </c>
    </row>
    <row r="835">
      <c r="B835" s="85" t="str">
        <f t="array" ref="B835">IFerror(INDEX(Papers!C$2:C$995,MATCH($A835, Papers!$A$2:$A$995,0)),"")</f>
        <v/>
      </c>
      <c r="C835" s="85" t="str">
        <f t="array" ref="C835">IFerror(INDEX(Papers!D$2:D$995,MATCH($A835, Papers!$A$2:$A$995,0)),"")</f>
        <v/>
      </c>
      <c r="D835" s="86" t="str">
        <f t="array" ref="D835">IFerror(INDEX(Papers!F$2:F$995,MATCH($A835, Papers!$A$2:$A$995,0)),"")</f>
        <v/>
      </c>
      <c r="E835" s="59" t="str">
        <f t="array" ref="E835">IFerror(INDEX(Papers!G$2:G$995,MATCH($A835, Papers!$A$2:$A$995,0)),"")</f>
        <v/>
      </c>
    </row>
    <row r="836">
      <c r="B836" s="85" t="str">
        <f t="array" ref="B836">IFerror(INDEX(Papers!C$2:C$995,MATCH($A836, Papers!$A$2:$A$995,0)),"")</f>
        <v/>
      </c>
      <c r="C836" s="85" t="str">
        <f t="array" ref="C836">IFerror(INDEX(Papers!D$2:D$995,MATCH($A836, Papers!$A$2:$A$995,0)),"")</f>
        <v/>
      </c>
      <c r="D836" s="86" t="str">
        <f t="array" ref="D836">IFerror(INDEX(Papers!F$2:F$995,MATCH($A836, Papers!$A$2:$A$995,0)),"")</f>
        <v/>
      </c>
      <c r="E836" s="59" t="str">
        <f t="array" ref="E836">IFerror(INDEX(Papers!G$2:G$995,MATCH($A836, Papers!$A$2:$A$995,0)),"")</f>
        <v/>
      </c>
    </row>
    <row r="837">
      <c r="B837" s="85" t="str">
        <f t="array" ref="B837">IFerror(INDEX(Papers!C$2:C$995,MATCH($A837, Papers!$A$2:$A$995,0)),"")</f>
        <v/>
      </c>
      <c r="C837" s="85" t="str">
        <f t="array" ref="C837">IFerror(INDEX(Papers!D$2:D$995,MATCH($A837, Papers!$A$2:$A$995,0)),"")</f>
        <v/>
      </c>
      <c r="D837" s="86" t="str">
        <f t="array" ref="D837">IFerror(INDEX(Papers!F$2:F$995,MATCH($A837, Papers!$A$2:$A$995,0)),"")</f>
        <v/>
      </c>
      <c r="E837" s="59" t="str">
        <f t="array" ref="E837">IFerror(INDEX(Papers!G$2:G$995,MATCH($A837, Papers!$A$2:$A$995,0)),"")</f>
        <v/>
      </c>
    </row>
    <row r="838">
      <c r="B838" s="85" t="str">
        <f t="array" ref="B838">IFerror(INDEX(Papers!C$2:C$995,MATCH($A838, Papers!$A$2:$A$995,0)),"")</f>
        <v/>
      </c>
      <c r="C838" s="85" t="str">
        <f t="array" ref="C838">IFerror(INDEX(Papers!D$2:D$995,MATCH($A838, Papers!$A$2:$A$995,0)),"")</f>
        <v/>
      </c>
      <c r="D838" s="86" t="str">
        <f t="array" ref="D838">IFerror(INDEX(Papers!F$2:F$995,MATCH($A838, Papers!$A$2:$A$995,0)),"")</f>
        <v/>
      </c>
      <c r="E838" s="59" t="str">
        <f t="array" ref="E838">IFerror(INDEX(Papers!G$2:G$995,MATCH($A838, Papers!$A$2:$A$995,0)),"")</f>
        <v/>
      </c>
    </row>
    <row r="839">
      <c r="B839" s="85" t="str">
        <f t="array" ref="B839">IFerror(INDEX(Papers!C$2:C$995,MATCH($A839, Papers!$A$2:$A$995,0)),"")</f>
        <v/>
      </c>
      <c r="C839" s="85" t="str">
        <f t="array" ref="C839">IFerror(INDEX(Papers!D$2:D$995,MATCH($A839, Papers!$A$2:$A$995,0)),"")</f>
        <v/>
      </c>
      <c r="D839" s="86" t="str">
        <f t="array" ref="D839">IFerror(INDEX(Papers!F$2:F$995,MATCH($A839, Papers!$A$2:$A$995,0)),"")</f>
        <v/>
      </c>
      <c r="E839" s="59" t="str">
        <f t="array" ref="E839">IFerror(INDEX(Papers!G$2:G$995,MATCH($A839, Papers!$A$2:$A$995,0)),"")</f>
        <v/>
      </c>
    </row>
    <row r="840">
      <c r="B840" s="85" t="str">
        <f t="array" ref="B840">IFerror(INDEX(Papers!C$2:C$995,MATCH($A840, Papers!$A$2:$A$995,0)),"")</f>
        <v/>
      </c>
      <c r="C840" s="85" t="str">
        <f t="array" ref="C840">IFerror(INDEX(Papers!D$2:D$995,MATCH($A840, Papers!$A$2:$A$995,0)),"")</f>
        <v/>
      </c>
      <c r="D840" s="86" t="str">
        <f t="array" ref="D840">IFerror(INDEX(Papers!F$2:F$995,MATCH($A840, Papers!$A$2:$A$995,0)),"")</f>
        <v/>
      </c>
      <c r="E840" s="59" t="str">
        <f t="array" ref="E840">IFerror(INDEX(Papers!G$2:G$995,MATCH($A840, Papers!$A$2:$A$995,0)),"")</f>
        <v/>
      </c>
    </row>
    <row r="841">
      <c r="B841" s="85" t="str">
        <f t="array" ref="B841">IFerror(INDEX(Papers!C$2:C$995,MATCH($A841, Papers!$A$2:$A$995,0)),"")</f>
        <v/>
      </c>
      <c r="C841" s="85" t="str">
        <f t="array" ref="C841">IFerror(INDEX(Papers!D$2:D$995,MATCH($A841, Papers!$A$2:$A$995,0)),"")</f>
        <v/>
      </c>
      <c r="D841" s="86" t="str">
        <f t="array" ref="D841">IFerror(INDEX(Papers!F$2:F$995,MATCH($A841, Papers!$A$2:$A$995,0)),"")</f>
        <v/>
      </c>
      <c r="E841" s="59" t="str">
        <f t="array" ref="E841">IFerror(INDEX(Papers!G$2:G$995,MATCH($A841, Papers!$A$2:$A$995,0)),"")</f>
        <v/>
      </c>
    </row>
    <row r="842">
      <c r="B842" s="85" t="str">
        <f t="array" ref="B842">IFerror(INDEX(Papers!C$2:C$995,MATCH($A842, Papers!$A$2:$A$995,0)),"")</f>
        <v/>
      </c>
      <c r="C842" s="85" t="str">
        <f t="array" ref="C842">IFerror(INDEX(Papers!D$2:D$995,MATCH($A842, Papers!$A$2:$A$995,0)),"")</f>
        <v/>
      </c>
      <c r="D842" s="86" t="str">
        <f t="array" ref="D842">IFerror(INDEX(Papers!F$2:F$995,MATCH($A842, Papers!$A$2:$A$995,0)),"")</f>
        <v/>
      </c>
      <c r="E842" s="59" t="str">
        <f t="array" ref="E842">IFerror(INDEX(Papers!G$2:G$995,MATCH($A842, Papers!$A$2:$A$995,0)),"")</f>
        <v/>
      </c>
    </row>
    <row r="843">
      <c r="B843" s="85" t="str">
        <f t="array" ref="B843">IFerror(INDEX(Papers!C$2:C$995,MATCH($A843, Papers!$A$2:$A$995,0)),"")</f>
        <v/>
      </c>
      <c r="C843" s="85" t="str">
        <f t="array" ref="C843">IFerror(INDEX(Papers!D$2:D$995,MATCH($A843, Papers!$A$2:$A$995,0)),"")</f>
        <v/>
      </c>
      <c r="D843" s="86" t="str">
        <f t="array" ref="D843">IFerror(INDEX(Papers!F$2:F$995,MATCH($A843, Papers!$A$2:$A$995,0)),"")</f>
        <v/>
      </c>
      <c r="E843" s="59" t="str">
        <f t="array" ref="E843">IFerror(INDEX(Papers!G$2:G$995,MATCH($A843, Papers!$A$2:$A$995,0)),"")</f>
        <v/>
      </c>
    </row>
    <row r="844">
      <c r="B844" s="85" t="str">
        <f t="array" ref="B844">IFerror(INDEX(Papers!C$2:C$995,MATCH($A844, Papers!$A$2:$A$995,0)),"")</f>
        <v/>
      </c>
      <c r="C844" s="85" t="str">
        <f t="array" ref="C844">IFerror(INDEX(Papers!D$2:D$995,MATCH($A844, Papers!$A$2:$A$995,0)),"")</f>
        <v/>
      </c>
      <c r="D844" s="86" t="str">
        <f t="array" ref="D844">IFerror(INDEX(Papers!F$2:F$995,MATCH($A844, Papers!$A$2:$A$995,0)),"")</f>
        <v/>
      </c>
      <c r="E844" s="59" t="str">
        <f t="array" ref="E844">IFerror(INDEX(Papers!G$2:G$995,MATCH($A844, Papers!$A$2:$A$995,0)),"")</f>
        <v/>
      </c>
    </row>
    <row r="845">
      <c r="B845" s="85" t="str">
        <f t="array" ref="B845">IFerror(INDEX(Papers!C$2:C$995,MATCH($A845, Papers!$A$2:$A$995,0)),"")</f>
        <v/>
      </c>
      <c r="C845" s="85" t="str">
        <f t="array" ref="C845">IFerror(INDEX(Papers!D$2:D$995,MATCH($A845, Papers!$A$2:$A$995,0)),"")</f>
        <v/>
      </c>
      <c r="D845" s="86" t="str">
        <f t="array" ref="D845">IFerror(INDEX(Papers!F$2:F$995,MATCH($A845, Papers!$A$2:$A$995,0)),"")</f>
        <v/>
      </c>
      <c r="E845" s="59" t="str">
        <f t="array" ref="E845">IFerror(INDEX(Papers!G$2:G$995,MATCH($A845, Papers!$A$2:$A$995,0)),"")</f>
        <v/>
      </c>
    </row>
    <row r="846">
      <c r="B846" s="85" t="str">
        <f t="array" ref="B846">IFerror(INDEX(Papers!C$2:C$995,MATCH($A846, Papers!$A$2:$A$995,0)),"")</f>
        <v/>
      </c>
      <c r="C846" s="85" t="str">
        <f t="array" ref="C846">IFerror(INDEX(Papers!D$2:D$995,MATCH($A846, Papers!$A$2:$A$995,0)),"")</f>
        <v/>
      </c>
      <c r="D846" s="86" t="str">
        <f t="array" ref="D846">IFerror(INDEX(Papers!F$2:F$995,MATCH($A846, Papers!$A$2:$A$995,0)),"")</f>
        <v/>
      </c>
      <c r="E846" s="59" t="str">
        <f t="array" ref="E846">IFerror(INDEX(Papers!G$2:G$995,MATCH($A846, Papers!$A$2:$A$995,0)),"")</f>
        <v/>
      </c>
    </row>
    <row r="847">
      <c r="B847" s="85" t="str">
        <f t="array" ref="B847">IFerror(INDEX(Papers!C$2:C$995,MATCH($A847, Papers!$A$2:$A$995,0)),"")</f>
        <v/>
      </c>
      <c r="C847" s="85" t="str">
        <f t="array" ref="C847">IFerror(INDEX(Papers!D$2:D$995,MATCH($A847, Papers!$A$2:$A$995,0)),"")</f>
        <v/>
      </c>
      <c r="D847" s="86" t="str">
        <f t="array" ref="D847">IFerror(INDEX(Papers!F$2:F$995,MATCH($A847, Papers!$A$2:$A$995,0)),"")</f>
        <v/>
      </c>
      <c r="E847" s="59" t="str">
        <f t="array" ref="E847">IFerror(INDEX(Papers!G$2:G$995,MATCH($A847, Papers!$A$2:$A$995,0)),"")</f>
        <v/>
      </c>
    </row>
    <row r="848">
      <c r="B848" s="85" t="str">
        <f t="array" ref="B848">IFerror(INDEX(Papers!C$2:C$995,MATCH($A848, Papers!$A$2:$A$995,0)),"")</f>
        <v/>
      </c>
      <c r="C848" s="85" t="str">
        <f t="array" ref="C848">IFerror(INDEX(Papers!D$2:D$995,MATCH($A848, Papers!$A$2:$A$995,0)),"")</f>
        <v/>
      </c>
      <c r="D848" s="86" t="str">
        <f t="array" ref="D848">IFerror(INDEX(Papers!F$2:F$995,MATCH($A848, Papers!$A$2:$A$995,0)),"")</f>
        <v/>
      </c>
      <c r="E848" s="59" t="str">
        <f t="array" ref="E848">IFerror(INDEX(Papers!G$2:G$995,MATCH($A848, Papers!$A$2:$A$995,0)),"")</f>
        <v/>
      </c>
    </row>
    <row r="849">
      <c r="B849" s="85" t="str">
        <f t="array" ref="B849">IFerror(INDEX(Papers!C$2:C$995,MATCH($A849, Papers!$A$2:$A$995,0)),"")</f>
        <v/>
      </c>
      <c r="C849" s="85" t="str">
        <f t="array" ref="C849">IFerror(INDEX(Papers!D$2:D$995,MATCH($A849, Papers!$A$2:$A$995,0)),"")</f>
        <v/>
      </c>
      <c r="D849" s="86" t="str">
        <f t="array" ref="D849">IFerror(INDEX(Papers!F$2:F$995,MATCH($A849, Papers!$A$2:$A$995,0)),"")</f>
        <v/>
      </c>
      <c r="E849" s="59" t="str">
        <f t="array" ref="E849">IFerror(INDEX(Papers!G$2:G$995,MATCH($A849, Papers!$A$2:$A$995,0)),"")</f>
        <v/>
      </c>
    </row>
    <row r="850">
      <c r="B850" s="85" t="str">
        <f t="array" ref="B850">IFerror(INDEX(Papers!C$2:C$995,MATCH($A850, Papers!$A$2:$A$995,0)),"")</f>
        <v/>
      </c>
      <c r="C850" s="85" t="str">
        <f t="array" ref="C850">IFerror(INDEX(Papers!D$2:D$995,MATCH($A850, Papers!$A$2:$A$995,0)),"")</f>
        <v/>
      </c>
      <c r="D850" s="86" t="str">
        <f t="array" ref="D850">IFerror(INDEX(Papers!F$2:F$995,MATCH($A850, Papers!$A$2:$A$995,0)),"")</f>
        <v/>
      </c>
      <c r="E850" s="59" t="str">
        <f t="array" ref="E850">IFerror(INDEX(Papers!G$2:G$995,MATCH($A850, Papers!$A$2:$A$995,0)),"")</f>
        <v/>
      </c>
    </row>
    <row r="851">
      <c r="B851" s="85" t="str">
        <f t="array" ref="B851">IFerror(INDEX(Papers!C$2:C$995,MATCH($A851, Papers!$A$2:$A$995,0)),"")</f>
        <v/>
      </c>
      <c r="C851" s="85" t="str">
        <f t="array" ref="C851">IFerror(INDEX(Papers!D$2:D$995,MATCH($A851, Papers!$A$2:$A$995,0)),"")</f>
        <v/>
      </c>
      <c r="D851" s="86" t="str">
        <f t="array" ref="D851">IFerror(INDEX(Papers!F$2:F$995,MATCH($A851, Papers!$A$2:$A$995,0)),"")</f>
        <v/>
      </c>
      <c r="E851" s="59" t="str">
        <f t="array" ref="E851">IFerror(INDEX(Papers!G$2:G$995,MATCH($A851, Papers!$A$2:$A$995,0)),"")</f>
        <v/>
      </c>
    </row>
    <row r="852">
      <c r="B852" s="85" t="str">
        <f t="array" ref="B852">IFerror(INDEX(Papers!C$2:C$995,MATCH($A852, Papers!$A$2:$A$995,0)),"")</f>
        <v/>
      </c>
      <c r="C852" s="85" t="str">
        <f t="array" ref="C852">IFerror(INDEX(Papers!D$2:D$995,MATCH($A852, Papers!$A$2:$A$995,0)),"")</f>
        <v/>
      </c>
      <c r="D852" s="86" t="str">
        <f t="array" ref="D852">IFerror(INDEX(Papers!F$2:F$995,MATCH($A852, Papers!$A$2:$A$995,0)),"")</f>
        <v/>
      </c>
      <c r="E852" s="59" t="str">
        <f t="array" ref="E852">IFerror(INDEX(Papers!G$2:G$995,MATCH($A852, Papers!$A$2:$A$995,0)),"")</f>
        <v/>
      </c>
    </row>
    <row r="853">
      <c r="B853" s="85" t="str">
        <f t="array" ref="B853">IFerror(INDEX(Papers!C$2:C$995,MATCH($A853, Papers!$A$2:$A$995,0)),"")</f>
        <v/>
      </c>
      <c r="C853" s="85" t="str">
        <f t="array" ref="C853">IFerror(INDEX(Papers!D$2:D$995,MATCH($A853, Papers!$A$2:$A$995,0)),"")</f>
        <v/>
      </c>
      <c r="D853" s="86" t="str">
        <f t="array" ref="D853">IFerror(INDEX(Papers!F$2:F$995,MATCH($A853, Papers!$A$2:$A$995,0)),"")</f>
        <v/>
      </c>
      <c r="E853" s="59" t="str">
        <f t="array" ref="E853">IFerror(INDEX(Papers!G$2:G$995,MATCH($A853, Papers!$A$2:$A$995,0)),"")</f>
        <v/>
      </c>
    </row>
    <row r="854">
      <c r="B854" s="85" t="str">
        <f t="array" ref="B854">IFerror(INDEX(Papers!C$2:C$995,MATCH($A854, Papers!$A$2:$A$995,0)),"")</f>
        <v/>
      </c>
      <c r="C854" s="85" t="str">
        <f t="array" ref="C854">IFerror(INDEX(Papers!D$2:D$995,MATCH($A854, Papers!$A$2:$A$995,0)),"")</f>
        <v/>
      </c>
      <c r="D854" s="86" t="str">
        <f t="array" ref="D854">IFerror(INDEX(Papers!F$2:F$995,MATCH($A854, Papers!$A$2:$A$995,0)),"")</f>
        <v/>
      </c>
      <c r="E854" s="59" t="str">
        <f t="array" ref="E854">IFerror(INDEX(Papers!G$2:G$995,MATCH($A854, Papers!$A$2:$A$995,0)),"")</f>
        <v/>
      </c>
    </row>
    <row r="855">
      <c r="B855" s="85" t="str">
        <f t="array" ref="B855">IFerror(INDEX(Papers!C$2:C$995,MATCH($A855, Papers!$A$2:$A$995,0)),"")</f>
        <v/>
      </c>
      <c r="C855" s="85" t="str">
        <f t="array" ref="C855">IFerror(INDEX(Papers!D$2:D$995,MATCH($A855, Papers!$A$2:$A$995,0)),"")</f>
        <v/>
      </c>
      <c r="D855" s="86" t="str">
        <f t="array" ref="D855">IFerror(INDEX(Papers!F$2:F$995,MATCH($A855, Papers!$A$2:$A$995,0)),"")</f>
        <v/>
      </c>
      <c r="E855" s="59" t="str">
        <f t="array" ref="E855">IFerror(INDEX(Papers!G$2:G$995,MATCH($A855, Papers!$A$2:$A$995,0)),"")</f>
        <v/>
      </c>
    </row>
    <row r="856">
      <c r="B856" s="85" t="str">
        <f t="array" ref="B856">IFerror(INDEX(Papers!C$2:C$995,MATCH($A856, Papers!$A$2:$A$995,0)),"")</f>
        <v/>
      </c>
      <c r="C856" s="85" t="str">
        <f t="array" ref="C856">IFerror(INDEX(Papers!D$2:D$995,MATCH($A856, Papers!$A$2:$A$995,0)),"")</f>
        <v/>
      </c>
      <c r="D856" s="86" t="str">
        <f t="array" ref="D856">IFerror(INDEX(Papers!F$2:F$995,MATCH($A856, Papers!$A$2:$A$995,0)),"")</f>
        <v/>
      </c>
      <c r="E856" s="59" t="str">
        <f t="array" ref="E856">IFerror(INDEX(Papers!G$2:G$995,MATCH($A856, Papers!$A$2:$A$995,0)),"")</f>
        <v/>
      </c>
    </row>
    <row r="857">
      <c r="B857" s="85" t="str">
        <f t="array" ref="B857">IFerror(INDEX(Papers!C$2:C$995,MATCH($A857, Papers!$A$2:$A$995,0)),"")</f>
        <v/>
      </c>
      <c r="C857" s="85" t="str">
        <f t="array" ref="C857">IFerror(INDEX(Papers!D$2:D$995,MATCH($A857, Papers!$A$2:$A$995,0)),"")</f>
        <v/>
      </c>
      <c r="D857" s="86" t="str">
        <f t="array" ref="D857">IFerror(INDEX(Papers!F$2:F$995,MATCH($A857, Papers!$A$2:$A$995,0)),"")</f>
        <v/>
      </c>
      <c r="E857" s="59" t="str">
        <f t="array" ref="E857">IFerror(INDEX(Papers!G$2:G$995,MATCH($A857, Papers!$A$2:$A$995,0)),"")</f>
        <v/>
      </c>
    </row>
    <row r="858">
      <c r="B858" s="85" t="str">
        <f t="array" ref="B858">IFerror(INDEX(Papers!C$2:C$995,MATCH($A858, Papers!$A$2:$A$995,0)),"")</f>
        <v/>
      </c>
      <c r="C858" s="85" t="str">
        <f t="array" ref="C858">IFerror(INDEX(Papers!D$2:D$995,MATCH($A858, Papers!$A$2:$A$995,0)),"")</f>
        <v/>
      </c>
      <c r="D858" s="86" t="str">
        <f t="array" ref="D858">IFerror(INDEX(Papers!F$2:F$995,MATCH($A858, Papers!$A$2:$A$995,0)),"")</f>
        <v/>
      </c>
      <c r="E858" s="59" t="str">
        <f t="array" ref="E858">IFerror(INDEX(Papers!G$2:G$995,MATCH($A858, Papers!$A$2:$A$995,0)),"")</f>
        <v/>
      </c>
    </row>
    <row r="859">
      <c r="B859" s="85" t="str">
        <f t="array" ref="B859">IFerror(INDEX(Papers!C$2:C$995,MATCH($A859, Papers!$A$2:$A$995,0)),"")</f>
        <v/>
      </c>
      <c r="C859" s="85" t="str">
        <f t="array" ref="C859">IFerror(INDEX(Papers!D$2:D$995,MATCH($A859, Papers!$A$2:$A$995,0)),"")</f>
        <v/>
      </c>
      <c r="D859" s="86" t="str">
        <f t="array" ref="D859">IFerror(INDEX(Papers!F$2:F$995,MATCH($A859, Papers!$A$2:$A$995,0)),"")</f>
        <v/>
      </c>
      <c r="E859" s="59" t="str">
        <f t="array" ref="E859">IFerror(INDEX(Papers!G$2:G$995,MATCH($A859, Papers!$A$2:$A$995,0)),"")</f>
        <v/>
      </c>
    </row>
    <row r="860">
      <c r="B860" s="85" t="str">
        <f t="array" ref="B860">IFerror(INDEX(Papers!C$2:C$995,MATCH($A860, Papers!$A$2:$A$995,0)),"")</f>
        <v/>
      </c>
      <c r="C860" s="85" t="str">
        <f t="array" ref="C860">IFerror(INDEX(Papers!D$2:D$995,MATCH($A860, Papers!$A$2:$A$995,0)),"")</f>
        <v/>
      </c>
      <c r="D860" s="86" t="str">
        <f t="array" ref="D860">IFerror(INDEX(Papers!F$2:F$995,MATCH($A860, Papers!$A$2:$A$995,0)),"")</f>
        <v/>
      </c>
      <c r="E860" s="59" t="str">
        <f t="array" ref="E860">IFerror(INDEX(Papers!G$2:G$995,MATCH($A860, Papers!$A$2:$A$995,0)),"")</f>
        <v/>
      </c>
    </row>
    <row r="861">
      <c r="B861" s="85" t="str">
        <f t="array" ref="B861">IFerror(INDEX(Papers!C$2:C$995,MATCH($A861, Papers!$A$2:$A$995,0)),"")</f>
        <v/>
      </c>
      <c r="C861" s="85" t="str">
        <f t="array" ref="C861">IFerror(INDEX(Papers!D$2:D$995,MATCH($A861, Papers!$A$2:$A$995,0)),"")</f>
        <v/>
      </c>
      <c r="D861" s="86" t="str">
        <f t="array" ref="D861">IFerror(INDEX(Papers!F$2:F$995,MATCH($A861, Papers!$A$2:$A$995,0)),"")</f>
        <v/>
      </c>
      <c r="E861" s="59" t="str">
        <f t="array" ref="E861">IFerror(INDEX(Papers!G$2:G$995,MATCH($A861, Papers!$A$2:$A$995,0)),"")</f>
        <v/>
      </c>
    </row>
    <row r="862">
      <c r="B862" s="85" t="str">
        <f t="array" ref="B862">IFerror(INDEX(Papers!C$2:C$995,MATCH($A862, Papers!$A$2:$A$995,0)),"")</f>
        <v/>
      </c>
      <c r="C862" s="85" t="str">
        <f t="array" ref="C862">IFerror(INDEX(Papers!D$2:D$995,MATCH($A862, Papers!$A$2:$A$995,0)),"")</f>
        <v/>
      </c>
      <c r="D862" s="86" t="str">
        <f t="array" ref="D862">IFerror(INDEX(Papers!F$2:F$995,MATCH($A862, Papers!$A$2:$A$995,0)),"")</f>
        <v/>
      </c>
      <c r="E862" s="59" t="str">
        <f t="array" ref="E862">IFerror(INDEX(Papers!G$2:G$995,MATCH($A862, Papers!$A$2:$A$995,0)),"")</f>
        <v/>
      </c>
    </row>
    <row r="863">
      <c r="B863" s="85" t="str">
        <f t="array" ref="B863">IFerror(INDEX(Papers!C$2:C$995,MATCH($A863, Papers!$A$2:$A$995,0)),"")</f>
        <v/>
      </c>
      <c r="C863" s="85" t="str">
        <f t="array" ref="C863">IFerror(INDEX(Papers!D$2:D$995,MATCH($A863, Papers!$A$2:$A$995,0)),"")</f>
        <v/>
      </c>
      <c r="D863" s="86" t="str">
        <f t="array" ref="D863">IFerror(INDEX(Papers!F$2:F$995,MATCH($A863, Papers!$A$2:$A$995,0)),"")</f>
        <v/>
      </c>
      <c r="E863" s="59" t="str">
        <f t="array" ref="E863">IFerror(INDEX(Papers!G$2:G$995,MATCH($A863, Papers!$A$2:$A$995,0)),"")</f>
        <v/>
      </c>
    </row>
    <row r="864">
      <c r="B864" s="85" t="str">
        <f t="array" ref="B864">IFerror(INDEX(Papers!C$2:C$995,MATCH($A864, Papers!$A$2:$A$995,0)),"")</f>
        <v/>
      </c>
      <c r="C864" s="85" t="str">
        <f t="array" ref="C864">IFerror(INDEX(Papers!D$2:D$995,MATCH($A864, Papers!$A$2:$A$995,0)),"")</f>
        <v/>
      </c>
      <c r="D864" s="86" t="str">
        <f t="array" ref="D864">IFerror(INDEX(Papers!F$2:F$995,MATCH($A864, Papers!$A$2:$A$995,0)),"")</f>
        <v/>
      </c>
      <c r="E864" s="59" t="str">
        <f t="array" ref="E864">IFerror(INDEX(Papers!G$2:G$995,MATCH($A864, Papers!$A$2:$A$995,0)),"")</f>
        <v/>
      </c>
    </row>
    <row r="865">
      <c r="B865" s="85" t="str">
        <f t="array" ref="B865">IFerror(INDEX(Papers!C$2:C$995,MATCH($A865, Papers!$A$2:$A$995,0)),"")</f>
        <v/>
      </c>
      <c r="C865" s="85" t="str">
        <f t="array" ref="C865">IFerror(INDEX(Papers!D$2:D$995,MATCH($A865, Papers!$A$2:$A$995,0)),"")</f>
        <v/>
      </c>
      <c r="D865" s="86" t="str">
        <f t="array" ref="D865">IFerror(INDEX(Papers!F$2:F$995,MATCH($A865, Papers!$A$2:$A$995,0)),"")</f>
        <v/>
      </c>
      <c r="E865" s="59" t="str">
        <f t="array" ref="E865">IFerror(INDEX(Papers!G$2:G$995,MATCH($A865, Papers!$A$2:$A$995,0)),"")</f>
        <v/>
      </c>
    </row>
    <row r="866">
      <c r="B866" s="85" t="str">
        <f t="array" ref="B866">IFerror(INDEX(Papers!C$2:C$995,MATCH($A866, Papers!$A$2:$A$995,0)),"")</f>
        <v/>
      </c>
      <c r="C866" s="85" t="str">
        <f t="array" ref="C866">IFerror(INDEX(Papers!D$2:D$995,MATCH($A866, Papers!$A$2:$A$995,0)),"")</f>
        <v/>
      </c>
      <c r="D866" s="86" t="str">
        <f t="array" ref="D866">IFerror(INDEX(Papers!F$2:F$995,MATCH($A866, Papers!$A$2:$A$995,0)),"")</f>
        <v/>
      </c>
      <c r="E866" s="59" t="str">
        <f t="array" ref="E866">IFerror(INDEX(Papers!G$2:G$995,MATCH($A866, Papers!$A$2:$A$995,0)),"")</f>
        <v/>
      </c>
    </row>
    <row r="867">
      <c r="B867" s="85" t="str">
        <f t="array" ref="B867">IFerror(INDEX(Papers!C$2:C$995,MATCH($A867, Papers!$A$2:$A$995,0)),"")</f>
        <v/>
      </c>
      <c r="C867" s="85" t="str">
        <f t="array" ref="C867">IFerror(INDEX(Papers!D$2:D$995,MATCH($A867, Papers!$A$2:$A$995,0)),"")</f>
        <v/>
      </c>
      <c r="D867" s="86" t="str">
        <f t="array" ref="D867">IFerror(INDEX(Papers!F$2:F$995,MATCH($A867, Papers!$A$2:$A$995,0)),"")</f>
        <v/>
      </c>
      <c r="E867" s="59" t="str">
        <f t="array" ref="E867">IFerror(INDEX(Papers!G$2:G$995,MATCH($A867, Papers!$A$2:$A$995,0)),"")</f>
        <v/>
      </c>
    </row>
    <row r="868">
      <c r="B868" s="85" t="str">
        <f t="array" ref="B868">IFerror(INDEX(Papers!C$2:C$995,MATCH($A868, Papers!$A$2:$A$995,0)),"")</f>
        <v/>
      </c>
      <c r="C868" s="85" t="str">
        <f t="array" ref="C868">IFerror(INDEX(Papers!D$2:D$995,MATCH($A868, Papers!$A$2:$A$995,0)),"")</f>
        <v/>
      </c>
      <c r="D868" s="86" t="str">
        <f t="array" ref="D868">IFerror(INDEX(Papers!F$2:F$995,MATCH($A868, Papers!$A$2:$A$995,0)),"")</f>
        <v/>
      </c>
      <c r="E868" s="59" t="str">
        <f t="array" ref="E868">IFerror(INDEX(Papers!G$2:G$995,MATCH($A868, Papers!$A$2:$A$995,0)),"")</f>
        <v/>
      </c>
    </row>
    <row r="869">
      <c r="B869" s="85" t="str">
        <f t="array" ref="B869">IFerror(INDEX(Papers!C$2:C$995,MATCH($A869, Papers!$A$2:$A$995,0)),"")</f>
        <v/>
      </c>
      <c r="C869" s="85" t="str">
        <f t="array" ref="C869">IFerror(INDEX(Papers!D$2:D$995,MATCH($A869, Papers!$A$2:$A$995,0)),"")</f>
        <v/>
      </c>
      <c r="D869" s="86" t="str">
        <f t="array" ref="D869">IFerror(INDEX(Papers!F$2:F$995,MATCH($A869, Papers!$A$2:$A$995,0)),"")</f>
        <v/>
      </c>
      <c r="E869" s="59" t="str">
        <f t="array" ref="E869">IFerror(INDEX(Papers!G$2:G$995,MATCH($A869, Papers!$A$2:$A$995,0)),"")</f>
        <v/>
      </c>
    </row>
    <row r="870">
      <c r="B870" s="85" t="str">
        <f t="array" ref="B870">IFerror(INDEX(Papers!C$2:C$995,MATCH($A870, Papers!$A$2:$A$995,0)),"")</f>
        <v/>
      </c>
      <c r="C870" s="85" t="str">
        <f t="array" ref="C870">IFerror(INDEX(Papers!D$2:D$995,MATCH($A870, Papers!$A$2:$A$995,0)),"")</f>
        <v/>
      </c>
      <c r="D870" s="86" t="str">
        <f t="array" ref="D870">IFerror(INDEX(Papers!F$2:F$995,MATCH($A870, Papers!$A$2:$A$995,0)),"")</f>
        <v/>
      </c>
      <c r="E870" s="59" t="str">
        <f t="array" ref="E870">IFerror(INDEX(Papers!G$2:G$995,MATCH($A870, Papers!$A$2:$A$995,0)),"")</f>
        <v/>
      </c>
    </row>
    <row r="871">
      <c r="B871" s="85" t="str">
        <f t="array" ref="B871">IFerror(INDEX(Papers!C$2:C$995,MATCH($A871, Papers!$A$2:$A$995,0)),"")</f>
        <v/>
      </c>
      <c r="C871" s="85" t="str">
        <f t="array" ref="C871">IFerror(INDEX(Papers!D$2:D$995,MATCH($A871, Papers!$A$2:$A$995,0)),"")</f>
        <v/>
      </c>
      <c r="D871" s="86" t="str">
        <f t="array" ref="D871">IFerror(INDEX(Papers!F$2:F$995,MATCH($A871, Papers!$A$2:$A$995,0)),"")</f>
        <v/>
      </c>
      <c r="E871" s="59" t="str">
        <f t="array" ref="E871">IFerror(INDEX(Papers!G$2:G$995,MATCH($A871, Papers!$A$2:$A$995,0)),"")</f>
        <v/>
      </c>
    </row>
    <row r="872">
      <c r="B872" s="85" t="str">
        <f t="array" ref="B872">IFerror(INDEX(Papers!C$2:C$995,MATCH($A872, Papers!$A$2:$A$995,0)),"")</f>
        <v/>
      </c>
      <c r="C872" s="85" t="str">
        <f t="array" ref="C872">IFerror(INDEX(Papers!D$2:D$995,MATCH($A872, Papers!$A$2:$A$995,0)),"")</f>
        <v/>
      </c>
      <c r="D872" s="86" t="str">
        <f t="array" ref="D872">IFerror(INDEX(Papers!F$2:F$995,MATCH($A872, Papers!$A$2:$A$995,0)),"")</f>
        <v/>
      </c>
      <c r="E872" s="59" t="str">
        <f t="array" ref="E872">IFerror(INDEX(Papers!G$2:G$995,MATCH($A872, Papers!$A$2:$A$995,0)),"")</f>
        <v/>
      </c>
    </row>
    <row r="873">
      <c r="B873" s="85" t="str">
        <f t="array" ref="B873">IFerror(INDEX(Papers!C$2:C$995,MATCH($A873, Papers!$A$2:$A$995,0)),"")</f>
        <v/>
      </c>
      <c r="C873" s="85" t="str">
        <f t="array" ref="C873">IFerror(INDEX(Papers!D$2:D$995,MATCH($A873, Papers!$A$2:$A$995,0)),"")</f>
        <v/>
      </c>
      <c r="D873" s="86" t="str">
        <f t="array" ref="D873">IFerror(INDEX(Papers!F$2:F$995,MATCH($A873, Papers!$A$2:$A$995,0)),"")</f>
        <v/>
      </c>
      <c r="E873" s="59" t="str">
        <f t="array" ref="E873">IFerror(INDEX(Papers!G$2:G$995,MATCH($A873, Papers!$A$2:$A$995,0)),"")</f>
        <v/>
      </c>
    </row>
    <row r="874">
      <c r="B874" s="85" t="str">
        <f t="array" ref="B874">IFerror(INDEX(Papers!C$2:C$995,MATCH($A874, Papers!$A$2:$A$995,0)),"")</f>
        <v/>
      </c>
      <c r="C874" s="85" t="str">
        <f t="array" ref="C874">IFerror(INDEX(Papers!D$2:D$995,MATCH($A874, Papers!$A$2:$A$995,0)),"")</f>
        <v/>
      </c>
      <c r="D874" s="86" t="str">
        <f t="array" ref="D874">IFerror(INDEX(Papers!F$2:F$995,MATCH($A874, Papers!$A$2:$A$995,0)),"")</f>
        <v/>
      </c>
      <c r="E874" s="59" t="str">
        <f t="array" ref="E874">IFerror(INDEX(Papers!G$2:G$995,MATCH($A874, Papers!$A$2:$A$995,0)),"")</f>
        <v/>
      </c>
    </row>
    <row r="875">
      <c r="B875" s="85" t="str">
        <f t="array" ref="B875">IFerror(INDEX(Papers!C$2:C$995,MATCH($A875, Papers!$A$2:$A$995,0)),"")</f>
        <v/>
      </c>
      <c r="C875" s="85" t="str">
        <f t="array" ref="C875">IFerror(INDEX(Papers!D$2:D$995,MATCH($A875, Papers!$A$2:$A$995,0)),"")</f>
        <v/>
      </c>
      <c r="D875" s="86" t="str">
        <f t="array" ref="D875">IFerror(INDEX(Papers!F$2:F$995,MATCH($A875, Papers!$A$2:$A$995,0)),"")</f>
        <v/>
      </c>
      <c r="E875" s="59" t="str">
        <f t="array" ref="E875">IFerror(INDEX(Papers!G$2:G$995,MATCH($A875, Papers!$A$2:$A$995,0)),"")</f>
        <v/>
      </c>
    </row>
    <row r="876">
      <c r="B876" s="85" t="str">
        <f t="array" ref="B876">IFerror(INDEX(Papers!C$2:C$995,MATCH($A876, Papers!$A$2:$A$995,0)),"")</f>
        <v/>
      </c>
      <c r="C876" s="85" t="str">
        <f t="array" ref="C876">IFerror(INDEX(Papers!D$2:D$995,MATCH($A876, Papers!$A$2:$A$995,0)),"")</f>
        <v/>
      </c>
      <c r="D876" s="86" t="str">
        <f t="array" ref="D876">IFerror(INDEX(Papers!F$2:F$995,MATCH($A876, Papers!$A$2:$A$995,0)),"")</f>
        <v/>
      </c>
      <c r="E876" s="59" t="str">
        <f t="array" ref="E876">IFerror(INDEX(Papers!G$2:G$995,MATCH($A876, Papers!$A$2:$A$995,0)),"")</f>
        <v/>
      </c>
    </row>
    <row r="877">
      <c r="B877" s="85" t="str">
        <f t="array" ref="B877">IFerror(INDEX(Papers!C$2:C$995,MATCH($A877, Papers!$A$2:$A$995,0)),"")</f>
        <v/>
      </c>
      <c r="C877" s="85" t="str">
        <f t="array" ref="C877">IFerror(INDEX(Papers!D$2:D$995,MATCH($A877, Papers!$A$2:$A$995,0)),"")</f>
        <v/>
      </c>
      <c r="D877" s="86" t="str">
        <f t="array" ref="D877">IFerror(INDEX(Papers!F$2:F$995,MATCH($A877, Papers!$A$2:$A$995,0)),"")</f>
        <v/>
      </c>
      <c r="E877" s="59" t="str">
        <f t="array" ref="E877">IFerror(INDEX(Papers!G$2:G$995,MATCH($A877, Papers!$A$2:$A$995,0)),"")</f>
        <v/>
      </c>
    </row>
    <row r="878">
      <c r="B878" s="85" t="str">
        <f t="array" ref="B878">IFerror(INDEX(Papers!C$2:C$995,MATCH($A878, Papers!$A$2:$A$995,0)),"")</f>
        <v/>
      </c>
      <c r="C878" s="85" t="str">
        <f t="array" ref="C878">IFerror(INDEX(Papers!D$2:D$995,MATCH($A878, Papers!$A$2:$A$995,0)),"")</f>
        <v/>
      </c>
      <c r="D878" s="86" t="str">
        <f t="array" ref="D878">IFerror(INDEX(Papers!F$2:F$995,MATCH($A878, Papers!$A$2:$A$995,0)),"")</f>
        <v/>
      </c>
      <c r="E878" s="59" t="str">
        <f t="array" ref="E878">IFerror(INDEX(Papers!G$2:G$995,MATCH($A878, Papers!$A$2:$A$995,0)),"")</f>
        <v/>
      </c>
    </row>
    <row r="879">
      <c r="B879" s="85" t="str">
        <f t="array" ref="B879">IFerror(INDEX(Papers!C$2:C$995,MATCH($A879, Papers!$A$2:$A$995,0)),"")</f>
        <v/>
      </c>
      <c r="C879" s="85" t="str">
        <f t="array" ref="C879">IFerror(INDEX(Papers!D$2:D$995,MATCH($A879, Papers!$A$2:$A$995,0)),"")</f>
        <v/>
      </c>
      <c r="D879" s="86" t="str">
        <f t="array" ref="D879">IFerror(INDEX(Papers!F$2:F$995,MATCH($A879, Papers!$A$2:$A$995,0)),"")</f>
        <v/>
      </c>
      <c r="E879" s="59" t="str">
        <f t="array" ref="E879">IFerror(INDEX(Papers!G$2:G$995,MATCH($A879, Papers!$A$2:$A$995,0)),"")</f>
        <v/>
      </c>
    </row>
    <row r="880">
      <c r="B880" s="85" t="str">
        <f t="array" ref="B880">IFerror(INDEX(Papers!C$2:C$995,MATCH($A880, Papers!$A$2:$A$995,0)),"")</f>
        <v/>
      </c>
      <c r="C880" s="85" t="str">
        <f t="array" ref="C880">IFerror(INDEX(Papers!D$2:D$995,MATCH($A880, Papers!$A$2:$A$995,0)),"")</f>
        <v/>
      </c>
      <c r="D880" s="86" t="str">
        <f t="array" ref="D880">IFerror(INDEX(Papers!F$2:F$995,MATCH($A880, Papers!$A$2:$A$995,0)),"")</f>
        <v/>
      </c>
      <c r="E880" s="59" t="str">
        <f t="array" ref="E880">IFerror(INDEX(Papers!G$2:G$995,MATCH($A880, Papers!$A$2:$A$995,0)),"")</f>
        <v/>
      </c>
    </row>
    <row r="881">
      <c r="B881" s="85" t="str">
        <f t="array" ref="B881">IFerror(INDEX(Papers!C$2:C$995,MATCH($A881, Papers!$A$2:$A$995,0)),"")</f>
        <v/>
      </c>
      <c r="C881" s="85" t="str">
        <f t="array" ref="C881">IFerror(INDEX(Papers!D$2:D$995,MATCH($A881, Papers!$A$2:$A$995,0)),"")</f>
        <v/>
      </c>
      <c r="D881" s="86" t="str">
        <f t="array" ref="D881">IFerror(INDEX(Papers!F$2:F$995,MATCH($A881, Papers!$A$2:$A$995,0)),"")</f>
        <v/>
      </c>
      <c r="E881" s="59" t="str">
        <f t="array" ref="E881">IFerror(INDEX(Papers!G$2:G$995,MATCH($A881, Papers!$A$2:$A$995,0)),"")</f>
        <v/>
      </c>
    </row>
    <row r="882">
      <c r="B882" s="85" t="str">
        <f t="array" ref="B882">IFerror(INDEX(Papers!C$2:C$995,MATCH($A882, Papers!$A$2:$A$995,0)),"")</f>
        <v/>
      </c>
      <c r="C882" s="85" t="str">
        <f t="array" ref="C882">IFerror(INDEX(Papers!D$2:D$995,MATCH($A882, Papers!$A$2:$A$995,0)),"")</f>
        <v/>
      </c>
      <c r="D882" s="86" t="str">
        <f t="array" ref="D882">IFerror(INDEX(Papers!F$2:F$995,MATCH($A882, Papers!$A$2:$A$995,0)),"")</f>
        <v/>
      </c>
      <c r="E882" s="59" t="str">
        <f t="array" ref="E882">IFerror(INDEX(Papers!G$2:G$995,MATCH($A882, Papers!$A$2:$A$995,0)),"")</f>
        <v/>
      </c>
    </row>
    <row r="883">
      <c r="B883" s="85" t="str">
        <f t="array" ref="B883">IFerror(INDEX(Papers!C$2:C$995,MATCH($A883, Papers!$A$2:$A$995,0)),"")</f>
        <v/>
      </c>
      <c r="C883" s="85" t="str">
        <f t="array" ref="C883">IFerror(INDEX(Papers!D$2:D$995,MATCH($A883, Papers!$A$2:$A$995,0)),"")</f>
        <v/>
      </c>
      <c r="D883" s="86" t="str">
        <f t="array" ref="D883">IFerror(INDEX(Papers!F$2:F$995,MATCH($A883, Papers!$A$2:$A$995,0)),"")</f>
        <v/>
      </c>
      <c r="E883" s="59" t="str">
        <f t="array" ref="E883">IFerror(INDEX(Papers!G$2:G$995,MATCH($A883, Papers!$A$2:$A$995,0)),"")</f>
        <v/>
      </c>
    </row>
    <row r="884">
      <c r="B884" s="85" t="str">
        <f t="array" ref="B884">IFerror(INDEX(Papers!C$2:C$995,MATCH($A884, Papers!$A$2:$A$995,0)),"")</f>
        <v/>
      </c>
      <c r="C884" s="85" t="str">
        <f t="array" ref="C884">IFerror(INDEX(Papers!D$2:D$995,MATCH($A884, Papers!$A$2:$A$995,0)),"")</f>
        <v/>
      </c>
      <c r="D884" s="86" t="str">
        <f t="array" ref="D884">IFerror(INDEX(Papers!F$2:F$995,MATCH($A884, Papers!$A$2:$A$995,0)),"")</f>
        <v/>
      </c>
      <c r="E884" s="59" t="str">
        <f t="array" ref="E884">IFerror(INDEX(Papers!G$2:G$995,MATCH($A884, Papers!$A$2:$A$995,0)),"")</f>
        <v/>
      </c>
    </row>
    <row r="885">
      <c r="B885" s="85" t="str">
        <f t="array" ref="B885">IFerror(INDEX(Papers!C$2:C$995,MATCH($A885, Papers!$A$2:$A$995,0)),"")</f>
        <v/>
      </c>
      <c r="C885" s="85" t="str">
        <f t="array" ref="C885">IFerror(INDEX(Papers!D$2:D$995,MATCH($A885, Papers!$A$2:$A$995,0)),"")</f>
        <v/>
      </c>
      <c r="D885" s="86" t="str">
        <f t="array" ref="D885">IFerror(INDEX(Papers!F$2:F$995,MATCH($A885, Papers!$A$2:$A$995,0)),"")</f>
        <v/>
      </c>
      <c r="E885" s="59" t="str">
        <f t="array" ref="E885">IFerror(INDEX(Papers!G$2:G$995,MATCH($A885, Papers!$A$2:$A$995,0)),"")</f>
        <v/>
      </c>
    </row>
    <row r="886">
      <c r="B886" s="85" t="str">
        <f t="array" ref="B886">IFerror(INDEX(Papers!C$2:C$995,MATCH($A886, Papers!$A$2:$A$995,0)),"")</f>
        <v/>
      </c>
      <c r="C886" s="85" t="str">
        <f t="array" ref="C886">IFerror(INDEX(Papers!D$2:D$995,MATCH($A886, Papers!$A$2:$A$995,0)),"")</f>
        <v/>
      </c>
      <c r="D886" s="86" t="str">
        <f t="array" ref="D886">IFerror(INDEX(Papers!F$2:F$995,MATCH($A886, Papers!$A$2:$A$995,0)),"")</f>
        <v/>
      </c>
      <c r="E886" s="59" t="str">
        <f t="array" ref="E886">IFerror(INDEX(Papers!G$2:G$995,MATCH($A886, Papers!$A$2:$A$995,0)),"")</f>
        <v/>
      </c>
    </row>
    <row r="887">
      <c r="B887" s="85" t="str">
        <f t="array" ref="B887">IFerror(INDEX(Papers!C$2:C$995,MATCH($A887, Papers!$A$2:$A$995,0)),"")</f>
        <v/>
      </c>
      <c r="C887" s="85" t="str">
        <f t="array" ref="C887">IFerror(INDEX(Papers!D$2:D$995,MATCH($A887, Papers!$A$2:$A$995,0)),"")</f>
        <v/>
      </c>
      <c r="D887" s="86" t="str">
        <f t="array" ref="D887">IFerror(INDEX(Papers!F$2:F$995,MATCH($A887, Papers!$A$2:$A$995,0)),"")</f>
        <v/>
      </c>
      <c r="E887" s="59" t="str">
        <f t="array" ref="E887">IFerror(INDEX(Papers!G$2:G$995,MATCH($A887, Papers!$A$2:$A$995,0)),"")</f>
        <v/>
      </c>
    </row>
    <row r="888">
      <c r="B888" s="85" t="str">
        <f t="array" ref="B888">IFerror(INDEX(Papers!C$2:C$995,MATCH($A888, Papers!$A$2:$A$995,0)),"")</f>
        <v/>
      </c>
      <c r="C888" s="85" t="str">
        <f t="array" ref="C888">IFerror(INDEX(Papers!D$2:D$995,MATCH($A888, Papers!$A$2:$A$995,0)),"")</f>
        <v/>
      </c>
      <c r="D888" s="86" t="str">
        <f t="array" ref="D888">IFerror(INDEX(Papers!F$2:F$995,MATCH($A888, Papers!$A$2:$A$995,0)),"")</f>
        <v/>
      </c>
      <c r="E888" s="59" t="str">
        <f t="array" ref="E888">IFerror(INDEX(Papers!G$2:G$995,MATCH($A888, Papers!$A$2:$A$995,0)),"")</f>
        <v/>
      </c>
    </row>
    <row r="889">
      <c r="B889" s="85" t="str">
        <f t="array" ref="B889">IFerror(INDEX(Papers!C$2:C$995,MATCH($A889, Papers!$A$2:$A$995,0)),"")</f>
        <v/>
      </c>
      <c r="C889" s="85" t="str">
        <f t="array" ref="C889">IFerror(INDEX(Papers!D$2:D$995,MATCH($A889, Papers!$A$2:$A$995,0)),"")</f>
        <v/>
      </c>
      <c r="D889" s="86" t="str">
        <f t="array" ref="D889">IFerror(INDEX(Papers!F$2:F$995,MATCH($A889, Papers!$A$2:$A$995,0)),"")</f>
        <v/>
      </c>
      <c r="E889" s="59" t="str">
        <f t="array" ref="E889">IFerror(INDEX(Papers!G$2:G$995,MATCH($A889, Papers!$A$2:$A$995,0)),"")</f>
        <v/>
      </c>
    </row>
    <row r="890">
      <c r="B890" s="85" t="str">
        <f t="array" ref="B890">IFerror(INDEX(Papers!C$2:C$995,MATCH($A890, Papers!$A$2:$A$995,0)),"")</f>
        <v/>
      </c>
      <c r="C890" s="85" t="str">
        <f t="array" ref="C890">IFerror(INDEX(Papers!D$2:D$995,MATCH($A890, Papers!$A$2:$A$995,0)),"")</f>
        <v/>
      </c>
      <c r="D890" s="86" t="str">
        <f t="array" ref="D890">IFerror(INDEX(Papers!F$2:F$995,MATCH($A890, Papers!$A$2:$A$995,0)),"")</f>
        <v/>
      </c>
      <c r="E890" s="59" t="str">
        <f t="array" ref="E890">IFerror(INDEX(Papers!G$2:G$995,MATCH($A890, Papers!$A$2:$A$995,0)),"")</f>
        <v/>
      </c>
    </row>
    <row r="891">
      <c r="B891" s="85" t="str">
        <f t="array" ref="B891">IFerror(INDEX(Papers!C$2:C$995,MATCH($A891, Papers!$A$2:$A$995,0)),"")</f>
        <v/>
      </c>
      <c r="C891" s="85" t="str">
        <f t="array" ref="C891">IFerror(INDEX(Papers!D$2:D$995,MATCH($A891, Papers!$A$2:$A$995,0)),"")</f>
        <v/>
      </c>
      <c r="D891" s="86" t="str">
        <f t="array" ref="D891">IFerror(INDEX(Papers!F$2:F$995,MATCH($A891, Papers!$A$2:$A$995,0)),"")</f>
        <v/>
      </c>
      <c r="E891" s="59" t="str">
        <f t="array" ref="E891">IFerror(INDEX(Papers!G$2:G$995,MATCH($A891, Papers!$A$2:$A$995,0)),"")</f>
        <v/>
      </c>
    </row>
    <row r="892">
      <c r="B892" s="85" t="str">
        <f t="array" ref="B892">IFerror(INDEX(Papers!C$2:C$995,MATCH($A892, Papers!$A$2:$A$995,0)),"")</f>
        <v/>
      </c>
      <c r="C892" s="85" t="str">
        <f t="array" ref="C892">IFerror(INDEX(Papers!D$2:D$995,MATCH($A892, Papers!$A$2:$A$995,0)),"")</f>
        <v/>
      </c>
      <c r="D892" s="86" t="str">
        <f t="array" ref="D892">IFerror(INDEX(Papers!F$2:F$995,MATCH($A892, Papers!$A$2:$A$995,0)),"")</f>
        <v/>
      </c>
      <c r="E892" s="59" t="str">
        <f t="array" ref="E892">IFerror(INDEX(Papers!G$2:G$995,MATCH($A892, Papers!$A$2:$A$995,0)),"")</f>
        <v/>
      </c>
    </row>
    <row r="893">
      <c r="B893" s="85" t="str">
        <f t="array" ref="B893">IFerror(INDEX(Papers!C$2:C$995,MATCH($A893, Papers!$A$2:$A$995,0)),"")</f>
        <v/>
      </c>
      <c r="C893" s="85" t="str">
        <f t="array" ref="C893">IFerror(INDEX(Papers!D$2:D$995,MATCH($A893, Papers!$A$2:$A$995,0)),"")</f>
        <v/>
      </c>
      <c r="D893" s="86" t="str">
        <f t="array" ref="D893">IFerror(INDEX(Papers!F$2:F$995,MATCH($A893, Papers!$A$2:$A$995,0)),"")</f>
        <v/>
      </c>
      <c r="E893" s="59" t="str">
        <f t="array" ref="E893">IFerror(INDEX(Papers!G$2:G$995,MATCH($A893, Papers!$A$2:$A$995,0)),"")</f>
        <v/>
      </c>
    </row>
    <row r="894">
      <c r="B894" s="85" t="str">
        <f t="array" ref="B894">IFerror(INDEX(Papers!C$2:C$995,MATCH($A894, Papers!$A$2:$A$995,0)),"")</f>
        <v/>
      </c>
      <c r="C894" s="85" t="str">
        <f t="array" ref="C894">IFerror(INDEX(Papers!D$2:D$995,MATCH($A894, Papers!$A$2:$A$995,0)),"")</f>
        <v/>
      </c>
      <c r="D894" s="86" t="str">
        <f t="array" ref="D894">IFerror(INDEX(Papers!F$2:F$995,MATCH($A894, Papers!$A$2:$A$995,0)),"")</f>
        <v/>
      </c>
      <c r="E894" s="59" t="str">
        <f t="array" ref="E894">IFerror(INDEX(Papers!G$2:G$995,MATCH($A894, Papers!$A$2:$A$995,0)),"")</f>
        <v/>
      </c>
    </row>
    <row r="895">
      <c r="B895" s="85" t="str">
        <f t="array" ref="B895">IFerror(INDEX(Papers!C$2:C$995,MATCH($A895, Papers!$A$2:$A$995,0)),"")</f>
        <v/>
      </c>
      <c r="C895" s="85" t="str">
        <f t="array" ref="C895">IFerror(INDEX(Papers!D$2:D$995,MATCH($A895, Papers!$A$2:$A$995,0)),"")</f>
        <v/>
      </c>
      <c r="D895" s="86" t="str">
        <f t="array" ref="D895">IFerror(INDEX(Papers!F$2:F$995,MATCH($A895, Papers!$A$2:$A$995,0)),"")</f>
        <v/>
      </c>
      <c r="E895" s="59" t="str">
        <f t="array" ref="E895">IFerror(INDEX(Papers!G$2:G$995,MATCH($A895, Papers!$A$2:$A$995,0)),"")</f>
        <v/>
      </c>
    </row>
    <row r="896">
      <c r="B896" s="85" t="str">
        <f t="array" ref="B896">IFerror(INDEX(Papers!C$2:C$995,MATCH($A896, Papers!$A$2:$A$995,0)),"")</f>
        <v/>
      </c>
      <c r="C896" s="85" t="str">
        <f t="array" ref="C896">IFerror(INDEX(Papers!D$2:D$995,MATCH($A896, Papers!$A$2:$A$995,0)),"")</f>
        <v/>
      </c>
      <c r="D896" s="86" t="str">
        <f t="array" ref="D896">IFerror(INDEX(Papers!F$2:F$995,MATCH($A896, Papers!$A$2:$A$995,0)),"")</f>
        <v/>
      </c>
      <c r="E896" s="59" t="str">
        <f t="array" ref="E896">IFerror(INDEX(Papers!G$2:G$995,MATCH($A896, Papers!$A$2:$A$995,0)),"")</f>
        <v/>
      </c>
    </row>
    <row r="897">
      <c r="B897" s="85" t="str">
        <f t="array" ref="B897">IFerror(INDEX(Papers!C$2:C$995,MATCH($A897, Papers!$A$2:$A$995,0)),"")</f>
        <v/>
      </c>
      <c r="C897" s="85" t="str">
        <f t="array" ref="C897">IFerror(INDEX(Papers!D$2:D$995,MATCH($A897, Papers!$A$2:$A$995,0)),"")</f>
        <v/>
      </c>
      <c r="D897" s="86" t="str">
        <f t="array" ref="D897">IFerror(INDEX(Papers!F$2:F$995,MATCH($A897, Papers!$A$2:$A$995,0)),"")</f>
        <v/>
      </c>
      <c r="E897" s="59" t="str">
        <f t="array" ref="E897">IFerror(INDEX(Papers!G$2:G$995,MATCH($A897, Papers!$A$2:$A$995,0)),"")</f>
        <v/>
      </c>
    </row>
    <row r="898">
      <c r="B898" s="85" t="str">
        <f t="array" ref="B898">IFerror(INDEX(Papers!C$2:C$995,MATCH($A898, Papers!$A$2:$A$995,0)),"")</f>
        <v/>
      </c>
      <c r="C898" s="85" t="str">
        <f t="array" ref="C898">IFerror(INDEX(Papers!D$2:D$995,MATCH($A898, Papers!$A$2:$A$995,0)),"")</f>
        <v/>
      </c>
      <c r="D898" s="86" t="str">
        <f t="array" ref="D898">IFerror(INDEX(Papers!F$2:F$995,MATCH($A898, Papers!$A$2:$A$995,0)),"")</f>
        <v/>
      </c>
      <c r="E898" s="59" t="str">
        <f t="array" ref="E898">IFerror(INDEX(Papers!G$2:G$995,MATCH($A898, Papers!$A$2:$A$995,0)),"")</f>
        <v/>
      </c>
    </row>
    <row r="899">
      <c r="B899" s="85" t="str">
        <f t="array" ref="B899">IFerror(INDEX(Papers!C$2:C$995,MATCH($A899, Papers!$A$2:$A$995,0)),"")</f>
        <v/>
      </c>
      <c r="C899" s="85" t="str">
        <f t="array" ref="C899">IFerror(INDEX(Papers!D$2:D$995,MATCH($A899, Papers!$A$2:$A$995,0)),"")</f>
        <v/>
      </c>
      <c r="D899" s="86" t="str">
        <f t="array" ref="D899">IFerror(INDEX(Papers!F$2:F$995,MATCH($A899, Papers!$A$2:$A$995,0)),"")</f>
        <v/>
      </c>
      <c r="E899" s="59" t="str">
        <f t="array" ref="E899">IFerror(INDEX(Papers!G$2:G$995,MATCH($A899, Papers!$A$2:$A$995,0)),"")</f>
        <v/>
      </c>
    </row>
    <row r="900">
      <c r="B900" s="85" t="str">
        <f t="array" ref="B900">IFerror(INDEX(Papers!C$2:C$995,MATCH($A900, Papers!$A$2:$A$995,0)),"")</f>
        <v/>
      </c>
      <c r="C900" s="85" t="str">
        <f t="array" ref="C900">IFerror(INDEX(Papers!D$2:D$995,MATCH($A900, Papers!$A$2:$A$995,0)),"")</f>
        <v/>
      </c>
      <c r="D900" s="86" t="str">
        <f t="array" ref="D900">IFerror(INDEX(Papers!F$2:F$995,MATCH($A900, Papers!$A$2:$A$995,0)),"")</f>
        <v/>
      </c>
      <c r="E900" s="59" t="str">
        <f t="array" ref="E900">IFerror(INDEX(Papers!G$2:G$995,MATCH($A900, Papers!$A$2:$A$995,0)),"")</f>
        <v/>
      </c>
    </row>
    <row r="901">
      <c r="B901" s="85" t="str">
        <f t="array" ref="B901">IFerror(INDEX(Papers!C$2:C$995,MATCH($A901, Papers!$A$2:$A$995,0)),"")</f>
        <v/>
      </c>
      <c r="C901" s="85" t="str">
        <f t="array" ref="C901">IFerror(INDEX(Papers!D$2:D$995,MATCH($A901, Papers!$A$2:$A$995,0)),"")</f>
        <v/>
      </c>
      <c r="D901" s="86" t="str">
        <f t="array" ref="D901">IFerror(INDEX(Papers!F$2:F$995,MATCH($A901, Papers!$A$2:$A$995,0)),"")</f>
        <v/>
      </c>
      <c r="E901" s="59" t="str">
        <f t="array" ref="E901">IFerror(INDEX(Papers!G$2:G$995,MATCH($A901, Papers!$A$2:$A$995,0)),"")</f>
        <v/>
      </c>
    </row>
    <row r="902">
      <c r="B902" s="85" t="str">
        <f t="array" ref="B902">IFerror(INDEX(Papers!C$2:C$995,MATCH($A902, Papers!$A$2:$A$995,0)),"")</f>
        <v/>
      </c>
      <c r="C902" s="85" t="str">
        <f t="array" ref="C902">IFerror(INDEX(Papers!D$2:D$995,MATCH($A902, Papers!$A$2:$A$995,0)),"")</f>
        <v/>
      </c>
      <c r="D902" s="86" t="str">
        <f t="array" ref="D902">IFerror(INDEX(Papers!F$2:F$995,MATCH($A902, Papers!$A$2:$A$995,0)),"")</f>
        <v/>
      </c>
      <c r="E902" s="59" t="str">
        <f t="array" ref="E902">IFerror(INDEX(Papers!G$2:G$995,MATCH($A902, Papers!$A$2:$A$995,0)),"")</f>
        <v/>
      </c>
    </row>
    <row r="903">
      <c r="B903" s="85" t="str">
        <f t="array" ref="B903">IFerror(INDEX(Papers!C$2:C$995,MATCH($A903, Papers!$A$2:$A$995,0)),"")</f>
        <v/>
      </c>
      <c r="C903" s="85" t="str">
        <f t="array" ref="C903">IFerror(INDEX(Papers!D$2:D$995,MATCH($A903, Papers!$A$2:$A$995,0)),"")</f>
        <v/>
      </c>
      <c r="D903" s="86" t="str">
        <f t="array" ref="D903">IFerror(INDEX(Papers!F$2:F$995,MATCH($A903, Papers!$A$2:$A$995,0)),"")</f>
        <v/>
      </c>
      <c r="E903" s="59" t="str">
        <f t="array" ref="E903">IFerror(INDEX(Papers!G$2:G$995,MATCH($A903, Papers!$A$2:$A$995,0)),"")</f>
        <v/>
      </c>
    </row>
    <row r="904">
      <c r="B904" s="85" t="str">
        <f t="array" ref="B904">IFerror(INDEX(Papers!C$2:C$995,MATCH($A904, Papers!$A$2:$A$995,0)),"")</f>
        <v/>
      </c>
      <c r="C904" s="85" t="str">
        <f t="array" ref="C904">IFerror(INDEX(Papers!D$2:D$995,MATCH($A904, Papers!$A$2:$A$995,0)),"")</f>
        <v/>
      </c>
      <c r="D904" s="86" t="str">
        <f t="array" ref="D904">IFerror(INDEX(Papers!F$2:F$995,MATCH($A904, Papers!$A$2:$A$995,0)),"")</f>
        <v/>
      </c>
      <c r="E904" s="59" t="str">
        <f t="array" ref="E904">IFerror(INDEX(Papers!G$2:G$995,MATCH($A904, Papers!$A$2:$A$995,0)),"")</f>
        <v/>
      </c>
    </row>
    <row r="905">
      <c r="B905" s="85" t="str">
        <f t="array" ref="B905">IFerror(INDEX(Papers!C$2:C$995,MATCH($A905, Papers!$A$2:$A$995,0)),"")</f>
        <v/>
      </c>
      <c r="C905" s="85" t="str">
        <f t="array" ref="C905">IFerror(INDEX(Papers!D$2:D$995,MATCH($A905, Papers!$A$2:$A$995,0)),"")</f>
        <v/>
      </c>
      <c r="D905" s="86" t="str">
        <f t="array" ref="D905">IFerror(INDEX(Papers!F$2:F$995,MATCH($A905, Papers!$A$2:$A$995,0)),"")</f>
        <v/>
      </c>
      <c r="E905" s="59" t="str">
        <f t="array" ref="E905">IFerror(INDEX(Papers!G$2:G$995,MATCH($A905, Papers!$A$2:$A$995,0)),"")</f>
        <v/>
      </c>
    </row>
    <row r="906">
      <c r="B906" s="85" t="str">
        <f t="array" ref="B906">IFerror(INDEX(Papers!C$2:C$995,MATCH($A906, Papers!$A$2:$A$995,0)),"")</f>
        <v/>
      </c>
      <c r="C906" s="85" t="str">
        <f t="array" ref="C906">IFerror(INDEX(Papers!D$2:D$995,MATCH($A906, Papers!$A$2:$A$995,0)),"")</f>
        <v/>
      </c>
      <c r="D906" s="86" t="str">
        <f t="array" ref="D906">IFerror(INDEX(Papers!F$2:F$995,MATCH($A906, Papers!$A$2:$A$995,0)),"")</f>
        <v/>
      </c>
      <c r="E906" s="59" t="str">
        <f t="array" ref="E906">IFerror(INDEX(Papers!G$2:G$995,MATCH($A906, Papers!$A$2:$A$995,0)),"")</f>
        <v/>
      </c>
    </row>
    <row r="907">
      <c r="B907" s="85" t="str">
        <f t="array" ref="B907">IFerror(INDEX(Papers!C$2:C$995,MATCH($A907, Papers!$A$2:$A$995,0)),"")</f>
        <v/>
      </c>
      <c r="C907" s="85" t="str">
        <f t="array" ref="C907">IFerror(INDEX(Papers!D$2:D$995,MATCH($A907, Papers!$A$2:$A$995,0)),"")</f>
        <v/>
      </c>
      <c r="D907" s="86" t="str">
        <f t="array" ref="D907">IFerror(INDEX(Papers!F$2:F$995,MATCH($A907, Papers!$A$2:$A$995,0)),"")</f>
        <v/>
      </c>
      <c r="E907" s="59" t="str">
        <f t="array" ref="E907">IFerror(INDEX(Papers!G$2:G$995,MATCH($A907, Papers!$A$2:$A$995,0)),"")</f>
        <v/>
      </c>
    </row>
    <row r="908">
      <c r="B908" s="85" t="str">
        <f t="array" ref="B908">IFerror(INDEX(Papers!C$2:C$995,MATCH($A908, Papers!$A$2:$A$995,0)),"")</f>
        <v/>
      </c>
      <c r="C908" s="85" t="str">
        <f t="array" ref="C908">IFerror(INDEX(Papers!D$2:D$995,MATCH($A908, Papers!$A$2:$A$995,0)),"")</f>
        <v/>
      </c>
      <c r="D908" s="86" t="str">
        <f t="array" ref="D908">IFerror(INDEX(Papers!F$2:F$995,MATCH($A908, Papers!$A$2:$A$995,0)),"")</f>
        <v/>
      </c>
      <c r="E908" s="59" t="str">
        <f t="array" ref="E908">IFerror(INDEX(Papers!G$2:G$995,MATCH($A908, Papers!$A$2:$A$995,0)),"")</f>
        <v/>
      </c>
    </row>
    <row r="909">
      <c r="B909" s="85" t="str">
        <f t="array" ref="B909">IFerror(INDEX(Papers!C$2:C$995,MATCH($A909, Papers!$A$2:$A$995,0)),"")</f>
        <v/>
      </c>
      <c r="C909" s="85" t="str">
        <f t="array" ref="C909">IFerror(INDEX(Papers!D$2:D$995,MATCH($A909, Papers!$A$2:$A$995,0)),"")</f>
        <v/>
      </c>
      <c r="D909" s="86" t="str">
        <f t="array" ref="D909">IFerror(INDEX(Papers!F$2:F$995,MATCH($A909, Papers!$A$2:$A$995,0)),"")</f>
        <v/>
      </c>
      <c r="E909" s="59" t="str">
        <f t="array" ref="E909">IFerror(INDEX(Papers!G$2:G$995,MATCH($A909, Papers!$A$2:$A$995,0)),"")</f>
        <v/>
      </c>
    </row>
    <row r="910">
      <c r="B910" s="85" t="str">
        <f t="array" ref="B910">IFerror(INDEX(Papers!C$2:C$995,MATCH($A910, Papers!$A$2:$A$995,0)),"")</f>
        <v/>
      </c>
      <c r="C910" s="85" t="str">
        <f t="array" ref="C910">IFerror(INDEX(Papers!D$2:D$995,MATCH($A910, Papers!$A$2:$A$995,0)),"")</f>
        <v/>
      </c>
      <c r="D910" s="86" t="str">
        <f t="array" ref="D910">IFerror(INDEX(Papers!F$2:F$995,MATCH($A910, Papers!$A$2:$A$995,0)),"")</f>
        <v/>
      </c>
      <c r="E910" s="59" t="str">
        <f t="array" ref="E910">IFerror(INDEX(Papers!G$2:G$995,MATCH($A910, Papers!$A$2:$A$995,0)),"")</f>
        <v/>
      </c>
    </row>
    <row r="911">
      <c r="B911" s="85" t="str">
        <f t="array" ref="B911">IFerror(INDEX(Papers!C$2:C$995,MATCH($A911, Papers!$A$2:$A$995,0)),"")</f>
        <v/>
      </c>
      <c r="C911" s="85" t="str">
        <f t="array" ref="C911">IFerror(INDEX(Papers!D$2:D$995,MATCH($A911, Papers!$A$2:$A$995,0)),"")</f>
        <v/>
      </c>
      <c r="D911" s="86" t="str">
        <f t="array" ref="D911">IFerror(INDEX(Papers!F$2:F$995,MATCH($A911, Papers!$A$2:$A$995,0)),"")</f>
        <v/>
      </c>
      <c r="E911" s="59" t="str">
        <f t="array" ref="E911">IFerror(INDEX(Papers!G$2:G$995,MATCH($A911, Papers!$A$2:$A$995,0)),"")</f>
        <v/>
      </c>
    </row>
    <row r="912">
      <c r="B912" s="85" t="str">
        <f t="array" ref="B912">IFerror(INDEX(Papers!C$2:C$995,MATCH($A912, Papers!$A$2:$A$995,0)),"")</f>
        <v/>
      </c>
      <c r="C912" s="85" t="str">
        <f t="array" ref="C912">IFerror(INDEX(Papers!D$2:D$995,MATCH($A912, Papers!$A$2:$A$995,0)),"")</f>
        <v/>
      </c>
      <c r="D912" s="86" t="str">
        <f t="array" ref="D912">IFerror(INDEX(Papers!F$2:F$995,MATCH($A912, Papers!$A$2:$A$995,0)),"")</f>
        <v/>
      </c>
      <c r="E912" s="59" t="str">
        <f t="array" ref="E912">IFerror(INDEX(Papers!G$2:G$995,MATCH($A912, Papers!$A$2:$A$995,0)),"")</f>
        <v/>
      </c>
    </row>
    <row r="913">
      <c r="B913" s="85" t="str">
        <f t="array" ref="B913">IFerror(INDEX(Papers!C$2:C$995,MATCH($A913, Papers!$A$2:$A$995,0)),"")</f>
        <v/>
      </c>
      <c r="C913" s="85" t="str">
        <f t="array" ref="C913">IFerror(INDEX(Papers!D$2:D$995,MATCH($A913, Papers!$A$2:$A$995,0)),"")</f>
        <v/>
      </c>
      <c r="D913" s="86" t="str">
        <f t="array" ref="D913">IFerror(INDEX(Papers!F$2:F$995,MATCH($A913, Papers!$A$2:$A$995,0)),"")</f>
        <v/>
      </c>
      <c r="E913" s="59" t="str">
        <f t="array" ref="E913">IFerror(INDEX(Papers!G$2:G$995,MATCH($A913, Papers!$A$2:$A$995,0)),"")</f>
        <v/>
      </c>
    </row>
    <row r="914">
      <c r="B914" s="85" t="str">
        <f t="array" ref="B914">IFerror(INDEX(Papers!C$2:C$995,MATCH($A914, Papers!$A$2:$A$995,0)),"")</f>
        <v/>
      </c>
      <c r="C914" s="85" t="str">
        <f t="array" ref="C914">IFerror(INDEX(Papers!D$2:D$995,MATCH($A914, Papers!$A$2:$A$995,0)),"")</f>
        <v/>
      </c>
      <c r="D914" s="86" t="str">
        <f t="array" ref="D914">IFerror(INDEX(Papers!F$2:F$995,MATCH($A914, Papers!$A$2:$A$995,0)),"")</f>
        <v/>
      </c>
      <c r="E914" s="59" t="str">
        <f t="array" ref="E914">IFerror(INDEX(Papers!G$2:G$995,MATCH($A914, Papers!$A$2:$A$995,0)),"")</f>
        <v/>
      </c>
    </row>
    <row r="915">
      <c r="B915" s="85" t="str">
        <f t="array" ref="B915">IFerror(INDEX(Papers!C$2:C$995,MATCH($A915, Papers!$A$2:$A$995,0)),"")</f>
        <v/>
      </c>
      <c r="C915" s="85" t="str">
        <f t="array" ref="C915">IFerror(INDEX(Papers!D$2:D$995,MATCH($A915, Papers!$A$2:$A$995,0)),"")</f>
        <v/>
      </c>
      <c r="D915" s="86" t="str">
        <f t="array" ref="D915">IFerror(INDEX(Papers!F$2:F$995,MATCH($A915, Papers!$A$2:$A$995,0)),"")</f>
        <v/>
      </c>
      <c r="E915" s="59" t="str">
        <f t="array" ref="E915">IFerror(INDEX(Papers!G$2:G$995,MATCH($A915, Papers!$A$2:$A$995,0)),"")</f>
        <v/>
      </c>
    </row>
    <row r="916">
      <c r="B916" s="85" t="str">
        <f t="array" ref="B916">IFerror(INDEX(Papers!C$2:C$995,MATCH($A916, Papers!$A$2:$A$995,0)),"")</f>
        <v/>
      </c>
      <c r="C916" s="85" t="str">
        <f t="array" ref="C916">IFerror(INDEX(Papers!D$2:D$995,MATCH($A916, Papers!$A$2:$A$995,0)),"")</f>
        <v/>
      </c>
      <c r="D916" s="86" t="str">
        <f t="array" ref="D916">IFerror(INDEX(Papers!F$2:F$995,MATCH($A916, Papers!$A$2:$A$995,0)),"")</f>
        <v/>
      </c>
      <c r="E916" s="59" t="str">
        <f t="array" ref="E916">IFerror(INDEX(Papers!G$2:G$995,MATCH($A916, Papers!$A$2:$A$995,0)),"")</f>
        <v/>
      </c>
    </row>
    <row r="917">
      <c r="B917" s="85" t="str">
        <f t="array" ref="B917">IFerror(INDEX(Papers!C$2:C$995,MATCH($A917, Papers!$A$2:$A$995,0)),"")</f>
        <v/>
      </c>
      <c r="C917" s="85" t="str">
        <f t="array" ref="C917">IFerror(INDEX(Papers!D$2:D$995,MATCH($A917, Papers!$A$2:$A$995,0)),"")</f>
        <v/>
      </c>
      <c r="D917" s="86" t="str">
        <f t="array" ref="D917">IFerror(INDEX(Papers!F$2:F$995,MATCH($A917, Papers!$A$2:$A$995,0)),"")</f>
        <v/>
      </c>
      <c r="E917" s="59" t="str">
        <f t="array" ref="E917">IFerror(INDEX(Papers!G$2:G$995,MATCH($A917, Papers!$A$2:$A$995,0)),"")</f>
        <v/>
      </c>
    </row>
    <row r="918">
      <c r="B918" s="85" t="str">
        <f t="array" ref="B918">IFerror(INDEX(Papers!C$2:C$995,MATCH($A918, Papers!$A$2:$A$995,0)),"")</f>
        <v/>
      </c>
      <c r="C918" s="85" t="str">
        <f t="array" ref="C918">IFerror(INDEX(Papers!D$2:D$995,MATCH($A918, Papers!$A$2:$A$995,0)),"")</f>
        <v/>
      </c>
      <c r="D918" s="86" t="str">
        <f t="array" ref="D918">IFerror(INDEX(Papers!F$2:F$995,MATCH($A918, Papers!$A$2:$A$995,0)),"")</f>
        <v/>
      </c>
      <c r="E918" s="59" t="str">
        <f t="array" ref="E918">IFerror(INDEX(Papers!G$2:G$995,MATCH($A918, Papers!$A$2:$A$995,0)),"")</f>
        <v/>
      </c>
    </row>
    <row r="919">
      <c r="B919" s="85" t="str">
        <f t="array" ref="B919">IFerror(INDEX(Papers!C$2:C$995,MATCH($A919, Papers!$A$2:$A$995,0)),"")</f>
        <v/>
      </c>
      <c r="C919" s="85" t="str">
        <f t="array" ref="C919">IFerror(INDEX(Papers!D$2:D$995,MATCH($A919, Papers!$A$2:$A$995,0)),"")</f>
        <v/>
      </c>
      <c r="D919" s="86" t="str">
        <f t="array" ref="D919">IFerror(INDEX(Papers!F$2:F$995,MATCH($A919, Papers!$A$2:$A$995,0)),"")</f>
        <v/>
      </c>
      <c r="E919" s="59" t="str">
        <f t="array" ref="E919">IFerror(INDEX(Papers!G$2:G$995,MATCH($A919, Papers!$A$2:$A$995,0)),"")</f>
        <v/>
      </c>
    </row>
    <row r="920">
      <c r="B920" s="85" t="str">
        <f t="array" ref="B920">IFerror(INDEX(Papers!C$2:C$995,MATCH($A920, Papers!$A$2:$A$995,0)),"")</f>
        <v/>
      </c>
      <c r="C920" s="85" t="str">
        <f t="array" ref="C920">IFerror(INDEX(Papers!D$2:D$995,MATCH($A920, Papers!$A$2:$A$995,0)),"")</f>
        <v/>
      </c>
      <c r="D920" s="86" t="str">
        <f t="array" ref="D920">IFerror(INDEX(Papers!F$2:F$995,MATCH($A920, Papers!$A$2:$A$995,0)),"")</f>
        <v/>
      </c>
      <c r="E920" s="59" t="str">
        <f t="array" ref="E920">IFerror(INDEX(Papers!G$2:G$995,MATCH($A920, Papers!$A$2:$A$995,0)),"")</f>
        <v/>
      </c>
    </row>
    <row r="921">
      <c r="B921" s="85" t="str">
        <f t="array" ref="B921">IFerror(INDEX(Papers!C$2:C$995,MATCH($A921, Papers!$A$2:$A$995,0)),"")</f>
        <v/>
      </c>
      <c r="C921" s="85" t="str">
        <f t="array" ref="C921">IFerror(INDEX(Papers!D$2:D$995,MATCH($A921, Papers!$A$2:$A$995,0)),"")</f>
        <v/>
      </c>
      <c r="D921" s="86" t="str">
        <f t="array" ref="D921">IFerror(INDEX(Papers!F$2:F$995,MATCH($A921, Papers!$A$2:$A$995,0)),"")</f>
        <v/>
      </c>
      <c r="E921" s="59" t="str">
        <f t="array" ref="E921">IFerror(INDEX(Papers!G$2:G$995,MATCH($A921, Papers!$A$2:$A$995,0)),"")</f>
        <v/>
      </c>
    </row>
    <row r="922">
      <c r="B922" s="85" t="str">
        <f t="array" ref="B922">IFerror(INDEX(Papers!C$2:C$995,MATCH($A922, Papers!$A$2:$A$995,0)),"")</f>
        <v/>
      </c>
      <c r="C922" s="85" t="str">
        <f t="array" ref="C922">IFerror(INDEX(Papers!D$2:D$995,MATCH($A922, Papers!$A$2:$A$995,0)),"")</f>
        <v/>
      </c>
      <c r="D922" s="86" t="str">
        <f t="array" ref="D922">IFerror(INDEX(Papers!F$2:F$995,MATCH($A922, Papers!$A$2:$A$995,0)),"")</f>
        <v/>
      </c>
      <c r="E922" s="59" t="str">
        <f t="array" ref="E922">IFerror(INDEX(Papers!G$2:G$995,MATCH($A922, Papers!$A$2:$A$995,0)),"")</f>
        <v/>
      </c>
    </row>
    <row r="923">
      <c r="B923" s="85" t="str">
        <f t="array" ref="B923">IFerror(INDEX(Papers!C$2:C$995,MATCH($A923, Papers!$A$2:$A$995,0)),"")</f>
        <v/>
      </c>
      <c r="C923" s="85" t="str">
        <f t="array" ref="C923">IFerror(INDEX(Papers!D$2:D$995,MATCH($A923, Papers!$A$2:$A$995,0)),"")</f>
        <v/>
      </c>
      <c r="D923" s="86" t="str">
        <f t="array" ref="D923">IFerror(INDEX(Papers!F$2:F$995,MATCH($A923, Papers!$A$2:$A$995,0)),"")</f>
        <v/>
      </c>
      <c r="E923" s="59" t="str">
        <f t="array" ref="E923">IFerror(INDEX(Papers!G$2:G$995,MATCH($A923, Papers!$A$2:$A$995,0)),"")</f>
        <v/>
      </c>
    </row>
    <row r="924">
      <c r="B924" s="85" t="str">
        <f t="array" ref="B924">IFerror(INDEX(Papers!C$2:C$995,MATCH($A924, Papers!$A$2:$A$995,0)),"")</f>
        <v/>
      </c>
      <c r="C924" s="85" t="str">
        <f t="array" ref="C924">IFerror(INDEX(Papers!D$2:D$995,MATCH($A924, Papers!$A$2:$A$995,0)),"")</f>
        <v/>
      </c>
      <c r="D924" s="86" t="str">
        <f t="array" ref="D924">IFerror(INDEX(Papers!F$2:F$995,MATCH($A924, Papers!$A$2:$A$995,0)),"")</f>
        <v/>
      </c>
      <c r="E924" s="59" t="str">
        <f t="array" ref="E924">IFerror(INDEX(Papers!G$2:G$995,MATCH($A924, Papers!$A$2:$A$995,0)),"")</f>
        <v/>
      </c>
    </row>
    <row r="925">
      <c r="B925" s="85" t="str">
        <f t="array" ref="B925">IFerror(INDEX(Papers!C$2:C$995,MATCH($A925, Papers!$A$2:$A$995,0)),"")</f>
        <v/>
      </c>
      <c r="C925" s="85" t="str">
        <f t="array" ref="C925">IFerror(INDEX(Papers!D$2:D$995,MATCH($A925, Papers!$A$2:$A$995,0)),"")</f>
        <v/>
      </c>
      <c r="D925" s="86" t="str">
        <f t="array" ref="D925">IFerror(INDEX(Papers!F$2:F$995,MATCH($A925, Papers!$A$2:$A$995,0)),"")</f>
        <v/>
      </c>
      <c r="E925" s="59" t="str">
        <f t="array" ref="E925">IFerror(INDEX(Papers!G$2:G$995,MATCH($A925, Papers!$A$2:$A$995,0)),"")</f>
        <v/>
      </c>
    </row>
    <row r="926">
      <c r="B926" s="85" t="str">
        <f t="array" ref="B926">IFerror(INDEX(Papers!C$2:C$995,MATCH($A926, Papers!$A$2:$A$995,0)),"")</f>
        <v/>
      </c>
      <c r="C926" s="85" t="str">
        <f t="array" ref="C926">IFerror(INDEX(Papers!D$2:D$995,MATCH($A926, Papers!$A$2:$A$995,0)),"")</f>
        <v/>
      </c>
      <c r="D926" s="86" t="str">
        <f t="array" ref="D926">IFerror(INDEX(Papers!F$2:F$995,MATCH($A926, Papers!$A$2:$A$995,0)),"")</f>
        <v/>
      </c>
      <c r="E926" s="59" t="str">
        <f t="array" ref="E926">IFerror(INDEX(Papers!G$2:G$995,MATCH($A926, Papers!$A$2:$A$995,0)),"")</f>
        <v/>
      </c>
    </row>
    <row r="927">
      <c r="B927" s="85" t="str">
        <f t="array" ref="B927">IFerror(INDEX(Papers!C$2:C$995,MATCH($A927, Papers!$A$2:$A$995,0)),"")</f>
        <v/>
      </c>
      <c r="C927" s="85" t="str">
        <f t="array" ref="C927">IFerror(INDEX(Papers!D$2:D$995,MATCH($A927, Papers!$A$2:$A$995,0)),"")</f>
        <v/>
      </c>
      <c r="D927" s="86" t="str">
        <f t="array" ref="D927">IFerror(INDEX(Papers!F$2:F$995,MATCH($A927, Papers!$A$2:$A$995,0)),"")</f>
        <v/>
      </c>
      <c r="E927" s="59" t="str">
        <f t="array" ref="E927">IFerror(INDEX(Papers!G$2:G$995,MATCH($A927, Papers!$A$2:$A$995,0)),"")</f>
        <v/>
      </c>
    </row>
    <row r="928">
      <c r="B928" s="85" t="str">
        <f t="array" ref="B928">IFerror(INDEX(Papers!C$2:C$995,MATCH($A928, Papers!$A$2:$A$995,0)),"")</f>
        <v/>
      </c>
      <c r="C928" s="85" t="str">
        <f t="array" ref="C928">IFerror(INDEX(Papers!D$2:D$995,MATCH($A928, Papers!$A$2:$A$995,0)),"")</f>
        <v/>
      </c>
      <c r="D928" s="86" t="str">
        <f t="array" ref="D928">IFerror(INDEX(Papers!F$2:F$995,MATCH($A928, Papers!$A$2:$A$995,0)),"")</f>
        <v/>
      </c>
      <c r="E928" s="59" t="str">
        <f t="array" ref="E928">IFerror(INDEX(Papers!G$2:G$995,MATCH($A928, Papers!$A$2:$A$995,0)),"")</f>
        <v/>
      </c>
    </row>
    <row r="929">
      <c r="B929" s="85" t="str">
        <f t="array" ref="B929">IFerror(INDEX(Papers!C$2:C$995,MATCH($A929, Papers!$A$2:$A$995,0)),"")</f>
        <v/>
      </c>
      <c r="C929" s="85" t="str">
        <f t="array" ref="C929">IFerror(INDEX(Papers!D$2:D$995,MATCH($A929, Papers!$A$2:$A$995,0)),"")</f>
        <v/>
      </c>
      <c r="D929" s="86" t="str">
        <f t="array" ref="D929">IFerror(INDEX(Papers!F$2:F$995,MATCH($A929, Papers!$A$2:$A$995,0)),"")</f>
        <v/>
      </c>
      <c r="E929" s="59" t="str">
        <f t="array" ref="E929">IFerror(INDEX(Papers!G$2:G$995,MATCH($A929, Papers!$A$2:$A$995,0)),"")</f>
        <v/>
      </c>
    </row>
    <row r="930">
      <c r="B930" s="85" t="str">
        <f t="array" ref="B930">IFerror(INDEX(Papers!C$2:C$995,MATCH($A930, Papers!$A$2:$A$995,0)),"")</f>
        <v/>
      </c>
      <c r="C930" s="85" t="str">
        <f t="array" ref="C930">IFerror(INDEX(Papers!D$2:D$995,MATCH($A930, Papers!$A$2:$A$995,0)),"")</f>
        <v/>
      </c>
      <c r="D930" s="86" t="str">
        <f t="array" ref="D930">IFerror(INDEX(Papers!F$2:F$995,MATCH($A930, Papers!$A$2:$A$995,0)),"")</f>
        <v/>
      </c>
      <c r="E930" s="59" t="str">
        <f t="array" ref="E930">IFerror(INDEX(Papers!G$2:G$995,MATCH($A930, Papers!$A$2:$A$995,0)),"")</f>
        <v/>
      </c>
    </row>
    <row r="931">
      <c r="B931" s="85" t="str">
        <f t="array" ref="B931">IFerror(INDEX(Papers!C$2:C$995,MATCH($A931, Papers!$A$2:$A$995,0)),"")</f>
        <v/>
      </c>
      <c r="C931" s="85" t="str">
        <f t="array" ref="C931">IFerror(INDEX(Papers!D$2:D$995,MATCH($A931, Papers!$A$2:$A$995,0)),"")</f>
        <v/>
      </c>
      <c r="D931" s="86" t="str">
        <f t="array" ref="D931">IFerror(INDEX(Papers!F$2:F$995,MATCH($A931, Papers!$A$2:$A$995,0)),"")</f>
        <v/>
      </c>
      <c r="E931" s="59" t="str">
        <f t="array" ref="E931">IFerror(INDEX(Papers!G$2:G$995,MATCH($A931, Papers!$A$2:$A$995,0)),"")</f>
        <v/>
      </c>
    </row>
    <row r="932">
      <c r="B932" s="85" t="str">
        <f t="array" ref="B932">IFerror(INDEX(Papers!C$2:C$995,MATCH($A932, Papers!$A$2:$A$995,0)),"")</f>
        <v/>
      </c>
      <c r="C932" s="85" t="str">
        <f t="array" ref="C932">IFerror(INDEX(Papers!D$2:D$995,MATCH($A932, Papers!$A$2:$A$995,0)),"")</f>
        <v/>
      </c>
      <c r="D932" s="86" t="str">
        <f t="array" ref="D932">IFerror(INDEX(Papers!F$2:F$995,MATCH($A932, Papers!$A$2:$A$995,0)),"")</f>
        <v/>
      </c>
      <c r="E932" s="59" t="str">
        <f t="array" ref="E932">IFerror(INDEX(Papers!G$2:G$995,MATCH($A932, Papers!$A$2:$A$995,0)),"")</f>
        <v/>
      </c>
    </row>
    <row r="933">
      <c r="B933" s="85" t="str">
        <f t="array" ref="B933">IFerror(INDEX(Papers!C$2:C$995,MATCH($A933, Papers!$A$2:$A$995,0)),"")</f>
        <v/>
      </c>
      <c r="C933" s="85" t="str">
        <f t="array" ref="C933">IFerror(INDEX(Papers!D$2:D$995,MATCH($A933, Papers!$A$2:$A$995,0)),"")</f>
        <v/>
      </c>
      <c r="D933" s="86" t="str">
        <f t="array" ref="D933">IFerror(INDEX(Papers!F$2:F$995,MATCH($A933, Papers!$A$2:$A$995,0)),"")</f>
        <v/>
      </c>
      <c r="E933" s="59" t="str">
        <f t="array" ref="E933">IFerror(INDEX(Papers!G$2:G$995,MATCH($A933, Papers!$A$2:$A$995,0)),"")</f>
        <v/>
      </c>
    </row>
    <row r="934">
      <c r="B934" s="85" t="str">
        <f t="array" ref="B934">IFerror(INDEX(Papers!C$2:C$995,MATCH($A934, Papers!$A$2:$A$995,0)),"")</f>
        <v/>
      </c>
      <c r="C934" s="85" t="str">
        <f t="array" ref="C934">IFerror(INDEX(Papers!D$2:D$995,MATCH($A934, Papers!$A$2:$A$995,0)),"")</f>
        <v/>
      </c>
      <c r="D934" s="86" t="str">
        <f t="array" ref="D934">IFerror(INDEX(Papers!F$2:F$995,MATCH($A934, Papers!$A$2:$A$995,0)),"")</f>
        <v/>
      </c>
      <c r="E934" s="59" t="str">
        <f t="array" ref="E934">IFerror(INDEX(Papers!G$2:G$995,MATCH($A934, Papers!$A$2:$A$995,0)),"")</f>
        <v/>
      </c>
    </row>
    <row r="935">
      <c r="B935" s="85" t="str">
        <f t="array" ref="B935">IFerror(INDEX(Papers!C$2:C$995,MATCH($A935, Papers!$A$2:$A$995,0)),"")</f>
        <v/>
      </c>
      <c r="C935" s="85" t="str">
        <f t="array" ref="C935">IFerror(INDEX(Papers!D$2:D$995,MATCH($A935, Papers!$A$2:$A$995,0)),"")</f>
        <v/>
      </c>
      <c r="D935" s="86" t="str">
        <f t="array" ref="D935">IFerror(INDEX(Papers!F$2:F$995,MATCH($A935, Papers!$A$2:$A$995,0)),"")</f>
        <v/>
      </c>
      <c r="E935" s="59" t="str">
        <f t="array" ref="E935">IFerror(INDEX(Papers!G$2:G$995,MATCH($A935, Papers!$A$2:$A$995,0)),"")</f>
        <v/>
      </c>
    </row>
    <row r="936">
      <c r="B936" s="85" t="str">
        <f t="array" ref="B936">IFerror(INDEX(Papers!C$2:C$995,MATCH($A936, Papers!$A$2:$A$995,0)),"")</f>
        <v/>
      </c>
      <c r="C936" s="85" t="str">
        <f t="array" ref="C936">IFerror(INDEX(Papers!D$2:D$995,MATCH($A936, Papers!$A$2:$A$995,0)),"")</f>
        <v/>
      </c>
      <c r="D936" s="86" t="str">
        <f t="array" ref="D936">IFerror(INDEX(Papers!F$2:F$995,MATCH($A936, Papers!$A$2:$A$995,0)),"")</f>
        <v/>
      </c>
      <c r="E936" s="59" t="str">
        <f t="array" ref="E936">IFerror(INDEX(Papers!G$2:G$995,MATCH($A936, Papers!$A$2:$A$995,0)),"")</f>
        <v/>
      </c>
    </row>
    <row r="937">
      <c r="B937" s="85" t="str">
        <f t="array" ref="B937">IFerror(INDEX(Papers!C$2:C$995,MATCH($A937, Papers!$A$2:$A$995,0)),"")</f>
        <v/>
      </c>
      <c r="C937" s="85" t="str">
        <f t="array" ref="C937">IFerror(INDEX(Papers!D$2:D$995,MATCH($A937, Papers!$A$2:$A$995,0)),"")</f>
        <v/>
      </c>
      <c r="D937" s="86" t="str">
        <f t="array" ref="D937">IFerror(INDEX(Papers!F$2:F$995,MATCH($A937, Papers!$A$2:$A$995,0)),"")</f>
        <v/>
      </c>
      <c r="E937" s="59" t="str">
        <f t="array" ref="E937">IFerror(INDEX(Papers!G$2:G$995,MATCH($A937, Papers!$A$2:$A$995,0)),"")</f>
        <v/>
      </c>
    </row>
    <row r="938">
      <c r="B938" s="85" t="str">
        <f t="array" ref="B938">IFerror(INDEX(Papers!C$2:C$995,MATCH($A938, Papers!$A$2:$A$995,0)),"")</f>
        <v/>
      </c>
      <c r="C938" s="85" t="str">
        <f t="array" ref="C938">IFerror(INDEX(Papers!D$2:D$995,MATCH($A938, Papers!$A$2:$A$995,0)),"")</f>
        <v/>
      </c>
      <c r="D938" s="86" t="str">
        <f t="array" ref="D938">IFerror(INDEX(Papers!F$2:F$995,MATCH($A938, Papers!$A$2:$A$995,0)),"")</f>
        <v/>
      </c>
      <c r="E938" s="59" t="str">
        <f t="array" ref="E938">IFerror(INDEX(Papers!G$2:G$995,MATCH($A938, Papers!$A$2:$A$995,0)),"")</f>
        <v/>
      </c>
    </row>
    <row r="939">
      <c r="B939" s="85" t="str">
        <f t="array" ref="B939">IFerror(INDEX(Papers!C$2:C$995,MATCH($A939, Papers!$A$2:$A$995,0)),"")</f>
        <v/>
      </c>
      <c r="C939" s="85" t="str">
        <f t="array" ref="C939">IFerror(INDEX(Papers!D$2:D$995,MATCH($A939, Papers!$A$2:$A$995,0)),"")</f>
        <v/>
      </c>
      <c r="D939" s="86" t="str">
        <f t="array" ref="D939">IFerror(INDEX(Papers!F$2:F$995,MATCH($A939, Papers!$A$2:$A$995,0)),"")</f>
        <v/>
      </c>
      <c r="E939" s="59" t="str">
        <f t="array" ref="E939">IFerror(INDEX(Papers!G$2:G$995,MATCH($A939, Papers!$A$2:$A$995,0)),"")</f>
        <v/>
      </c>
    </row>
    <row r="940">
      <c r="B940" s="85" t="str">
        <f t="array" ref="B940">IFerror(INDEX(Papers!C$2:C$995,MATCH($A940, Papers!$A$2:$A$995,0)),"")</f>
        <v/>
      </c>
      <c r="C940" s="85" t="str">
        <f t="array" ref="C940">IFerror(INDEX(Papers!D$2:D$995,MATCH($A940, Papers!$A$2:$A$995,0)),"")</f>
        <v/>
      </c>
      <c r="D940" s="86" t="str">
        <f t="array" ref="D940">IFerror(INDEX(Papers!F$2:F$995,MATCH($A940, Papers!$A$2:$A$995,0)),"")</f>
        <v/>
      </c>
      <c r="E940" s="59" t="str">
        <f t="array" ref="E940">IFerror(INDEX(Papers!G$2:G$995,MATCH($A940, Papers!$A$2:$A$995,0)),"")</f>
        <v/>
      </c>
    </row>
    <row r="941">
      <c r="B941" s="85" t="str">
        <f t="array" ref="B941">IFerror(INDEX(Papers!C$2:C$995,MATCH($A941, Papers!$A$2:$A$995,0)),"")</f>
        <v/>
      </c>
      <c r="C941" s="85" t="str">
        <f t="array" ref="C941">IFerror(INDEX(Papers!D$2:D$995,MATCH($A941, Papers!$A$2:$A$995,0)),"")</f>
        <v/>
      </c>
      <c r="D941" s="86" t="str">
        <f t="array" ref="D941">IFerror(INDEX(Papers!F$2:F$995,MATCH($A941, Papers!$A$2:$A$995,0)),"")</f>
        <v/>
      </c>
      <c r="E941" s="59" t="str">
        <f t="array" ref="E941">IFerror(INDEX(Papers!G$2:G$995,MATCH($A941, Papers!$A$2:$A$995,0)),"")</f>
        <v/>
      </c>
    </row>
    <row r="942">
      <c r="B942" s="85" t="str">
        <f t="array" ref="B942">IFerror(INDEX(Papers!C$2:C$995,MATCH($A942, Papers!$A$2:$A$995,0)),"")</f>
        <v/>
      </c>
      <c r="C942" s="85" t="str">
        <f t="array" ref="C942">IFerror(INDEX(Papers!D$2:D$995,MATCH($A942, Papers!$A$2:$A$995,0)),"")</f>
        <v/>
      </c>
      <c r="D942" s="86" t="str">
        <f t="array" ref="D942">IFerror(INDEX(Papers!F$2:F$995,MATCH($A942, Papers!$A$2:$A$995,0)),"")</f>
        <v/>
      </c>
      <c r="E942" s="59" t="str">
        <f t="array" ref="E942">IFerror(INDEX(Papers!G$2:G$995,MATCH($A942, Papers!$A$2:$A$995,0)),"")</f>
        <v/>
      </c>
    </row>
    <row r="943">
      <c r="B943" s="85" t="str">
        <f t="array" ref="B943">IFerror(INDEX(Papers!C$2:C$995,MATCH($A943, Papers!$A$2:$A$995,0)),"")</f>
        <v/>
      </c>
      <c r="C943" s="85" t="str">
        <f t="array" ref="C943">IFerror(INDEX(Papers!D$2:D$995,MATCH($A943, Papers!$A$2:$A$995,0)),"")</f>
        <v/>
      </c>
      <c r="D943" s="86" t="str">
        <f t="array" ref="D943">IFerror(INDEX(Papers!F$2:F$995,MATCH($A943, Papers!$A$2:$A$995,0)),"")</f>
        <v/>
      </c>
      <c r="E943" s="59" t="str">
        <f t="array" ref="E943">IFerror(INDEX(Papers!G$2:G$995,MATCH($A943, Papers!$A$2:$A$995,0)),"")</f>
        <v/>
      </c>
    </row>
    <row r="944">
      <c r="B944" s="85" t="str">
        <f t="array" ref="B944">IFerror(INDEX(Papers!C$2:C$995,MATCH($A944, Papers!$A$2:$A$995,0)),"")</f>
        <v/>
      </c>
      <c r="C944" s="85" t="str">
        <f t="array" ref="C944">IFerror(INDEX(Papers!D$2:D$995,MATCH($A944, Papers!$A$2:$A$995,0)),"")</f>
        <v/>
      </c>
      <c r="D944" s="86" t="str">
        <f t="array" ref="D944">IFerror(INDEX(Papers!F$2:F$995,MATCH($A944, Papers!$A$2:$A$995,0)),"")</f>
        <v/>
      </c>
      <c r="E944" s="59" t="str">
        <f t="array" ref="E944">IFerror(INDEX(Papers!G$2:G$995,MATCH($A944, Papers!$A$2:$A$995,0)),"")</f>
        <v/>
      </c>
    </row>
    <row r="945">
      <c r="B945" s="85" t="str">
        <f t="array" ref="B945">IFerror(INDEX(Papers!C$2:C$995,MATCH($A945, Papers!$A$2:$A$995,0)),"")</f>
        <v/>
      </c>
      <c r="C945" s="85" t="str">
        <f t="array" ref="C945">IFerror(INDEX(Papers!D$2:D$995,MATCH($A945, Papers!$A$2:$A$995,0)),"")</f>
        <v/>
      </c>
      <c r="D945" s="86" t="str">
        <f t="array" ref="D945">IFerror(INDEX(Papers!F$2:F$995,MATCH($A945, Papers!$A$2:$A$995,0)),"")</f>
        <v/>
      </c>
      <c r="E945" s="59" t="str">
        <f t="array" ref="E945">IFerror(INDEX(Papers!G$2:G$995,MATCH($A945, Papers!$A$2:$A$995,0)),"")</f>
        <v/>
      </c>
    </row>
    <row r="946">
      <c r="B946" s="85" t="str">
        <f t="array" ref="B946">IFerror(INDEX(Papers!C$2:C$995,MATCH($A946, Papers!$A$2:$A$995,0)),"")</f>
        <v/>
      </c>
      <c r="C946" s="85" t="str">
        <f t="array" ref="C946">IFerror(INDEX(Papers!D$2:D$995,MATCH($A946, Papers!$A$2:$A$995,0)),"")</f>
        <v/>
      </c>
      <c r="D946" s="86" t="str">
        <f t="array" ref="D946">IFerror(INDEX(Papers!F$2:F$995,MATCH($A946, Papers!$A$2:$A$995,0)),"")</f>
        <v/>
      </c>
      <c r="E946" s="59" t="str">
        <f t="array" ref="E946">IFerror(INDEX(Papers!G$2:G$995,MATCH($A946, Papers!$A$2:$A$995,0)),"")</f>
        <v/>
      </c>
    </row>
    <row r="947">
      <c r="B947" s="85" t="str">
        <f t="array" ref="B947">IFerror(INDEX(Papers!C$2:C$995,MATCH($A947, Papers!$A$2:$A$995,0)),"")</f>
        <v/>
      </c>
      <c r="C947" s="85" t="str">
        <f t="array" ref="C947">IFerror(INDEX(Papers!D$2:D$995,MATCH($A947, Papers!$A$2:$A$995,0)),"")</f>
        <v/>
      </c>
      <c r="D947" s="86" t="str">
        <f t="array" ref="D947">IFerror(INDEX(Papers!F$2:F$995,MATCH($A947, Papers!$A$2:$A$995,0)),"")</f>
        <v/>
      </c>
      <c r="E947" s="59" t="str">
        <f t="array" ref="E947">IFerror(INDEX(Papers!G$2:G$995,MATCH($A947, Papers!$A$2:$A$995,0)),"")</f>
        <v/>
      </c>
    </row>
    <row r="948">
      <c r="B948" s="85" t="str">
        <f t="array" ref="B948">IFerror(INDEX(Papers!C$2:C$995,MATCH($A948, Papers!$A$2:$A$995,0)),"")</f>
        <v/>
      </c>
      <c r="C948" s="85" t="str">
        <f t="array" ref="C948">IFerror(INDEX(Papers!D$2:D$995,MATCH($A948, Papers!$A$2:$A$995,0)),"")</f>
        <v/>
      </c>
      <c r="D948" s="86" t="str">
        <f t="array" ref="D948">IFerror(INDEX(Papers!F$2:F$995,MATCH($A948, Papers!$A$2:$A$995,0)),"")</f>
        <v/>
      </c>
      <c r="E948" s="59" t="str">
        <f t="array" ref="E948">IFerror(INDEX(Papers!G$2:G$995,MATCH($A948, Papers!$A$2:$A$995,0)),"")</f>
        <v/>
      </c>
    </row>
    <row r="949">
      <c r="B949" s="85" t="str">
        <f t="array" ref="B949">IFerror(INDEX(Papers!C$2:C$995,MATCH($A949, Papers!$A$2:$A$995,0)),"")</f>
        <v/>
      </c>
      <c r="C949" s="85" t="str">
        <f t="array" ref="C949">IFerror(INDEX(Papers!D$2:D$995,MATCH($A949, Papers!$A$2:$A$995,0)),"")</f>
        <v/>
      </c>
      <c r="D949" s="86" t="str">
        <f t="array" ref="D949">IFerror(INDEX(Papers!F$2:F$995,MATCH($A949, Papers!$A$2:$A$995,0)),"")</f>
        <v/>
      </c>
      <c r="E949" s="59" t="str">
        <f t="array" ref="E949">IFerror(INDEX(Papers!G$2:G$995,MATCH($A949, Papers!$A$2:$A$995,0)),"")</f>
        <v/>
      </c>
    </row>
    <row r="950">
      <c r="B950" s="85" t="str">
        <f t="array" ref="B950">IFerror(INDEX(Papers!C$2:C$995,MATCH($A950, Papers!$A$2:$A$995,0)),"")</f>
        <v/>
      </c>
      <c r="C950" s="85" t="str">
        <f t="array" ref="C950">IFerror(INDEX(Papers!D$2:D$995,MATCH($A950, Papers!$A$2:$A$995,0)),"")</f>
        <v/>
      </c>
      <c r="D950" s="86" t="str">
        <f t="array" ref="D950">IFerror(INDEX(Papers!F$2:F$995,MATCH($A950, Papers!$A$2:$A$995,0)),"")</f>
        <v/>
      </c>
      <c r="E950" s="59" t="str">
        <f t="array" ref="E950">IFerror(INDEX(Papers!G$2:G$995,MATCH($A950, Papers!$A$2:$A$995,0)),"")</f>
        <v/>
      </c>
    </row>
    <row r="951">
      <c r="B951" s="85" t="str">
        <f t="array" ref="B951">IFerror(INDEX(Papers!C$2:C$995,MATCH($A951, Papers!$A$2:$A$995,0)),"")</f>
        <v/>
      </c>
      <c r="C951" s="85" t="str">
        <f t="array" ref="C951">IFerror(INDEX(Papers!D$2:D$995,MATCH($A951, Papers!$A$2:$A$995,0)),"")</f>
        <v/>
      </c>
      <c r="D951" s="86" t="str">
        <f t="array" ref="D951">IFerror(INDEX(Papers!F$2:F$995,MATCH($A951, Papers!$A$2:$A$995,0)),"")</f>
        <v/>
      </c>
      <c r="E951" s="59" t="str">
        <f t="array" ref="E951">IFerror(INDEX(Papers!G$2:G$995,MATCH($A951, Papers!$A$2:$A$995,0)),"")</f>
        <v/>
      </c>
    </row>
    <row r="952">
      <c r="B952" s="85" t="str">
        <f t="array" ref="B952">IFerror(INDEX(Papers!C$2:C$995,MATCH($A952, Papers!$A$2:$A$995,0)),"")</f>
        <v/>
      </c>
      <c r="C952" s="85" t="str">
        <f t="array" ref="C952">IFerror(INDEX(Papers!D$2:D$995,MATCH($A952, Papers!$A$2:$A$995,0)),"")</f>
        <v/>
      </c>
      <c r="D952" s="86" t="str">
        <f t="array" ref="D952">IFerror(INDEX(Papers!F$2:F$995,MATCH($A952, Papers!$A$2:$A$995,0)),"")</f>
        <v/>
      </c>
      <c r="E952" s="59" t="str">
        <f t="array" ref="E952">IFerror(INDEX(Papers!G$2:G$995,MATCH($A952, Papers!$A$2:$A$995,0)),"")</f>
        <v/>
      </c>
    </row>
    <row r="953">
      <c r="B953" s="85" t="str">
        <f t="array" ref="B953">IFerror(INDEX(Papers!C$2:C$995,MATCH($A953, Papers!$A$2:$A$995,0)),"")</f>
        <v/>
      </c>
      <c r="C953" s="85" t="str">
        <f t="array" ref="C953">IFerror(INDEX(Papers!D$2:D$995,MATCH($A953, Papers!$A$2:$A$995,0)),"")</f>
        <v/>
      </c>
      <c r="D953" s="86" t="str">
        <f t="array" ref="D953">IFerror(INDEX(Papers!F$2:F$995,MATCH($A953, Papers!$A$2:$A$995,0)),"")</f>
        <v/>
      </c>
      <c r="E953" s="59" t="str">
        <f t="array" ref="E953">IFerror(INDEX(Papers!G$2:G$995,MATCH($A953, Papers!$A$2:$A$995,0)),"")</f>
        <v/>
      </c>
    </row>
    <row r="954">
      <c r="B954" s="85" t="str">
        <f t="array" ref="B954">IFerror(INDEX(Papers!C$2:C$995,MATCH($A954, Papers!$A$2:$A$995,0)),"")</f>
        <v/>
      </c>
      <c r="C954" s="85" t="str">
        <f t="array" ref="C954">IFerror(INDEX(Papers!D$2:D$995,MATCH($A954, Papers!$A$2:$A$995,0)),"")</f>
        <v/>
      </c>
      <c r="D954" s="86" t="str">
        <f t="array" ref="D954">IFerror(INDEX(Papers!F$2:F$995,MATCH($A954, Papers!$A$2:$A$995,0)),"")</f>
        <v/>
      </c>
      <c r="E954" s="59" t="str">
        <f t="array" ref="E954">IFerror(INDEX(Papers!G$2:G$995,MATCH($A954, Papers!$A$2:$A$995,0)),"")</f>
        <v/>
      </c>
    </row>
    <row r="955">
      <c r="B955" s="85" t="str">
        <f t="array" ref="B955">IFerror(INDEX(Papers!C$2:C$995,MATCH($A955, Papers!$A$2:$A$995,0)),"")</f>
        <v/>
      </c>
      <c r="C955" s="85" t="str">
        <f t="array" ref="C955">IFerror(INDEX(Papers!D$2:D$995,MATCH($A955, Papers!$A$2:$A$995,0)),"")</f>
        <v/>
      </c>
      <c r="D955" s="86" t="str">
        <f t="array" ref="D955">IFerror(INDEX(Papers!F$2:F$995,MATCH($A955, Papers!$A$2:$A$995,0)),"")</f>
        <v/>
      </c>
      <c r="E955" s="59" t="str">
        <f t="array" ref="E955">IFerror(INDEX(Papers!G$2:G$995,MATCH($A955, Papers!$A$2:$A$995,0)),"")</f>
        <v/>
      </c>
    </row>
    <row r="956">
      <c r="B956" s="85" t="str">
        <f t="array" ref="B956">IFerror(INDEX(Papers!C$2:C$995,MATCH($A956, Papers!$A$2:$A$995,0)),"")</f>
        <v/>
      </c>
      <c r="C956" s="85" t="str">
        <f t="array" ref="C956">IFerror(INDEX(Papers!D$2:D$995,MATCH($A956, Papers!$A$2:$A$995,0)),"")</f>
        <v/>
      </c>
      <c r="D956" s="86" t="str">
        <f t="array" ref="D956">IFerror(INDEX(Papers!F$2:F$995,MATCH($A956, Papers!$A$2:$A$995,0)),"")</f>
        <v/>
      </c>
      <c r="E956" s="59" t="str">
        <f t="array" ref="E956">IFerror(INDEX(Papers!G$2:G$995,MATCH($A956, Papers!$A$2:$A$995,0)),"")</f>
        <v/>
      </c>
    </row>
    <row r="957">
      <c r="B957" s="85" t="str">
        <f t="array" ref="B957">IFerror(INDEX(Papers!C$2:C$995,MATCH($A957, Papers!$A$2:$A$995,0)),"")</f>
        <v/>
      </c>
      <c r="C957" s="85" t="str">
        <f t="array" ref="C957">IFerror(INDEX(Papers!D$2:D$995,MATCH($A957, Papers!$A$2:$A$995,0)),"")</f>
        <v/>
      </c>
      <c r="D957" s="86" t="str">
        <f t="array" ref="D957">IFerror(INDEX(Papers!F$2:F$995,MATCH($A957, Papers!$A$2:$A$995,0)),"")</f>
        <v/>
      </c>
      <c r="E957" s="59" t="str">
        <f t="array" ref="E957">IFerror(INDEX(Papers!G$2:G$995,MATCH($A957, Papers!$A$2:$A$995,0)),"")</f>
        <v/>
      </c>
    </row>
    <row r="958">
      <c r="B958" s="85" t="str">
        <f t="array" ref="B958">IFerror(INDEX(Papers!C$2:C$995,MATCH($A958, Papers!$A$2:$A$995,0)),"")</f>
        <v/>
      </c>
      <c r="C958" s="85" t="str">
        <f t="array" ref="C958">IFerror(INDEX(Papers!D$2:D$995,MATCH($A958, Papers!$A$2:$A$995,0)),"")</f>
        <v/>
      </c>
      <c r="D958" s="86" t="str">
        <f t="array" ref="D958">IFerror(INDEX(Papers!F$2:F$995,MATCH($A958, Papers!$A$2:$A$995,0)),"")</f>
        <v/>
      </c>
      <c r="E958" s="59" t="str">
        <f t="array" ref="E958">IFerror(INDEX(Papers!G$2:G$995,MATCH($A958, Papers!$A$2:$A$995,0)),"")</f>
        <v/>
      </c>
    </row>
    <row r="959">
      <c r="B959" s="85" t="str">
        <f t="array" ref="B959">IFerror(INDEX(Papers!C$2:C$995,MATCH($A959, Papers!$A$2:$A$995,0)),"")</f>
        <v/>
      </c>
      <c r="C959" s="85" t="str">
        <f t="array" ref="C959">IFerror(INDEX(Papers!D$2:D$995,MATCH($A959, Papers!$A$2:$A$995,0)),"")</f>
        <v/>
      </c>
      <c r="D959" s="86" t="str">
        <f t="array" ref="D959">IFerror(INDEX(Papers!F$2:F$995,MATCH($A959, Papers!$A$2:$A$995,0)),"")</f>
        <v/>
      </c>
      <c r="E959" s="59" t="str">
        <f t="array" ref="E959">IFerror(INDEX(Papers!G$2:G$995,MATCH($A959, Papers!$A$2:$A$995,0)),"")</f>
        <v/>
      </c>
    </row>
    <row r="960">
      <c r="B960" s="85" t="str">
        <f t="array" ref="B960">IFerror(INDEX(Papers!C$2:C$995,MATCH($A960, Papers!$A$2:$A$995,0)),"")</f>
        <v/>
      </c>
      <c r="C960" s="85" t="str">
        <f t="array" ref="C960">IFerror(INDEX(Papers!D$2:D$995,MATCH($A960, Papers!$A$2:$A$995,0)),"")</f>
        <v/>
      </c>
      <c r="D960" s="86" t="str">
        <f t="array" ref="D960">IFerror(INDEX(Papers!F$2:F$995,MATCH($A960, Papers!$A$2:$A$995,0)),"")</f>
        <v/>
      </c>
      <c r="E960" s="59" t="str">
        <f t="array" ref="E960">IFerror(INDEX(Papers!G$2:G$995,MATCH($A960, Papers!$A$2:$A$995,0)),"")</f>
        <v/>
      </c>
    </row>
    <row r="961">
      <c r="B961" s="85" t="str">
        <f t="array" ref="B961">IFerror(INDEX(Papers!C$2:C$995,MATCH($A961, Papers!$A$2:$A$995,0)),"")</f>
        <v/>
      </c>
      <c r="C961" s="85" t="str">
        <f t="array" ref="C961">IFerror(INDEX(Papers!D$2:D$995,MATCH($A961, Papers!$A$2:$A$995,0)),"")</f>
        <v/>
      </c>
      <c r="D961" s="86" t="str">
        <f t="array" ref="D961">IFerror(INDEX(Papers!F$2:F$995,MATCH($A961, Papers!$A$2:$A$995,0)),"")</f>
        <v/>
      </c>
      <c r="E961" s="59" t="str">
        <f t="array" ref="E961">IFerror(INDEX(Papers!G$2:G$995,MATCH($A961, Papers!$A$2:$A$995,0)),"")</f>
        <v/>
      </c>
    </row>
    <row r="962">
      <c r="B962" s="85" t="str">
        <f t="array" ref="B962">IFerror(INDEX(Papers!C$2:C$995,MATCH($A962, Papers!$A$2:$A$995,0)),"")</f>
        <v/>
      </c>
      <c r="C962" s="85" t="str">
        <f t="array" ref="C962">IFerror(INDEX(Papers!D$2:D$995,MATCH($A962, Papers!$A$2:$A$995,0)),"")</f>
        <v/>
      </c>
      <c r="D962" s="86" t="str">
        <f t="array" ref="D962">IFerror(INDEX(Papers!F$2:F$995,MATCH($A962, Papers!$A$2:$A$995,0)),"")</f>
        <v/>
      </c>
      <c r="E962" s="59" t="str">
        <f t="array" ref="E962">IFerror(INDEX(Papers!G$2:G$995,MATCH($A962, Papers!$A$2:$A$995,0)),"")</f>
        <v/>
      </c>
    </row>
    <row r="963">
      <c r="B963" s="85" t="str">
        <f t="array" ref="B963">IFerror(INDEX(Papers!C$2:C$995,MATCH($A963, Papers!$A$2:$A$995,0)),"")</f>
        <v/>
      </c>
      <c r="C963" s="85" t="str">
        <f t="array" ref="C963">IFerror(INDEX(Papers!D$2:D$995,MATCH($A963, Papers!$A$2:$A$995,0)),"")</f>
        <v/>
      </c>
      <c r="D963" s="86" t="str">
        <f t="array" ref="D963">IFerror(INDEX(Papers!F$2:F$995,MATCH($A963, Papers!$A$2:$A$995,0)),"")</f>
        <v/>
      </c>
      <c r="E963" s="59" t="str">
        <f t="array" ref="E963">IFerror(INDEX(Papers!G$2:G$995,MATCH($A963, Papers!$A$2:$A$995,0)),"")</f>
        <v/>
      </c>
    </row>
    <row r="964">
      <c r="B964" s="85" t="str">
        <f t="array" ref="B964">IFerror(INDEX(Papers!C$2:C$995,MATCH($A964, Papers!$A$2:$A$995,0)),"")</f>
        <v/>
      </c>
      <c r="C964" s="85" t="str">
        <f t="array" ref="C964">IFerror(INDEX(Papers!D$2:D$995,MATCH($A964, Papers!$A$2:$A$995,0)),"")</f>
        <v/>
      </c>
      <c r="D964" s="86" t="str">
        <f t="array" ref="D964">IFerror(INDEX(Papers!F$2:F$995,MATCH($A964, Papers!$A$2:$A$995,0)),"")</f>
        <v/>
      </c>
      <c r="E964" s="59" t="str">
        <f t="array" ref="E964">IFerror(INDEX(Papers!G$2:G$995,MATCH($A964, Papers!$A$2:$A$995,0)),"")</f>
        <v/>
      </c>
    </row>
    <row r="965">
      <c r="B965" s="85" t="str">
        <f t="array" ref="B965">IFerror(INDEX(Papers!C$2:C$995,MATCH($A965, Papers!$A$2:$A$995,0)),"")</f>
        <v/>
      </c>
      <c r="C965" s="85" t="str">
        <f t="array" ref="C965">IFerror(INDEX(Papers!D$2:D$995,MATCH($A965, Papers!$A$2:$A$995,0)),"")</f>
        <v/>
      </c>
      <c r="D965" s="86" t="str">
        <f t="array" ref="D965">IFerror(INDEX(Papers!F$2:F$995,MATCH($A965, Papers!$A$2:$A$995,0)),"")</f>
        <v/>
      </c>
      <c r="E965" s="59" t="str">
        <f t="array" ref="E965">IFerror(INDEX(Papers!G$2:G$995,MATCH($A965, Papers!$A$2:$A$995,0)),"")</f>
        <v/>
      </c>
    </row>
    <row r="966">
      <c r="B966" s="85" t="str">
        <f t="array" ref="B966">IFerror(INDEX(Papers!C$2:C$995,MATCH($A966, Papers!$A$2:$A$995,0)),"")</f>
        <v/>
      </c>
      <c r="C966" s="85" t="str">
        <f t="array" ref="C966">IFerror(INDEX(Papers!D$2:D$995,MATCH($A966, Papers!$A$2:$A$995,0)),"")</f>
        <v/>
      </c>
      <c r="D966" s="86" t="str">
        <f t="array" ref="D966">IFerror(INDEX(Papers!F$2:F$995,MATCH($A966, Papers!$A$2:$A$995,0)),"")</f>
        <v/>
      </c>
      <c r="E966" s="59" t="str">
        <f t="array" ref="E966">IFerror(INDEX(Papers!G$2:G$995,MATCH($A966, Papers!$A$2:$A$995,0)),"")</f>
        <v/>
      </c>
    </row>
    <row r="967">
      <c r="B967" s="85" t="str">
        <f t="array" ref="B967">IFerror(INDEX(Papers!C$2:C$995,MATCH($A967, Papers!$A$2:$A$995,0)),"")</f>
        <v/>
      </c>
      <c r="C967" s="85" t="str">
        <f t="array" ref="C967">IFerror(INDEX(Papers!D$2:D$995,MATCH($A967, Papers!$A$2:$A$995,0)),"")</f>
        <v/>
      </c>
      <c r="D967" s="86" t="str">
        <f t="array" ref="D967">IFerror(INDEX(Papers!F$2:F$995,MATCH($A967, Papers!$A$2:$A$995,0)),"")</f>
        <v/>
      </c>
      <c r="E967" s="59" t="str">
        <f t="array" ref="E967">IFerror(INDEX(Papers!G$2:G$995,MATCH($A967, Papers!$A$2:$A$995,0)),"")</f>
        <v/>
      </c>
    </row>
    <row r="968">
      <c r="B968" s="85" t="str">
        <f t="array" ref="B968">IFerror(INDEX(Papers!C$2:C$995,MATCH($A968, Papers!$A$2:$A$995,0)),"")</f>
        <v/>
      </c>
      <c r="C968" s="85" t="str">
        <f t="array" ref="C968">IFerror(INDEX(Papers!D$2:D$995,MATCH($A968, Papers!$A$2:$A$995,0)),"")</f>
        <v/>
      </c>
      <c r="D968" s="86" t="str">
        <f t="array" ref="D968">IFerror(INDEX(Papers!F$2:F$995,MATCH($A968, Papers!$A$2:$A$995,0)),"")</f>
        <v/>
      </c>
      <c r="E968" s="59" t="str">
        <f t="array" ref="E968">IFerror(INDEX(Papers!G$2:G$995,MATCH($A968, Papers!$A$2:$A$995,0)),"")</f>
        <v/>
      </c>
    </row>
    <row r="969">
      <c r="B969" s="85" t="str">
        <f t="array" ref="B969">IFerror(INDEX(Papers!C$2:C$995,MATCH($A969, Papers!$A$2:$A$995,0)),"")</f>
        <v/>
      </c>
      <c r="C969" s="85" t="str">
        <f t="array" ref="C969">IFerror(INDEX(Papers!D$2:D$995,MATCH($A969, Papers!$A$2:$A$995,0)),"")</f>
        <v/>
      </c>
      <c r="D969" s="86" t="str">
        <f t="array" ref="D969">IFerror(INDEX(Papers!F$2:F$995,MATCH($A969, Papers!$A$2:$A$995,0)),"")</f>
        <v/>
      </c>
      <c r="E969" s="59" t="str">
        <f t="array" ref="E969">IFerror(INDEX(Papers!G$2:G$995,MATCH($A969, Papers!$A$2:$A$995,0)),"")</f>
        <v/>
      </c>
    </row>
    <row r="970">
      <c r="B970" s="85" t="str">
        <f t="array" ref="B970">IFerror(INDEX(Papers!C$2:C$995,MATCH($A970, Papers!$A$2:$A$995,0)),"")</f>
        <v/>
      </c>
      <c r="C970" s="85" t="str">
        <f t="array" ref="C970">IFerror(INDEX(Papers!D$2:D$995,MATCH($A970, Papers!$A$2:$A$995,0)),"")</f>
        <v/>
      </c>
      <c r="D970" s="86" t="str">
        <f t="array" ref="D970">IFerror(INDEX(Papers!F$2:F$995,MATCH($A970, Papers!$A$2:$A$995,0)),"")</f>
        <v/>
      </c>
      <c r="E970" s="59" t="str">
        <f t="array" ref="E970">IFerror(INDEX(Papers!G$2:G$995,MATCH($A970, Papers!$A$2:$A$995,0)),"")</f>
        <v/>
      </c>
    </row>
    <row r="971">
      <c r="B971" s="85" t="str">
        <f t="array" ref="B971">IFerror(INDEX(Papers!C$2:C$995,MATCH($A971, Papers!$A$2:$A$995,0)),"")</f>
        <v/>
      </c>
      <c r="C971" s="85" t="str">
        <f t="array" ref="C971">IFerror(INDEX(Papers!D$2:D$995,MATCH($A971, Papers!$A$2:$A$995,0)),"")</f>
        <v/>
      </c>
      <c r="D971" s="86" t="str">
        <f t="array" ref="D971">IFerror(INDEX(Papers!F$2:F$995,MATCH($A971, Papers!$A$2:$A$995,0)),"")</f>
        <v/>
      </c>
      <c r="E971" s="59" t="str">
        <f t="array" ref="E971">IFerror(INDEX(Papers!G$2:G$995,MATCH($A971, Papers!$A$2:$A$995,0)),"")</f>
        <v/>
      </c>
    </row>
    <row r="972">
      <c r="B972" s="85" t="str">
        <f t="array" ref="B972">IFerror(INDEX(Papers!C$2:C$995,MATCH($A972, Papers!$A$2:$A$995,0)),"")</f>
        <v/>
      </c>
      <c r="C972" s="85" t="str">
        <f t="array" ref="C972">IFerror(INDEX(Papers!D$2:D$995,MATCH($A972, Papers!$A$2:$A$995,0)),"")</f>
        <v/>
      </c>
      <c r="D972" s="86" t="str">
        <f t="array" ref="D972">IFerror(INDEX(Papers!F$2:F$995,MATCH($A972, Papers!$A$2:$A$995,0)),"")</f>
        <v/>
      </c>
      <c r="E972" s="59" t="str">
        <f t="array" ref="E972">IFerror(INDEX(Papers!G$2:G$995,MATCH($A972, Papers!$A$2:$A$995,0)),"")</f>
        <v/>
      </c>
    </row>
    <row r="973">
      <c r="B973" s="85" t="str">
        <f t="array" ref="B973">IFerror(INDEX(Papers!C$2:C$995,MATCH($A973, Papers!$A$2:$A$995,0)),"")</f>
        <v/>
      </c>
      <c r="C973" s="85" t="str">
        <f t="array" ref="C973">IFerror(INDEX(Papers!D$2:D$995,MATCH($A973, Papers!$A$2:$A$995,0)),"")</f>
        <v/>
      </c>
      <c r="D973" s="86" t="str">
        <f t="array" ref="D973">IFerror(INDEX(Papers!F$2:F$995,MATCH($A973, Papers!$A$2:$A$995,0)),"")</f>
        <v/>
      </c>
      <c r="E973" s="59" t="str">
        <f t="array" ref="E973">IFerror(INDEX(Papers!G$2:G$995,MATCH($A973, Papers!$A$2:$A$995,0)),"")</f>
        <v/>
      </c>
    </row>
    <row r="974">
      <c r="B974" s="85" t="str">
        <f t="array" ref="B974">IFerror(INDEX(Papers!C$2:C$995,MATCH($A974, Papers!$A$2:$A$995,0)),"")</f>
        <v/>
      </c>
      <c r="C974" s="85" t="str">
        <f t="array" ref="C974">IFerror(INDEX(Papers!D$2:D$995,MATCH($A974, Papers!$A$2:$A$995,0)),"")</f>
        <v/>
      </c>
      <c r="D974" s="86" t="str">
        <f t="array" ref="D974">IFerror(INDEX(Papers!F$2:F$995,MATCH($A974, Papers!$A$2:$A$995,0)),"")</f>
        <v/>
      </c>
      <c r="E974" s="59" t="str">
        <f t="array" ref="E974">IFerror(INDEX(Papers!G$2:G$995,MATCH($A974, Papers!$A$2:$A$995,0)),"")</f>
        <v/>
      </c>
    </row>
    <row r="975">
      <c r="B975" s="85" t="str">
        <f t="array" ref="B975">IFerror(INDEX(Papers!C$2:C$995,MATCH($A975, Papers!$A$2:$A$995,0)),"")</f>
        <v/>
      </c>
      <c r="C975" s="85" t="str">
        <f t="array" ref="C975">IFerror(INDEX(Papers!D$2:D$995,MATCH($A975, Papers!$A$2:$A$995,0)),"")</f>
        <v/>
      </c>
      <c r="D975" s="86" t="str">
        <f t="array" ref="D975">IFerror(INDEX(Papers!F$2:F$995,MATCH($A975, Papers!$A$2:$A$995,0)),"")</f>
        <v/>
      </c>
      <c r="E975" s="59" t="str">
        <f t="array" ref="E975">IFerror(INDEX(Papers!G$2:G$995,MATCH($A975, Papers!$A$2:$A$995,0)),"")</f>
        <v/>
      </c>
    </row>
    <row r="976">
      <c r="B976" s="85" t="str">
        <f t="array" ref="B976">IFerror(INDEX(Papers!C$2:C$995,MATCH($A976, Papers!$A$2:$A$995,0)),"")</f>
        <v/>
      </c>
      <c r="C976" s="85" t="str">
        <f t="array" ref="C976">IFerror(INDEX(Papers!D$2:D$995,MATCH($A976, Papers!$A$2:$A$995,0)),"")</f>
        <v/>
      </c>
      <c r="D976" s="86" t="str">
        <f t="array" ref="D976">IFerror(INDEX(Papers!F$2:F$995,MATCH($A976, Papers!$A$2:$A$995,0)),"")</f>
        <v/>
      </c>
      <c r="E976" s="59" t="str">
        <f t="array" ref="E976">IFerror(INDEX(Papers!G$2:G$995,MATCH($A976, Papers!$A$2:$A$995,0)),"")</f>
        <v/>
      </c>
    </row>
    <row r="977">
      <c r="B977" s="85" t="str">
        <f t="array" ref="B977">IFerror(INDEX(Papers!C$2:C$995,MATCH($A977, Papers!$A$2:$A$995,0)),"")</f>
        <v/>
      </c>
      <c r="C977" s="85" t="str">
        <f t="array" ref="C977">IFerror(INDEX(Papers!D$2:D$995,MATCH($A977, Papers!$A$2:$A$995,0)),"")</f>
        <v/>
      </c>
      <c r="D977" s="86" t="str">
        <f t="array" ref="D977">IFerror(INDEX(Papers!F$2:F$995,MATCH($A977, Papers!$A$2:$A$995,0)),"")</f>
        <v/>
      </c>
      <c r="E977" s="59" t="str">
        <f t="array" ref="E977">IFerror(INDEX(Papers!G$2:G$995,MATCH($A977, Papers!$A$2:$A$995,0)),"")</f>
        <v/>
      </c>
    </row>
    <row r="978">
      <c r="B978" s="85" t="str">
        <f t="array" ref="B978">IFerror(INDEX(Papers!C$2:C$995,MATCH($A978, Papers!$A$2:$A$995,0)),"")</f>
        <v/>
      </c>
      <c r="C978" s="85" t="str">
        <f t="array" ref="C978">IFerror(INDEX(Papers!D$2:D$995,MATCH($A978, Papers!$A$2:$A$995,0)),"")</f>
        <v/>
      </c>
      <c r="D978" s="86" t="str">
        <f t="array" ref="D978">IFerror(INDEX(Papers!F$2:F$995,MATCH($A978, Papers!$A$2:$A$995,0)),"")</f>
        <v/>
      </c>
      <c r="E978" s="59" t="str">
        <f t="array" ref="E978">IFerror(INDEX(Papers!G$2:G$995,MATCH($A978, Papers!$A$2:$A$995,0)),"")</f>
        <v/>
      </c>
    </row>
    <row r="979">
      <c r="B979" s="85" t="str">
        <f t="array" ref="B979">IFerror(INDEX(Papers!C$2:C$995,MATCH($A979, Papers!$A$2:$A$995,0)),"")</f>
        <v/>
      </c>
      <c r="C979" s="85" t="str">
        <f t="array" ref="C979">IFerror(INDEX(Papers!D$2:D$995,MATCH($A979, Papers!$A$2:$A$995,0)),"")</f>
        <v/>
      </c>
      <c r="D979" s="86" t="str">
        <f t="array" ref="D979">IFerror(INDEX(Papers!F$2:F$995,MATCH($A979, Papers!$A$2:$A$995,0)),"")</f>
        <v/>
      </c>
      <c r="E979" s="59" t="str">
        <f t="array" ref="E979">IFerror(INDEX(Papers!G$2:G$995,MATCH($A979, Papers!$A$2:$A$995,0)),"")</f>
        <v/>
      </c>
    </row>
    <row r="980">
      <c r="B980" s="85" t="str">
        <f t="array" ref="B980">IFerror(INDEX(Papers!C$2:C$995,MATCH($A980, Papers!$A$2:$A$995,0)),"")</f>
        <v/>
      </c>
      <c r="C980" s="85" t="str">
        <f t="array" ref="C980">IFerror(INDEX(Papers!D$2:D$995,MATCH($A980, Papers!$A$2:$A$995,0)),"")</f>
        <v/>
      </c>
      <c r="D980" s="86" t="str">
        <f t="array" ref="D980">IFerror(INDEX(Papers!F$2:F$995,MATCH($A980, Papers!$A$2:$A$995,0)),"")</f>
        <v/>
      </c>
      <c r="E980" s="59" t="str">
        <f t="array" ref="E980">IFerror(INDEX(Papers!G$2:G$995,MATCH($A980, Papers!$A$2:$A$995,0)),"")</f>
        <v/>
      </c>
    </row>
    <row r="981">
      <c r="B981" s="85" t="str">
        <f t="array" ref="B981">IFerror(INDEX(Papers!C$2:C$995,MATCH($A981, Papers!$A$2:$A$995,0)),"")</f>
        <v/>
      </c>
      <c r="C981" s="85" t="str">
        <f t="array" ref="C981">IFerror(INDEX(Papers!D$2:D$995,MATCH($A981, Papers!$A$2:$A$995,0)),"")</f>
        <v/>
      </c>
      <c r="D981" s="86" t="str">
        <f t="array" ref="D981">IFerror(INDEX(Papers!F$2:F$995,MATCH($A981, Papers!$A$2:$A$995,0)),"")</f>
        <v/>
      </c>
      <c r="E981" s="59" t="str">
        <f t="array" ref="E981">IFerror(INDEX(Papers!G$2:G$995,MATCH($A981, Papers!$A$2:$A$995,0)),"")</f>
        <v/>
      </c>
    </row>
    <row r="982">
      <c r="B982" s="85" t="str">
        <f t="array" ref="B982">IFerror(INDEX(Papers!C$2:C$995,MATCH($A982, Papers!$A$2:$A$995,0)),"")</f>
        <v/>
      </c>
      <c r="C982" s="85" t="str">
        <f t="array" ref="C982">IFerror(INDEX(Papers!D$2:D$995,MATCH($A982, Papers!$A$2:$A$995,0)),"")</f>
        <v/>
      </c>
      <c r="D982" s="86" t="str">
        <f t="array" ref="D982">IFerror(INDEX(Papers!F$2:F$995,MATCH($A982, Papers!$A$2:$A$995,0)),"")</f>
        <v/>
      </c>
      <c r="E982" s="59" t="str">
        <f t="array" ref="E982">IFerror(INDEX(Papers!G$2:G$995,MATCH($A982, Papers!$A$2:$A$995,0)),"")</f>
        <v/>
      </c>
    </row>
    <row r="983">
      <c r="B983" s="85" t="str">
        <f t="array" ref="B983">IFerror(INDEX(Papers!C$2:C$995,MATCH($A983, Papers!$A$2:$A$995,0)),"")</f>
        <v/>
      </c>
      <c r="C983" s="85" t="str">
        <f t="array" ref="C983">IFerror(INDEX(Papers!D$2:D$995,MATCH($A983, Papers!$A$2:$A$995,0)),"")</f>
        <v/>
      </c>
      <c r="D983" s="86" t="str">
        <f t="array" ref="D983">IFerror(INDEX(Papers!F$2:F$995,MATCH($A983, Papers!$A$2:$A$995,0)),"")</f>
        <v/>
      </c>
      <c r="E983" s="59" t="str">
        <f t="array" ref="E983">IFerror(INDEX(Papers!G$2:G$995,MATCH($A983, Papers!$A$2:$A$995,0)),"")</f>
        <v/>
      </c>
    </row>
    <row r="984">
      <c r="B984" s="85" t="str">
        <f t="array" ref="B984">IFerror(INDEX(Papers!C$2:C$995,MATCH($A984, Papers!$A$2:$A$995,0)),"")</f>
        <v/>
      </c>
      <c r="C984" s="85" t="str">
        <f t="array" ref="C984">IFerror(INDEX(Papers!D$2:D$995,MATCH($A984, Papers!$A$2:$A$995,0)),"")</f>
        <v/>
      </c>
      <c r="D984" s="86" t="str">
        <f t="array" ref="D984">IFerror(INDEX(Papers!F$2:F$995,MATCH($A984, Papers!$A$2:$A$995,0)),"")</f>
        <v/>
      </c>
      <c r="E984" s="59" t="str">
        <f t="array" ref="E984">IFerror(INDEX(Papers!G$2:G$995,MATCH($A984, Papers!$A$2:$A$995,0)),"")</f>
        <v/>
      </c>
    </row>
    <row r="985">
      <c r="B985" s="85" t="str">
        <f t="array" ref="B985">IFerror(INDEX(Papers!C$2:C$995,MATCH($A985, Papers!$A$2:$A$995,0)),"")</f>
        <v/>
      </c>
      <c r="C985" s="85" t="str">
        <f t="array" ref="C985">IFerror(INDEX(Papers!D$2:D$995,MATCH($A985, Papers!$A$2:$A$995,0)),"")</f>
        <v/>
      </c>
      <c r="D985" s="86" t="str">
        <f t="array" ref="D985">IFerror(INDEX(Papers!F$2:F$995,MATCH($A985, Papers!$A$2:$A$995,0)),"")</f>
        <v/>
      </c>
      <c r="E985" s="59" t="str">
        <f t="array" ref="E985">IFerror(INDEX(Papers!G$2:G$995,MATCH($A985, Papers!$A$2:$A$995,0)),"")</f>
        <v/>
      </c>
    </row>
    <row r="986">
      <c r="B986" s="85" t="str">
        <f t="array" ref="B986">IFerror(INDEX(Papers!C$2:C$995,MATCH($A986, Papers!$A$2:$A$995,0)),"")</f>
        <v/>
      </c>
      <c r="C986" s="85" t="str">
        <f t="array" ref="C986">IFerror(INDEX(Papers!D$2:D$995,MATCH($A986, Papers!$A$2:$A$995,0)),"")</f>
        <v/>
      </c>
      <c r="D986" s="86" t="str">
        <f t="array" ref="D986">IFerror(INDEX(Papers!F$2:F$995,MATCH($A986, Papers!$A$2:$A$995,0)),"")</f>
        <v/>
      </c>
      <c r="E986" s="59" t="str">
        <f t="array" ref="E986">IFerror(INDEX(Papers!G$2:G$995,MATCH($A986, Papers!$A$2:$A$995,0)),"")</f>
        <v/>
      </c>
    </row>
    <row r="987">
      <c r="B987" s="85" t="str">
        <f t="array" ref="B987">IFerror(INDEX(Papers!C$2:C$995,MATCH($A987, Papers!$A$2:$A$995,0)),"")</f>
        <v/>
      </c>
      <c r="C987" s="85" t="str">
        <f t="array" ref="C987">IFerror(INDEX(Papers!D$2:D$995,MATCH($A987, Papers!$A$2:$A$995,0)),"")</f>
        <v/>
      </c>
      <c r="D987" s="86" t="str">
        <f t="array" ref="D987">IFerror(INDEX(Papers!F$2:F$995,MATCH($A987, Papers!$A$2:$A$995,0)),"")</f>
        <v/>
      </c>
      <c r="E987" s="59" t="str">
        <f t="array" ref="E987">IFerror(INDEX(Papers!G$2:G$995,MATCH($A987, Papers!$A$2:$A$995,0)),"")</f>
        <v/>
      </c>
    </row>
    <row r="988">
      <c r="B988" s="85" t="str">
        <f t="array" ref="B988">IFerror(INDEX(Papers!C$2:C$995,MATCH($A988, Papers!$A$2:$A$995,0)),"")</f>
        <v/>
      </c>
      <c r="C988" s="85" t="str">
        <f t="array" ref="C988">IFerror(INDEX(Papers!D$2:D$995,MATCH($A988, Papers!$A$2:$A$995,0)),"")</f>
        <v/>
      </c>
      <c r="D988" s="86" t="str">
        <f t="array" ref="D988">IFerror(INDEX(Papers!F$2:F$995,MATCH($A988, Papers!$A$2:$A$995,0)),"")</f>
        <v/>
      </c>
      <c r="E988" s="59" t="str">
        <f t="array" ref="E988">IFerror(INDEX(Papers!G$2:G$995,MATCH($A988, Papers!$A$2:$A$995,0)),"")</f>
        <v/>
      </c>
    </row>
    <row r="989">
      <c r="B989" s="85" t="str">
        <f t="array" ref="B989">IFerror(INDEX(Papers!C$2:C$995,MATCH($A989, Papers!$A$2:$A$995,0)),"")</f>
        <v/>
      </c>
      <c r="C989" s="85" t="str">
        <f t="array" ref="C989">IFerror(INDEX(Papers!D$2:D$995,MATCH($A989, Papers!$A$2:$A$995,0)),"")</f>
        <v/>
      </c>
      <c r="D989" s="86" t="str">
        <f t="array" ref="D989">IFerror(INDEX(Papers!F$2:F$995,MATCH($A989, Papers!$A$2:$A$995,0)),"")</f>
        <v/>
      </c>
      <c r="E989" s="59" t="str">
        <f t="array" ref="E989">IFerror(INDEX(Papers!G$2:G$995,MATCH($A989, Papers!$A$2:$A$995,0)),"")</f>
        <v/>
      </c>
    </row>
    <row r="990">
      <c r="B990" s="85" t="str">
        <f t="array" ref="B990">IFerror(INDEX(Papers!C$2:C$995,MATCH($A990, Papers!$A$2:$A$995,0)),"")</f>
        <v/>
      </c>
      <c r="C990" s="85" t="str">
        <f t="array" ref="C990">IFerror(INDEX(Papers!D$2:D$995,MATCH($A990, Papers!$A$2:$A$995,0)),"")</f>
        <v/>
      </c>
      <c r="D990" s="86" t="str">
        <f t="array" ref="D990">IFerror(INDEX(Papers!F$2:F$995,MATCH($A990, Papers!$A$2:$A$995,0)),"")</f>
        <v/>
      </c>
      <c r="E990" s="59" t="str">
        <f t="array" ref="E990">IFerror(INDEX(Papers!G$2:G$995,MATCH($A990, Papers!$A$2:$A$995,0)),"")</f>
        <v/>
      </c>
    </row>
    <row r="991">
      <c r="B991" s="85" t="str">
        <f t="array" ref="B991">IFerror(INDEX(Papers!C$2:C$995,MATCH($A991, Papers!$A$2:$A$995,0)),"")</f>
        <v/>
      </c>
      <c r="C991" s="85" t="str">
        <f t="array" ref="C991">IFerror(INDEX(Papers!D$2:D$995,MATCH($A991, Papers!$A$2:$A$995,0)),"")</f>
        <v/>
      </c>
      <c r="D991" s="86" t="str">
        <f t="array" ref="D991">IFerror(INDEX(Papers!F$2:F$995,MATCH($A991, Papers!$A$2:$A$995,0)),"")</f>
        <v/>
      </c>
      <c r="E991" s="59" t="str">
        <f t="array" ref="E991">IFerror(INDEX(Papers!G$2:G$995,MATCH($A991, Papers!$A$2:$A$995,0)),"")</f>
        <v/>
      </c>
    </row>
    <row r="992">
      <c r="B992" s="85" t="str">
        <f t="array" ref="B992">IFerror(INDEX(Papers!C$2:C$995,MATCH($A992, Papers!$A$2:$A$995,0)),"")</f>
        <v/>
      </c>
      <c r="C992" s="85" t="str">
        <f t="array" ref="C992">IFerror(INDEX(Papers!D$2:D$995,MATCH($A992, Papers!$A$2:$A$995,0)),"")</f>
        <v/>
      </c>
      <c r="D992" s="86" t="str">
        <f t="array" ref="D992">IFerror(INDEX(Papers!F$2:F$995,MATCH($A992, Papers!$A$2:$A$995,0)),"")</f>
        <v/>
      </c>
      <c r="E992" s="59" t="str">
        <f t="array" ref="E992">IFerror(INDEX(Papers!G$2:G$995,MATCH($A992, Papers!$A$2:$A$995,0)),"")</f>
        <v/>
      </c>
    </row>
    <row r="993">
      <c r="B993" s="85" t="str">
        <f t="array" ref="B993">IFerror(INDEX(Papers!C$2:C$995,MATCH($A993, Papers!$A$2:$A$995,0)),"")</f>
        <v/>
      </c>
      <c r="C993" s="85" t="str">
        <f t="array" ref="C993">IFerror(INDEX(Papers!D$2:D$995,MATCH($A993, Papers!$A$2:$A$995,0)),"")</f>
        <v/>
      </c>
      <c r="D993" s="86" t="str">
        <f t="array" ref="D993">IFerror(INDEX(Papers!F$2:F$995,MATCH($A993, Papers!$A$2:$A$995,0)),"")</f>
        <v/>
      </c>
      <c r="E993" s="59" t="str">
        <f t="array" ref="E993">IFerror(INDEX(Papers!G$2:G$995,MATCH($A993, Papers!$A$2:$A$995,0)),"")</f>
        <v/>
      </c>
    </row>
    <row r="994">
      <c r="B994" s="85" t="str">
        <f t="array" ref="B994">IFerror(INDEX(Papers!C$2:C$995,MATCH($A994, Papers!$A$2:$A$995,0)),"")</f>
        <v/>
      </c>
      <c r="C994" s="85" t="str">
        <f t="array" ref="C994">IFerror(INDEX(Papers!D$2:D$995,MATCH($A994, Papers!$A$2:$A$995,0)),"")</f>
        <v/>
      </c>
      <c r="D994" s="86" t="str">
        <f t="array" ref="D994">IFerror(INDEX(Papers!F$2:F$995,MATCH($A994, Papers!$A$2:$A$995,0)),"")</f>
        <v/>
      </c>
      <c r="E994" s="59" t="str">
        <f t="array" ref="E994">IFerror(INDEX(Papers!G$2:G$995,MATCH($A994, Papers!$A$2:$A$995,0)),"")</f>
        <v/>
      </c>
    </row>
    <row r="995">
      <c r="B995" s="85" t="str">
        <f t="array" ref="B995">IFerror(INDEX(Papers!C$2:C$995,MATCH($A995, Papers!$A$2:$A$995,0)),"")</f>
        <v/>
      </c>
      <c r="C995" s="85" t="str">
        <f t="array" ref="C995">IFerror(INDEX(Papers!D$2:D$995,MATCH($A995, Papers!$A$2:$A$995,0)),"")</f>
        <v/>
      </c>
      <c r="D995" s="86" t="str">
        <f t="array" ref="D995">IFerror(INDEX(Papers!F$2:F$995,MATCH($A995, Papers!$A$2:$A$995,0)),"")</f>
        <v/>
      </c>
      <c r="E995" s="59" t="str">
        <f t="array" ref="E995">IFerror(INDEX(Papers!G$2:G$995,MATCH($A995, Papers!$A$2:$A$995,0)),"")</f>
        <v/>
      </c>
    </row>
  </sheetData>
  <autoFilter ref="$A$2:$AS$60"/>
  <mergeCells count="2">
    <mergeCell ref="G1:AA1"/>
    <mergeCell ref="AB1:AS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customWidth="1" min="2" max="2" width="37.63"/>
    <col customWidth="1" min="8" max="8" width="19.5"/>
    <col customWidth="1" min="10" max="10" width="10.75"/>
    <col customWidth="1" min="14" max="14" width="15.88"/>
    <col customWidth="1" min="15" max="15" width="16.0"/>
    <col customWidth="1" min="16" max="16" width="52.75"/>
  </cols>
  <sheetData>
    <row r="1">
      <c r="A1" s="103" t="s">
        <v>0</v>
      </c>
      <c r="B1" s="74" t="s">
        <v>2</v>
      </c>
      <c r="C1" s="73" t="s">
        <v>235</v>
      </c>
      <c r="D1" s="74" t="s">
        <v>5</v>
      </c>
      <c r="E1" s="74" t="s">
        <v>236</v>
      </c>
      <c r="F1" s="73" t="s">
        <v>279</v>
      </c>
      <c r="G1" s="74" t="s">
        <v>237</v>
      </c>
      <c r="H1" s="74" t="s">
        <v>280</v>
      </c>
      <c r="I1" s="73" t="s">
        <v>281</v>
      </c>
      <c r="J1" s="74" t="s">
        <v>282</v>
      </c>
      <c r="K1" s="73" t="s">
        <v>283</v>
      </c>
      <c r="L1" s="73" t="s">
        <v>284</v>
      </c>
      <c r="M1" s="104" t="s">
        <v>285</v>
      </c>
      <c r="N1" s="73" t="s">
        <v>286</v>
      </c>
      <c r="O1" s="105" t="s">
        <v>287</v>
      </c>
      <c r="P1" s="104" t="s">
        <v>288</v>
      </c>
    </row>
    <row r="2">
      <c r="A2" s="106">
        <v>3.0</v>
      </c>
      <c r="B2" s="34" t="str">
        <f t="array" ref="B2">IFerror(INDEX(Papers!C$2:C$997,MATCH($A2, Papers!$A$2:$A$997,0)),"")</f>
        <v>Call Me Maybe: Experimental Evidence on Frequency and Medium Effects in Microenterprise Surveys</v>
      </c>
      <c r="C2" s="34" t="str">
        <f t="array" ref="C2">IFerror(INDEX(Papers!D$2:D$997,MATCH($A2, Papers!$A$2:$A$997,0)),"")</f>
        <v>Robert Garlick, Kate Orkin, and Simon Quinn. </v>
      </c>
      <c r="D2" s="24">
        <f t="array" ref="D2">IFerror(INDEX(Papers!F$2:F$997,MATCH($A2, Papers!$A$2:$A$997,0)),"")</f>
        <v>2019</v>
      </c>
      <c r="E2" s="24">
        <f t="array" ref="E2">IFerror(INDEX(Papers!G$2:G$997,MATCH($A2, Papers!$A$2:$A$997,0)),"")</f>
        <v>2014</v>
      </c>
      <c r="F2" s="24" t="s">
        <v>270</v>
      </c>
      <c r="G2" s="14" t="s">
        <v>289</v>
      </c>
      <c r="H2" s="14" t="s">
        <v>290</v>
      </c>
      <c r="I2" s="107">
        <v>1283.0</v>
      </c>
      <c r="J2" s="108" t="s">
        <v>291</v>
      </c>
      <c r="K2" s="109">
        <v>1.11</v>
      </c>
      <c r="L2" s="110">
        <v>1.17</v>
      </c>
      <c r="M2" s="110">
        <v>7.3</v>
      </c>
      <c r="N2" s="110">
        <f t="shared" ref="N2:N42" si="1">M2-L2</f>
        <v>6.13</v>
      </c>
      <c r="O2" s="111">
        <f t="shared" ref="O2:O42" si="2">N2*K2</f>
        <v>6.8043</v>
      </c>
      <c r="P2" s="34"/>
    </row>
    <row r="3">
      <c r="A3" s="106">
        <v>3.0</v>
      </c>
      <c r="B3" s="33" t="str">
        <f t="array" ref="B3">IFerror(INDEX(Papers!C$2:C$997,MATCH($A3, Papers!$A$2:$A$997,0)),"")</f>
        <v>Call Me Maybe: Experimental Evidence on Frequency and Medium Effects in Microenterprise Surveys</v>
      </c>
      <c r="C3" s="33" t="str">
        <f t="array" ref="C3">IFerror(INDEX(Papers!D$2:D$997,MATCH($A3, Papers!$A$2:$A$997,0)),"")</f>
        <v>Robert Garlick, Kate Orkin, and Simon Quinn. </v>
      </c>
      <c r="D3" s="27">
        <f t="array" ref="D3">IFerror(INDEX(Papers!F$2:F$997,MATCH($A3, Papers!$A$2:$A$997,0)),"")</f>
        <v>2019</v>
      </c>
      <c r="E3" s="27">
        <f t="array" ref="E3">IFerror(INDEX(Papers!G$2:G$997,MATCH($A3, Papers!$A$2:$A$997,0)),"")</f>
        <v>2014</v>
      </c>
      <c r="F3" s="27" t="s">
        <v>270</v>
      </c>
      <c r="G3" s="21" t="s">
        <v>292</v>
      </c>
      <c r="H3" s="21" t="s">
        <v>290</v>
      </c>
      <c r="I3" s="112">
        <v>1383.0</v>
      </c>
      <c r="J3" s="113" t="s">
        <v>291</v>
      </c>
      <c r="K3" s="114">
        <v>1.11</v>
      </c>
      <c r="L3" s="115">
        <v>1.17</v>
      </c>
      <c r="M3" s="115">
        <v>6.12</v>
      </c>
      <c r="N3" s="115">
        <f t="shared" si="1"/>
        <v>4.95</v>
      </c>
      <c r="O3" s="116">
        <f t="shared" si="2"/>
        <v>5.4945</v>
      </c>
      <c r="P3" s="33"/>
    </row>
    <row r="4">
      <c r="A4" s="106">
        <v>3.0</v>
      </c>
      <c r="B4" s="34" t="str">
        <f t="array" ref="B4">IFerror(INDEX(Papers!C$2:C$997,MATCH($A4, Papers!$A$2:$A$997,0)),"")</f>
        <v>Call Me Maybe: Experimental Evidence on Frequency and Medium Effects in Microenterprise Surveys</v>
      </c>
      <c r="C4" s="34" t="str">
        <f t="array" ref="C4">IFerror(INDEX(Papers!D$2:D$997,MATCH($A4, Papers!$A$2:$A$997,0)),"")</f>
        <v>Robert Garlick, Kate Orkin, and Simon Quinn. </v>
      </c>
      <c r="D4" s="24">
        <f t="array" ref="D4">IFerror(INDEX(Papers!F$2:F$997,MATCH($A4, Papers!$A$2:$A$997,0)),"")</f>
        <v>2019</v>
      </c>
      <c r="E4" s="24">
        <f t="array" ref="E4">IFerror(INDEX(Papers!G$2:G$997,MATCH($A4, Papers!$A$2:$A$997,0)),"")</f>
        <v>2014</v>
      </c>
      <c r="F4" s="24" t="s">
        <v>270</v>
      </c>
      <c r="G4" s="14" t="s">
        <v>9</v>
      </c>
      <c r="H4" s="14" t="s">
        <v>290</v>
      </c>
      <c r="I4" s="117">
        <v>1539.0</v>
      </c>
      <c r="J4" s="108" t="s">
        <v>291</v>
      </c>
      <c r="K4" s="109">
        <v>1.11</v>
      </c>
      <c r="L4" s="110">
        <v>1.17</v>
      </c>
      <c r="M4" s="110">
        <v>4.76</v>
      </c>
      <c r="N4" s="110">
        <f t="shared" si="1"/>
        <v>3.59</v>
      </c>
      <c r="O4" s="111">
        <f t="shared" si="2"/>
        <v>3.9849</v>
      </c>
      <c r="P4" s="34"/>
    </row>
    <row r="5">
      <c r="A5" s="106">
        <v>10.0</v>
      </c>
      <c r="B5" s="33" t="str">
        <f t="array" ref="B5">IFerror(INDEX(Papers!C$2:C$997,MATCH($A5, Papers!$A$2:$A$997,0)),"")</f>
        <v>Survey Research with a Random Digit Dial National Mobile Phone Sample in Ghana: Methods and Sample Quality</v>
      </c>
      <c r="C5" s="33" t="str">
        <f t="array" ref="C5">IFerror(INDEX(Papers!D$2:D$997,MATCH($A5, Papers!$A$2:$A$997,0)),"")</f>
        <v>Kelly L’Engle, Eunice Sefa, Edward Akolgo Adimazoya, Emmanuel Yartey, Rachel Lenzi, Cindy Tarpo, Nii Lante Heward-Mills, Katherine Lew, and Yvonne Ampeh</v>
      </c>
      <c r="D5" s="27">
        <f t="array" ref="D5">IFerror(INDEX(Papers!F$2:F$997,MATCH($A5, Papers!$A$2:$A$997,0)),"")</f>
        <v>2018</v>
      </c>
      <c r="E5" s="27">
        <f t="array" ref="E5">IFerror(INDEX(Papers!G$2:G$997,MATCH($A5, Papers!$A$2:$A$997,0)),"")</f>
        <v>2016</v>
      </c>
      <c r="F5" s="21" t="s">
        <v>243</v>
      </c>
      <c r="G5" s="21" t="s">
        <v>11</v>
      </c>
      <c r="H5" s="21" t="s">
        <v>293</v>
      </c>
      <c r="I5" s="112">
        <v>9469.0</v>
      </c>
      <c r="J5" s="113" t="s">
        <v>294</v>
      </c>
      <c r="K5" s="114">
        <v>1.05</v>
      </c>
      <c r="L5" s="115">
        <v>0.0</v>
      </c>
      <c r="M5" s="115">
        <v>4.95</v>
      </c>
      <c r="N5" s="115">
        <f t="shared" si="1"/>
        <v>4.95</v>
      </c>
      <c r="O5" s="116">
        <f t="shared" si="2"/>
        <v>5.1975</v>
      </c>
      <c r="P5" s="33"/>
    </row>
    <row r="6">
      <c r="A6" s="106">
        <v>11.0</v>
      </c>
      <c r="B6" s="34" t="str">
        <f t="array" ref="B6">IFerror(INDEX(Papers!C$2:C$997,MATCH($A6, Papers!$A$2:$A$997,0)),"")</f>
        <v>Do Mobile Phone Surveys Work in Poor Countries?</v>
      </c>
      <c r="C6" s="34" t="str">
        <f t="array" ref="C6">IFerror(INDEX(Papers!D$2:D$997,MATCH($A6, Papers!$A$2:$A$997,0)),"")</f>
        <v>Leo, Benjamin, Robert Morello, Jonathan Mellon, Tiago Peixoto, and Stephen Davenport</v>
      </c>
      <c r="D6" s="24">
        <f t="array" ref="D6">IFerror(INDEX(Papers!F$2:F$997,MATCH($A6, Papers!$A$2:$A$997,0)),"")</f>
        <v>2015</v>
      </c>
      <c r="E6" s="24">
        <f t="array" ref="E6">IFerror(INDEX(Papers!G$2:G$997,MATCH($A6, Papers!$A$2:$A$997,0)),"")</f>
        <v>2014</v>
      </c>
      <c r="F6" s="14" t="s">
        <v>260</v>
      </c>
      <c r="G6" s="14" t="s">
        <v>11</v>
      </c>
      <c r="H6" s="47" t="s">
        <v>293</v>
      </c>
      <c r="I6" s="107">
        <v>1000.0</v>
      </c>
      <c r="J6" s="108" t="s">
        <v>291</v>
      </c>
      <c r="K6" s="108">
        <v>1.11</v>
      </c>
      <c r="L6" s="118">
        <v>0.0</v>
      </c>
      <c r="M6" s="119">
        <v>1.39</v>
      </c>
      <c r="N6" s="120">
        <f t="shared" si="1"/>
        <v>1.39</v>
      </c>
      <c r="O6" s="121">
        <f t="shared" si="2"/>
        <v>1.5429</v>
      </c>
      <c r="P6" s="122"/>
    </row>
    <row r="7">
      <c r="A7" s="106">
        <v>11.0</v>
      </c>
      <c r="B7" s="33" t="str">
        <f t="array" ref="B7">IFerror(INDEX(Papers!C$2:C$997,MATCH($A7, Papers!$A$2:$A$997,0)),"")</f>
        <v>Do Mobile Phone Surveys Work in Poor Countries?</v>
      </c>
      <c r="C7" s="33" t="str">
        <f t="array" ref="C7">IFerror(INDEX(Papers!D$2:D$997,MATCH($A7, Papers!$A$2:$A$997,0)),"")</f>
        <v>Leo, Benjamin, Robert Morello, Jonathan Mellon, Tiago Peixoto, and Stephen Davenport</v>
      </c>
      <c r="D7" s="27">
        <f t="array" ref="D7">IFerror(INDEX(Papers!F$2:F$997,MATCH($A7, Papers!$A$2:$A$997,0)),"")</f>
        <v>2015</v>
      </c>
      <c r="E7" s="27">
        <f t="array" ref="E7">IFerror(INDEX(Papers!G$2:G$997,MATCH($A7, Papers!$A$2:$A$997,0)),"")</f>
        <v>2014</v>
      </c>
      <c r="F7" s="21" t="s">
        <v>263</v>
      </c>
      <c r="G7" s="21" t="s">
        <v>11</v>
      </c>
      <c r="H7" s="41" t="s">
        <v>293</v>
      </c>
      <c r="I7" s="112">
        <v>1000.0</v>
      </c>
      <c r="J7" s="113" t="s">
        <v>291</v>
      </c>
      <c r="K7" s="113">
        <v>1.11</v>
      </c>
      <c r="L7" s="123">
        <v>0.04</v>
      </c>
      <c r="M7" s="124">
        <v>1.4</v>
      </c>
      <c r="N7" s="125">
        <f t="shared" si="1"/>
        <v>1.36</v>
      </c>
      <c r="O7" s="126">
        <f t="shared" si="2"/>
        <v>1.5096</v>
      </c>
      <c r="P7" s="127"/>
    </row>
    <row r="8">
      <c r="A8" s="106">
        <v>11.0</v>
      </c>
      <c r="B8" s="34" t="str">
        <f t="array" ref="B8">IFerror(INDEX(Papers!C$2:C$997,MATCH($A8, Papers!$A$2:$A$997,0)),"")</f>
        <v>Do Mobile Phone Surveys Work in Poor Countries?</v>
      </c>
      <c r="C8" s="34" t="str">
        <f t="array" ref="C8">IFerror(INDEX(Papers!D$2:D$997,MATCH($A8, Papers!$A$2:$A$997,0)),"")</f>
        <v>Leo, Benjamin, Robert Morello, Jonathan Mellon, Tiago Peixoto, and Stephen Davenport</v>
      </c>
      <c r="D8" s="24">
        <f t="array" ref="D8">IFerror(INDEX(Papers!F$2:F$997,MATCH($A8, Papers!$A$2:$A$997,0)),"")</f>
        <v>2015</v>
      </c>
      <c r="E8" s="24">
        <f t="array" ref="E8">IFerror(INDEX(Papers!G$2:G$997,MATCH($A8, Papers!$A$2:$A$997,0)),"")</f>
        <v>2014</v>
      </c>
      <c r="F8" s="14" t="s">
        <v>267</v>
      </c>
      <c r="G8" s="14" t="s">
        <v>11</v>
      </c>
      <c r="H8" s="47" t="s">
        <v>293</v>
      </c>
      <c r="I8" s="107">
        <v>1000.0</v>
      </c>
      <c r="J8" s="108" t="s">
        <v>291</v>
      </c>
      <c r="K8" s="108">
        <v>1.11</v>
      </c>
      <c r="L8" s="118">
        <v>0.44</v>
      </c>
      <c r="M8" s="119">
        <v>1.81</v>
      </c>
      <c r="N8" s="120">
        <f t="shared" si="1"/>
        <v>1.37</v>
      </c>
      <c r="O8" s="121">
        <f t="shared" si="2"/>
        <v>1.5207</v>
      </c>
      <c r="P8" s="122"/>
    </row>
    <row r="9">
      <c r="A9" s="106">
        <v>11.0</v>
      </c>
      <c r="B9" s="33" t="str">
        <f t="array" ref="B9">IFerror(INDEX(Papers!C$2:C$997,MATCH($A9, Papers!$A$2:$A$997,0)),"")</f>
        <v>Do Mobile Phone Surveys Work in Poor Countries?</v>
      </c>
      <c r="C9" s="33" t="str">
        <f t="array" ref="C9">IFerror(INDEX(Papers!D$2:D$997,MATCH($A9, Papers!$A$2:$A$997,0)),"")</f>
        <v>Leo, Benjamin, Robert Morello, Jonathan Mellon, Tiago Peixoto, and Stephen Davenport</v>
      </c>
      <c r="D9" s="27">
        <f t="array" ref="D9">IFerror(INDEX(Papers!F$2:F$997,MATCH($A9, Papers!$A$2:$A$997,0)),"")</f>
        <v>2015</v>
      </c>
      <c r="E9" s="27">
        <f t="array" ref="E9">IFerror(INDEX(Papers!G$2:G$997,MATCH($A9, Papers!$A$2:$A$997,0)),"")</f>
        <v>2014</v>
      </c>
      <c r="F9" s="21" t="s">
        <v>276</v>
      </c>
      <c r="G9" s="21" t="s">
        <v>11</v>
      </c>
      <c r="H9" s="41" t="s">
        <v>293</v>
      </c>
      <c r="I9" s="112">
        <v>1000.0</v>
      </c>
      <c r="J9" s="113" t="s">
        <v>291</v>
      </c>
      <c r="K9" s="113">
        <v>1.11</v>
      </c>
      <c r="L9" s="123">
        <v>0.0</v>
      </c>
      <c r="M9" s="124">
        <v>2.04</v>
      </c>
      <c r="N9" s="125">
        <f t="shared" si="1"/>
        <v>2.04</v>
      </c>
      <c r="O9" s="126">
        <f t="shared" si="2"/>
        <v>2.2644</v>
      </c>
      <c r="P9" s="127"/>
    </row>
    <row r="10">
      <c r="A10" s="106">
        <v>11.0</v>
      </c>
      <c r="B10" s="34" t="str">
        <f t="array" ref="B10">IFerror(INDEX(Papers!C$2:C$997,MATCH($A10, Papers!$A$2:$A$997,0)),"")</f>
        <v>Do Mobile Phone Surveys Work in Poor Countries?</v>
      </c>
      <c r="C10" s="34" t="str">
        <f t="array" ref="C10">IFerror(INDEX(Papers!D$2:D$997,MATCH($A10, Papers!$A$2:$A$997,0)),"")</f>
        <v>Leo, Benjamin, Robert Morello, Jonathan Mellon, Tiago Peixoto, and Stephen Davenport</v>
      </c>
      <c r="D10" s="24">
        <f t="array" ref="D10">IFerror(INDEX(Papers!F$2:F$997,MATCH($A10, Papers!$A$2:$A$997,0)),"")</f>
        <v>2015</v>
      </c>
      <c r="E10" s="24">
        <f t="array" ref="E10">IFerror(INDEX(Papers!G$2:G$997,MATCH($A10, Papers!$A$2:$A$997,0)),"")</f>
        <v>2014</v>
      </c>
      <c r="F10" s="14" t="s">
        <v>260</v>
      </c>
      <c r="G10" s="14" t="s">
        <v>11</v>
      </c>
      <c r="H10" s="47" t="s">
        <v>293</v>
      </c>
      <c r="I10" s="107">
        <v>1000.0</v>
      </c>
      <c r="J10" s="108" t="s">
        <v>291</v>
      </c>
      <c r="K10" s="108">
        <v>1.11</v>
      </c>
      <c r="L10" s="119">
        <v>0.11</v>
      </c>
      <c r="M10" s="110">
        <v>2.03</v>
      </c>
      <c r="N10" s="118">
        <f t="shared" si="1"/>
        <v>1.92</v>
      </c>
      <c r="O10" s="111">
        <f t="shared" si="2"/>
        <v>2.1312</v>
      </c>
      <c r="P10" s="128"/>
    </row>
    <row r="11">
      <c r="A11" s="106">
        <v>11.0</v>
      </c>
      <c r="B11" s="33" t="str">
        <f t="array" ref="B11">IFerror(INDEX(Papers!C$2:C$997,MATCH($A11, Papers!$A$2:$A$997,0)),"")</f>
        <v>Do Mobile Phone Surveys Work in Poor Countries?</v>
      </c>
      <c r="C11" s="33" t="str">
        <f t="array" ref="C11">IFerror(INDEX(Papers!D$2:D$997,MATCH($A11, Papers!$A$2:$A$997,0)),"")</f>
        <v>Leo, Benjamin, Robert Morello, Jonathan Mellon, Tiago Peixoto, and Stephen Davenport</v>
      </c>
      <c r="D11" s="27">
        <f t="array" ref="D11">IFerror(INDEX(Papers!F$2:F$997,MATCH($A11, Papers!$A$2:$A$997,0)),"")</f>
        <v>2015</v>
      </c>
      <c r="E11" s="27">
        <f t="array" ref="E11">IFerror(INDEX(Papers!G$2:G$997,MATCH($A11, Papers!$A$2:$A$997,0)),"")</f>
        <v>2014</v>
      </c>
      <c r="F11" s="21" t="s">
        <v>263</v>
      </c>
      <c r="G11" s="21" t="s">
        <v>11</v>
      </c>
      <c r="H11" s="41" t="s">
        <v>293</v>
      </c>
      <c r="I11" s="112">
        <v>1000.0</v>
      </c>
      <c r="J11" s="113" t="s">
        <v>291</v>
      </c>
      <c r="K11" s="113">
        <v>1.11</v>
      </c>
      <c r="L11" s="124">
        <v>1.23</v>
      </c>
      <c r="M11" s="115">
        <v>3.09</v>
      </c>
      <c r="N11" s="123">
        <f t="shared" si="1"/>
        <v>1.86</v>
      </c>
      <c r="O11" s="116">
        <f t="shared" si="2"/>
        <v>2.0646</v>
      </c>
      <c r="P11" s="129"/>
    </row>
    <row r="12">
      <c r="A12" s="106">
        <v>11.0</v>
      </c>
      <c r="B12" s="34" t="str">
        <f t="array" ref="B12">IFerror(INDEX(Papers!C$2:C$997,MATCH($A12, Papers!$A$2:$A$997,0)),"")</f>
        <v>Do Mobile Phone Surveys Work in Poor Countries?</v>
      </c>
      <c r="C12" s="34" t="str">
        <f t="array" ref="C12">IFerror(INDEX(Papers!D$2:D$997,MATCH($A12, Papers!$A$2:$A$997,0)),"")</f>
        <v>Leo, Benjamin, Robert Morello, Jonathan Mellon, Tiago Peixoto, and Stephen Davenport</v>
      </c>
      <c r="D12" s="24">
        <f t="array" ref="D12">IFerror(INDEX(Papers!F$2:F$997,MATCH($A12, Papers!$A$2:$A$997,0)),"")</f>
        <v>2015</v>
      </c>
      <c r="E12" s="24">
        <f t="array" ref="E12">IFerror(INDEX(Papers!G$2:G$997,MATCH($A12, Papers!$A$2:$A$997,0)),"")</f>
        <v>2014</v>
      </c>
      <c r="F12" s="14" t="s">
        <v>267</v>
      </c>
      <c r="G12" s="14" t="s">
        <v>11</v>
      </c>
      <c r="H12" s="47" t="s">
        <v>293</v>
      </c>
      <c r="I12" s="107">
        <v>1000.0</v>
      </c>
      <c r="J12" s="108" t="s">
        <v>291</v>
      </c>
      <c r="K12" s="108">
        <v>1.11</v>
      </c>
      <c r="L12" s="119">
        <v>0.0</v>
      </c>
      <c r="M12" s="110">
        <v>1.46</v>
      </c>
      <c r="N12" s="118">
        <f t="shared" si="1"/>
        <v>1.46</v>
      </c>
      <c r="O12" s="111">
        <f t="shared" si="2"/>
        <v>1.6206</v>
      </c>
      <c r="P12" s="128"/>
    </row>
    <row r="13">
      <c r="A13" s="106">
        <v>11.0</v>
      </c>
      <c r="B13" s="33" t="str">
        <f t="array" ref="B13">IFerror(INDEX(Papers!C$2:C$997,MATCH($A13, Papers!$A$2:$A$997,0)),"")</f>
        <v>Do Mobile Phone Surveys Work in Poor Countries?</v>
      </c>
      <c r="C13" s="33" t="str">
        <f t="array" ref="C13">IFerror(INDEX(Papers!D$2:D$997,MATCH($A13, Papers!$A$2:$A$997,0)),"")</f>
        <v>Leo, Benjamin, Robert Morello, Jonathan Mellon, Tiago Peixoto, and Stephen Davenport</v>
      </c>
      <c r="D13" s="27">
        <f t="array" ref="D13">IFerror(INDEX(Papers!F$2:F$997,MATCH($A13, Papers!$A$2:$A$997,0)),"")</f>
        <v>2015</v>
      </c>
      <c r="E13" s="27">
        <f t="array" ref="E13">IFerror(INDEX(Papers!G$2:G$997,MATCH($A13, Papers!$A$2:$A$997,0)),"")</f>
        <v>2014</v>
      </c>
      <c r="F13" s="21" t="s">
        <v>276</v>
      </c>
      <c r="G13" s="21" t="s">
        <v>11</v>
      </c>
      <c r="H13" s="41" t="s">
        <v>293</v>
      </c>
      <c r="I13" s="112">
        <v>1000.0</v>
      </c>
      <c r="J13" s="113" t="s">
        <v>291</v>
      </c>
      <c r="K13" s="113">
        <v>1.11</v>
      </c>
      <c r="L13" s="124">
        <v>0.06</v>
      </c>
      <c r="M13" s="115">
        <v>1.46</v>
      </c>
      <c r="N13" s="123">
        <f t="shared" si="1"/>
        <v>1.4</v>
      </c>
      <c r="O13" s="116">
        <f t="shared" si="2"/>
        <v>1.554</v>
      </c>
      <c r="P13" s="129"/>
    </row>
    <row r="14">
      <c r="A14" s="106">
        <v>11.0</v>
      </c>
      <c r="B14" s="34" t="str">
        <f t="array" ref="B14">IFerror(INDEX(Papers!C$2:C$997,MATCH($A14, Papers!$A$2:$A$997,0)),"")</f>
        <v>Do Mobile Phone Surveys Work in Poor Countries?</v>
      </c>
      <c r="C14" s="34" t="str">
        <f t="array" ref="C14">IFerror(INDEX(Papers!D$2:D$997,MATCH($A14, Papers!$A$2:$A$997,0)),"")</f>
        <v>Leo, Benjamin, Robert Morello, Jonathan Mellon, Tiago Peixoto, and Stephen Davenport</v>
      </c>
      <c r="D14" s="24">
        <f t="array" ref="D14">IFerror(INDEX(Papers!F$2:F$997,MATCH($A14, Papers!$A$2:$A$997,0)),"")</f>
        <v>2015</v>
      </c>
      <c r="E14" s="24">
        <f t="array" ref="E14">IFerror(INDEX(Papers!G$2:G$997,MATCH($A14, Papers!$A$2:$A$997,0)),"")</f>
        <v>2014</v>
      </c>
      <c r="F14" s="14" t="s">
        <v>260</v>
      </c>
      <c r="G14" s="14" t="s">
        <v>11</v>
      </c>
      <c r="H14" s="47" t="s">
        <v>293</v>
      </c>
      <c r="I14" s="107">
        <v>1000.0</v>
      </c>
      <c r="J14" s="108" t="s">
        <v>291</v>
      </c>
      <c r="K14" s="108">
        <v>1.11</v>
      </c>
      <c r="L14" s="119">
        <v>0.62</v>
      </c>
      <c r="M14" s="110">
        <v>2.02</v>
      </c>
      <c r="N14" s="118">
        <f t="shared" si="1"/>
        <v>1.4</v>
      </c>
      <c r="O14" s="111">
        <f t="shared" si="2"/>
        <v>1.554</v>
      </c>
      <c r="P14" s="128"/>
    </row>
    <row r="15">
      <c r="A15" s="106">
        <v>11.0</v>
      </c>
      <c r="B15" s="33" t="str">
        <f t="array" ref="B15">IFerror(INDEX(Papers!C$2:C$997,MATCH($A15, Papers!$A$2:$A$997,0)),"")</f>
        <v>Do Mobile Phone Surveys Work in Poor Countries?</v>
      </c>
      <c r="C15" s="33" t="str">
        <f t="array" ref="C15">IFerror(INDEX(Papers!D$2:D$997,MATCH($A15, Papers!$A$2:$A$997,0)),"")</f>
        <v>Leo, Benjamin, Robert Morello, Jonathan Mellon, Tiago Peixoto, and Stephen Davenport</v>
      </c>
      <c r="D15" s="27">
        <f t="array" ref="D15">IFerror(INDEX(Papers!F$2:F$997,MATCH($A15, Papers!$A$2:$A$997,0)),"")</f>
        <v>2015</v>
      </c>
      <c r="E15" s="27">
        <f t="array" ref="E15">IFerror(INDEX(Papers!G$2:G$997,MATCH($A15, Papers!$A$2:$A$997,0)),"")</f>
        <v>2014</v>
      </c>
      <c r="F15" s="21" t="s">
        <v>263</v>
      </c>
      <c r="G15" s="21" t="s">
        <v>11</v>
      </c>
      <c r="H15" s="41" t="s">
        <v>293</v>
      </c>
      <c r="I15" s="112">
        <v>1000.0</v>
      </c>
      <c r="J15" s="113" t="s">
        <v>291</v>
      </c>
      <c r="K15" s="113">
        <v>1.11</v>
      </c>
      <c r="L15" s="124">
        <v>0.0</v>
      </c>
      <c r="M15" s="115">
        <v>2.12</v>
      </c>
      <c r="N15" s="123">
        <f t="shared" si="1"/>
        <v>2.12</v>
      </c>
      <c r="O15" s="116">
        <f t="shared" si="2"/>
        <v>2.3532</v>
      </c>
      <c r="P15" s="129"/>
    </row>
    <row r="16">
      <c r="A16" s="106">
        <v>11.0</v>
      </c>
      <c r="B16" s="34" t="str">
        <f t="array" ref="B16">IFerror(INDEX(Papers!C$2:C$997,MATCH($A16, Papers!$A$2:$A$997,0)),"")</f>
        <v>Do Mobile Phone Surveys Work in Poor Countries?</v>
      </c>
      <c r="C16" s="34" t="str">
        <f t="array" ref="C16">IFerror(INDEX(Papers!D$2:D$997,MATCH($A16, Papers!$A$2:$A$997,0)),"")</f>
        <v>Leo, Benjamin, Robert Morello, Jonathan Mellon, Tiago Peixoto, and Stephen Davenport</v>
      </c>
      <c r="D16" s="24">
        <f t="array" ref="D16">IFerror(INDEX(Papers!F$2:F$997,MATCH($A16, Papers!$A$2:$A$997,0)),"")</f>
        <v>2015</v>
      </c>
      <c r="E16" s="24">
        <f t="array" ref="E16">IFerror(INDEX(Papers!G$2:G$997,MATCH($A16, Papers!$A$2:$A$997,0)),"")</f>
        <v>2014</v>
      </c>
      <c r="F16" s="14" t="s">
        <v>267</v>
      </c>
      <c r="G16" s="14" t="s">
        <v>11</v>
      </c>
      <c r="H16" s="47" t="s">
        <v>293</v>
      </c>
      <c r="I16" s="107">
        <v>1000.0</v>
      </c>
      <c r="J16" s="108" t="s">
        <v>291</v>
      </c>
      <c r="K16" s="108">
        <v>1.11</v>
      </c>
      <c r="L16" s="119">
        <v>0.05</v>
      </c>
      <c r="M16" s="110">
        <v>2.1</v>
      </c>
      <c r="N16" s="118">
        <f t="shared" si="1"/>
        <v>2.05</v>
      </c>
      <c r="O16" s="111">
        <f t="shared" si="2"/>
        <v>2.2755</v>
      </c>
      <c r="P16" s="128"/>
    </row>
    <row r="17">
      <c r="A17" s="106">
        <v>11.0</v>
      </c>
      <c r="B17" s="33" t="str">
        <f t="array" ref="B17">IFerror(INDEX(Papers!C$2:C$997,MATCH($A17, Papers!$A$2:$A$997,0)),"")</f>
        <v>Do Mobile Phone Surveys Work in Poor Countries?</v>
      </c>
      <c r="C17" s="33" t="str">
        <f t="array" ref="C17">IFerror(INDEX(Papers!D$2:D$997,MATCH($A17, Papers!$A$2:$A$997,0)),"")</f>
        <v>Leo, Benjamin, Robert Morello, Jonathan Mellon, Tiago Peixoto, and Stephen Davenport</v>
      </c>
      <c r="D17" s="27">
        <f t="array" ref="D17">IFerror(INDEX(Papers!F$2:F$997,MATCH($A17, Papers!$A$2:$A$997,0)),"")</f>
        <v>2015</v>
      </c>
      <c r="E17" s="27">
        <f t="array" ref="E17">IFerror(INDEX(Papers!G$2:G$997,MATCH($A17, Papers!$A$2:$A$997,0)),"")</f>
        <v>2014</v>
      </c>
      <c r="F17" s="21" t="s">
        <v>276</v>
      </c>
      <c r="G17" s="21" t="s">
        <v>11</v>
      </c>
      <c r="H17" s="41" t="s">
        <v>293</v>
      </c>
      <c r="I17" s="112">
        <v>1000.0</v>
      </c>
      <c r="J17" s="113" t="s">
        <v>291</v>
      </c>
      <c r="K17" s="113">
        <v>1.11</v>
      </c>
      <c r="L17" s="124">
        <v>0.6</v>
      </c>
      <c r="M17" s="115">
        <v>2.62</v>
      </c>
      <c r="N17" s="123">
        <f t="shared" si="1"/>
        <v>2.02</v>
      </c>
      <c r="O17" s="116">
        <f t="shared" si="2"/>
        <v>2.2422</v>
      </c>
      <c r="P17" s="129"/>
    </row>
    <row r="18">
      <c r="A18" s="106">
        <v>16.0</v>
      </c>
      <c r="B18" s="34" t="str">
        <f t="array" ref="B18">IFerror(INDEX(Papers!C$2:C$997,MATCH($A18, Papers!$A$2:$A$997,0)),"")</f>
        <v>Mobile Phone Panel Surveys in Developing Countries : A Practical Guide for Microdata Collection</v>
      </c>
      <c r="C18" s="34" t="str">
        <f t="array" ref="C18">IFerror(INDEX(Papers!D$2:D$997,MATCH($A18, Papers!$A$2:$A$997,0)),"")</f>
        <v>Andrew Dabalen, Alvin Etang Ndip, Johannes Hoogeveen, Elvis Mushi, Youdi Schipper, and Johannes von Engelhardt</v>
      </c>
      <c r="D18" s="24">
        <f t="array" ref="D18">IFerror(INDEX(Papers!F$2:F$997,MATCH($A18, Papers!$A$2:$A$997,0)),"")</f>
        <v>2016</v>
      </c>
      <c r="E18" s="24">
        <f t="array" ref="E18">IFerror(INDEX(Papers!G$2:G$997,MATCH($A18, Papers!$A$2:$A$997,0)),"")</f>
        <v>2014</v>
      </c>
      <c r="F18" s="14" t="s">
        <v>247</v>
      </c>
      <c r="G18" s="14" t="s">
        <v>9</v>
      </c>
      <c r="H18" s="14" t="s">
        <v>290</v>
      </c>
      <c r="I18" s="107">
        <v>1504.0</v>
      </c>
      <c r="J18" s="108" t="s">
        <v>295</v>
      </c>
      <c r="K18" s="108">
        <v>1.09</v>
      </c>
      <c r="L18" s="119">
        <v>0.0</v>
      </c>
      <c r="M18" s="110">
        <f>8767/I18</f>
        <v>5.82912234</v>
      </c>
      <c r="N18" s="110">
        <f t="shared" si="1"/>
        <v>5.82912234</v>
      </c>
      <c r="O18" s="130">
        <f t="shared" si="2"/>
        <v>6.353743351</v>
      </c>
      <c r="P18" s="128" t="s">
        <v>296</v>
      </c>
    </row>
    <row r="19">
      <c r="A19" s="106">
        <v>16.0</v>
      </c>
      <c r="B19" s="33" t="str">
        <f t="array" ref="B19">IFerror(INDEX(Papers!C$2:C$997,MATCH($A19, Papers!$A$2:$A$997,0)),"")</f>
        <v>Mobile Phone Panel Surveys in Developing Countries : A Practical Guide for Microdata Collection</v>
      </c>
      <c r="C19" s="33" t="str">
        <f t="array" ref="C19">IFerror(INDEX(Papers!D$2:D$997,MATCH($A19, Papers!$A$2:$A$997,0)),"")</f>
        <v>Andrew Dabalen, Alvin Etang Ndip, Johannes Hoogeveen, Elvis Mushi, Youdi Schipper, and Johannes von Engelhardt</v>
      </c>
      <c r="D19" s="27">
        <f t="array" ref="D19">IFerror(INDEX(Papers!F$2:F$997,MATCH($A19, Papers!$A$2:$A$997,0)),"")</f>
        <v>2016</v>
      </c>
      <c r="E19" s="27">
        <f t="array" ref="E19">IFerror(INDEX(Papers!G$2:G$997,MATCH($A19, Papers!$A$2:$A$997,0)),"")</f>
        <v>2014</v>
      </c>
      <c r="F19" s="21" t="s">
        <v>269</v>
      </c>
      <c r="G19" s="21" t="s">
        <v>9</v>
      </c>
      <c r="H19" s="21" t="s">
        <v>290</v>
      </c>
      <c r="I19" s="112">
        <v>1500.0</v>
      </c>
      <c r="J19" s="113" t="s">
        <v>295</v>
      </c>
      <c r="K19" s="113">
        <v>1.09</v>
      </c>
      <c r="L19" s="124">
        <v>0.0</v>
      </c>
      <c r="M19" s="124">
        <f>7440/I19</f>
        <v>4.96</v>
      </c>
      <c r="N19" s="124">
        <f t="shared" si="1"/>
        <v>4.96</v>
      </c>
      <c r="O19" s="131">
        <f t="shared" si="2"/>
        <v>5.4064</v>
      </c>
      <c r="P19" s="129" t="s">
        <v>296</v>
      </c>
    </row>
    <row r="20">
      <c r="A20" s="106">
        <v>16.0</v>
      </c>
      <c r="B20" s="34" t="str">
        <f t="array" ref="B20">IFerror(INDEX(Papers!C$2:C$997,MATCH($A20, Papers!$A$2:$A$997,0)),"")</f>
        <v>Mobile Phone Panel Surveys in Developing Countries : A Practical Guide for Microdata Collection</v>
      </c>
      <c r="C20" s="34" t="str">
        <f t="array" ref="C20">IFerror(INDEX(Papers!D$2:D$997,MATCH($A20, Papers!$A$2:$A$997,0)),"")</f>
        <v>Andrew Dabalen, Alvin Etang Ndip, Johannes Hoogeveen, Elvis Mushi, Youdi Schipper, and Johannes von Engelhardt</v>
      </c>
      <c r="D20" s="24">
        <f t="array" ref="D20">IFerror(INDEX(Papers!F$2:F$997,MATCH($A20, Papers!$A$2:$A$997,0)),"")</f>
        <v>2016</v>
      </c>
      <c r="E20" s="24">
        <f t="array" ref="E20">IFerror(INDEX(Papers!G$2:G$997,MATCH($A20, Papers!$A$2:$A$997,0)),"")</f>
        <v>2014</v>
      </c>
      <c r="F20" s="14" t="s">
        <v>266</v>
      </c>
      <c r="G20" s="14" t="s">
        <v>9</v>
      </c>
      <c r="H20" s="14" t="s">
        <v>290</v>
      </c>
      <c r="I20" s="107">
        <v>2000.0</v>
      </c>
      <c r="J20" s="108" t="s">
        <v>295</v>
      </c>
      <c r="K20" s="108">
        <v>1.09</v>
      </c>
      <c r="L20" s="119">
        <v>0.0</v>
      </c>
      <c r="M20" s="119">
        <f>11344/2000</f>
        <v>5.672</v>
      </c>
      <c r="N20" s="119">
        <f t="shared" si="1"/>
        <v>5.672</v>
      </c>
      <c r="O20" s="132">
        <f t="shared" si="2"/>
        <v>6.18248</v>
      </c>
      <c r="P20" s="128" t="s">
        <v>296</v>
      </c>
    </row>
    <row r="21">
      <c r="A21" s="106">
        <v>16.0</v>
      </c>
      <c r="B21" s="33" t="str">
        <f t="array" ref="B21">IFerror(INDEX(Papers!C$2:C$997,MATCH($A21, Papers!$A$2:$A$997,0)),"")</f>
        <v>Mobile Phone Panel Surveys in Developing Countries : A Practical Guide for Microdata Collection</v>
      </c>
      <c r="C21" s="33" t="str">
        <f t="array" ref="C21">IFerror(INDEX(Papers!D$2:D$997,MATCH($A21, Papers!$A$2:$A$997,0)),"")</f>
        <v>Andrew Dabalen, Alvin Etang Ndip, Johannes Hoogeveen, Elvis Mushi, Youdi Schipper, and Johannes von Engelhardt</v>
      </c>
      <c r="D21" s="27">
        <f t="array" ref="D21">IFerror(INDEX(Papers!F$2:F$997,MATCH($A21, Papers!$A$2:$A$997,0)),"")</f>
        <v>2016</v>
      </c>
      <c r="E21" s="27">
        <f t="array" ref="E21">IFerror(INDEX(Papers!G$2:G$997,MATCH($A21, Papers!$A$2:$A$997,0)),"")</f>
        <v>2014</v>
      </c>
      <c r="F21" s="21" t="s">
        <v>273</v>
      </c>
      <c r="G21" s="21" t="s">
        <v>9</v>
      </c>
      <c r="H21" s="21" t="s">
        <v>290</v>
      </c>
      <c r="I21" s="112">
        <v>500.0</v>
      </c>
      <c r="J21" s="113" t="s">
        <v>295</v>
      </c>
      <c r="K21" s="113">
        <v>1.09</v>
      </c>
      <c r="L21" s="124">
        <v>0.0</v>
      </c>
      <c r="M21" s="124">
        <f>2197/500</f>
        <v>4.394</v>
      </c>
      <c r="N21" s="124">
        <f t="shared" si="1"/>
        <v>4.394</v>
      </c>
      <c r="O21" s="131">
        <f t="shared" si="2"/>
        <v>4.78946</v>
      </c>
      <c r="P21" s="129" t="s">
        <v>296</v>
      </c>
    </row>
    <row r="22">
      <c r="A22" s="106">
        <v>17.0</v>
      </c>
      <c r="B22" s="34" t="str">
        <f t="array" ref="B22">IFerror(INDEX(Papers!C$2:C$997,MATCH($A22, Papers!$A$2:$A$997,0)),"")</f>
        <v>Tracking Health Seeking Behavior during an Ebola Outbreak via Mobile Phones and SMS</v>
      </c>
      <c r="C22" s="34" t="str">
        <f t="array" ref="C22">IFerror(INDEX(Papers!D$2:D$997,MATCH($A22, Papers!$A$2:$A$997,0)),"")</f>
        <v>Shuo Feng, Karen Grépin, and Rumi Chunara</v>
      </c>
      <c r="D22" s="24">
        <f t="array" ref="D22">IFerror(INDEX(Papers!F$2:F$997,MATCH($A22, Papers!$A$2:$A$997,0)),"")</f>
        <v>2018</v>
      </c>
      <c r="E22" s="24">
        <f t="array" ref="E22">IFerror(INDEX(Papers!G$2:G$997,MATCH($A22, Papers!$A$2:$A$997,0)),"")</f>
        <v>2015</v>
      </c>
      <c r="F22" s="14" t="s">
        <v>246</v>
      </c>
      <c r="G22" s="47" t="s">
        <v>10</v>
      </c>
      <c r="H22" s="14" t="s">
        <v>293</v>
      </c>
      <c r="I22" s="107">
        <v>10000.0</v>
      </c>
      <c r="J22" s="108" t="s">
        <v>295</v>
      </c>
      <c r="K22" s="108">
        <v>1.09</v>
      </c>
      <c r="L22" s="110">
        <v>0.5</v>
      </c>
      <c r="M22" s="110">
        <v>6.0</v>
      </c>
      <c r="N22" s="110">
        <f t="shared" si="1"/>
        <v>5.5</v>
      </c>
      <c r="O22" s="111">
        <f t="shared" si="2"/>
        <v>5.995</v>
      </c>
      <c r="P22" s="34"/>
    </row>
    <row r="23">
      <c r="A23" s="106">
        <v>26.0</v>
      </c>
      <c r="B23" s="33" t="str">
        <f t="array" ref="B23">IFerror(INDEX(Papers!C$2:C$997,MATCH($A23, Papers!$A$2:$A$997,0)),"")</f>
        <v>Effect of airtime incentives on response and cooperation rates in non-communicable disease interactive voice response surveys: randomised controlled trials in Bangladesh and Uganda</v>
      </c>
      <c r="C23" s="33" t="str">
        <f t="array" ref="C23">IFerror(INDEX(Papers!D$2:D$997,MATCH($A23, Papers!$A$2:$A$997,0)),"")</f>
        <v>Dustin Gibson, Adaeze Wosu, George Pariyo, Saifuddin Ahmed, Joseph Ali, Alain Labrique, Iqbal Khan, Elizeus Rutebemberwa, Meerjady Flora, and Adnan Hyder. </v>
      </c>
      <c r="D23" s="27">
        <f t="array" ref="D23">IFerror(INDEX(Papers!F$2:F$997,MATCH($A23, Papers!$A$2:$A$997,0)),"")</f>
        <v>2019</v>
      </c>
      <c r="E23" s="27">
        <f t="array" ref="E23">IFerror(INDEX(Papers!G$2:G$997,MATCH($A23, Papers!$A$2:$A$997,0)),"")</f>
        <v>2017</v>
      </c>
      <c r="F23" s="21" t="s">
        <v>238</v>
      </c>
      <c r="G23" s="21" t="s">
        <v>11</v>
      </c>
      <c r="H23" s="21" t="s">
        <v>293</v>
      </c>
      <c r="I23" s="112">
        <v>353.0</v>
      </c>
      <c r="J23" s="113" t="s">
        <v>297</v>
      </c>
      <c r="K23" s="113">
        <v>1.03</v>
      </c>
      <c r="L23" s="115">
        <v>0.0</v>
      </c>
      <c r="M23" s="115">
        <v>3.76</v>
      </c>
      <c r="N23" s="115">
        <f t="shared" si="1"/>
        <v>3.76</v>
      </c>
      <c r="O23" s="116">
        <f t="shared" si="2"/>
        <v>3.8728</v>
      </c>
      <c r="P23" s="33"/>
    </row>
    <row r="24">
      <c r="A24" s="106">
        <v>26.0</v>
      </c>
      <c r="B24" s="34" t="str">
        <f t="array" ref="B24">IFerror(INDEX(Papers!C$2:C$997,MATCH($A24, Papers!$A$2:$A$997,0)),"")</f>
        <v>Effect of airtime incentives on response and cooperation rates in non-communicable disease interactive voice response surveys: randomised controlled trials in Bangladesh and Uganda</v>
      </c>
      <c r="C24" s="34" t="str">
        <f t="array" ref="C24">IFerror(INDEX(Papers!D$2:D$997,MATCH($A24, Papers!$A$2:$A$997,0)),"")</f>
        <v>Dustin Gibson, Adaeze Wosu, George Pariyo, Saifuddin Ahmed, Joseph Ali, Alain Labrique, Iqbal Khan, Elizeus Rutebemberwa, Meerjady Flora, and Adnan Hyder. </v>
      </c>
      <c r="D24" s="24">
        <f t="array" ref="D24">IFerror(INDEX(Papers!F$2:F$997,MATCH($A24, Papers!$A$2:$A$997,0)),"")</f>
        <v>2019</v>
      </c>
      <c r="E24" s="24">
        <f t="array" ref="E24">IFerror(INDEX(Papers!G$2:G$997,MATCH($A24, Papers!$A$2:$A$997,0)),"")</f>
        <v>2017</v>
      </c>
      <c r="F24" s="14" t="s">
        <v>238</v>
      </c>
      <c r="G24" s="14" t="s">
        <v>11</v>
      </c>
      <c r="H24" s="14" t="s">
        <v>293</v>
      </c>
      <c r="I24" s="107">
        <v>370.0</v>
      </c>
      <c r="J24" s="108" t="s">
        <v>297</v>
      </c>
      <c r="K24" s="108">
        <v>1.03</v>
      </c>
      <c r="L24" s="110">
        <v>0.6</v>
      </c>
      <c r="M24" s="110">
        <v>3.79</v>
      </c>
      <c r="N24" s="110">
        <f t="shared" si="1"/>
        <v>3.19</v>
      </c>
      <c r="O24" s="111">
        <f t="shared" si="2"/>
        <v>3.2857</v>
      </c>
      <c r="P24" s="34"/>
    </row>
    <row r="25">
      <c r="A25" s="106">
        <v>26.0</v>
      </c>
      <c r="B25" s="33" t="str">
        <f t="array" ref="B25">IFerror(INDEX(Papers!C$2:C$997,MATCH($A25, Papers!$A$2:$A$997,0)),"")</f>
        <v>Effect of airtime incentives on response and cooperation rates in non-communicable disease interactive voice response surveys: randomised controlled trials in Bangladesh and Uganda</v>
      </c>
      <c r="C25" s="33" t="str">
        <f t="array" ref="C25">IFerror(INDEX(Papers!D$2:D$997,MATCH($A25, Papers!$A$2:$A$997,0)),"")</f>
        <v>Dustin Gibson, Adaeze Wosu, George Pariyo, Saifuddin Ahmed, Joseph Ali, Alain Labrique, Iqbal Khan, Elizeus Rutebemberwa, Meerjady Flora, and Adnan Hyder. </v>
      </c>
      <c r="D25" s="27">
        <f t="array" ref="D25">IFerror(INDEX(Papers!F$2:F$997,MATCH($A25, Papers!$A$2:$A$997,0)),"")</f>
        <v>2019</v>
      </c>
      <c r="E25" s="27">
        <f t="array" ref="E25">IFerror(INDEX(Papers!G$2:G$997,MATCH($A25, Papers!$A$2:$A$997,0)),"")</f>
        <v>2017</v>
      </c>
      <c r="F25" s="21" t="s">
        <v>238</v>
      </c>
      <c r="G25" s="21" t="s">
        <v>11</v>
      </c>
      <c r="H25" s="21" t="s">
        <v>293</v>
      </c>
      <c r="I25" s="112">
        <v>362.0</v>
      </c>
      <c r="J25" s="113" t="s">
        <v>297</v>
      </c>
      <c r="K25" s="113">
        <v>1.03</v>
      </c>
      <c r="L25" s="115">
        <v>1.2</v>
      </c>
      <c r="M25" s="115">
        <v>4.46</v>
      </c>
      <c r="N25" s="115">
        <f t="shared" si="1"/>
        <v>3.26</v>
      </c>
      <c r="O25" s="116">
        <f t="shared" si="2"/>
        <v>3.3578</v>
      </c>
      <c r="P25" s="33"/>
    </row>
    <row r="26">
      <c r="A26" s="106">
        <v>26.0</v>
      </c>
      <c r="B26" s="34" t="str">
        <f t="array" ref="B26">IFerror(INDEX(Papers!C$2:C$997,MATCH($A26, Papers!$A$2:$A$997,0)),"")</f>
        <v>Effect of airtime incentives on response and cooperation rates in non-communicable disease interactive voice response surveys: randomised controlled trials in Bangladesh and Uganda</v>
      </c>
      <c r="C26" s="34" t="str">
        <f t="array" ref="C26">IFerror(INDEX(Papers!D$2:D$997,MATCH($A26, Papers!$A$2:$A$997,0)),"")</f>
        <v>Dustin Gibson, Adaeze Wosu, George Pariyo, Saifuddin Ahmed, Joseph Ali, Alain Labrique, Iqbal Khan, Elizeus Rutebemberwa, Meerjady Flora, and Adnan Hyder. </v>
      </c>
      <c r="D26" s="24">
        <f t="array" ref="D26">IFerror(INDEX(Papers!F$2:F$997,MATCH($A26, Papers!$A$2:$A$997,0)),"")</f>
        <v>2019</v>
      </c>
      <c r="E26" s="24">
        <f t="array" ref="E26">IFerror(INDEX(Papers!G$2:G$997,MATCH($A26, Papers!$A$2:$A$997,0)),"")</f>
        <v>2017</v>
      </c>
      <c r="F26" s="47" t="s">
        <v>258</v>
      </c>
      <c r="G26" s="14" t="s">
        <v>11</v>
      </c>
      <c r="H26" s="14" t="s">
        <v>293</v>
      </c>
      <c r="I26" s="107">
        <v>377.0</v>
      </c>
      <c r="J26" s="108" t="s">
        <v>297</v>
      </c>
      <c r="K26" s="108">
        <v>1.03</v>
      </c>
      <c r="L26" s="110">
        <v>0.0</v>
      </c>
      <c r="M26" s="110">
        <v>2.94</v>
      </c>
      <c r="N26" s="110">
        <f t="shared" si="1"/>
        <v>2.94</v>
      </c>
      <c r="O26" s="111">
        <f t="shared" si="2"/>
        <v>3.0282</v>
      </c>
      <c r="P26" s="34"/>
    </row>
    <row r="27">
      <c r="A27" s="106">
        <v>26.0</v>
      </c>
      <c r="B27" s="33" t="str">
        <f t="array" ref="B27">IFerror(INDEX(Papers!C$2:C$997,MATCH($A27, Papers!$A$2:$A$997,0)),"")</f>
        <v>Effect of airtime incentives on response and cooperation rates in non-communicable disease interactive voice response surveys: randomised controlled trials in Bangladesh and Uganda</v>
      </c>
      <c r="C27" s="33" t="str">
        <f t="array" ref="C27">IFerror(INDEX(Papers!D$2:D$997,MATCH($A27, Papers!$A$2:$A$997,0)),"")</f>
        <v>Dustin Gibson, Adaeze Wosu, George Pariyo, Saifuddin Ahmed, Joseph Ali, Alain Labrique, Iqbal Khan, Elizeus Rutebemberwa, Meerjady Flora, and Adnan Hyder. </v>
      </c>
      <c r="D27" s="27">
        <f t="array" ref="D27">IFerror(INDEX(Papers!F$2:F$997,MATCH($A27, Papers!$A$2:$A$997,0)),"")</f>
        <v>2019</v>
      </c>
      <c r="E27" s="27">
        <f t="array" ref="E27">IFerror(INDEX(Papers!G$2:G$997,MATCH($A27, Papers!$A$2:$A$997,0)),"")</f>
        <v>2017</v>
      </c>
      <c r="F27" s="41" t="s">
        <v>258</v>
      </c>
      <c r="G27" s="21" t="s">
        <v>11</v>
      </c>
      <c r="H27" s="21" t="s">
        <v>293</v>
      </c>
      <c r="I27" s="112">
        <v>404.0</v>
      </c>
      <c r="J27" s="113" t="s">
        <v>297</v>
      </c>
      <c r="K27" s="113">
        <v>1.03</v>
      </c>
      <c r="L27" s="115">
        <v>1.35</v>
      </c>
      <c r="M27" s="115">
        <v>3.91</v>
      </c>
      <c r="N27" s="115">
        <f t="shared" si="1"/>
        <v>2.56</v>
      </c>
      <c r="O27" s="116">
        <f t="shared" si="2"/>
        <v>2.6368</v>
      </c>
      <c r="P27" s="33"/>
    </row>
    <row r="28">
      <c r="A28" s="106">
        <v>26.0</v>
      </c>
      <c r="B28" s="34" t="str">
        <f t="array" ref="B28">IFerror(INDEX(Papers!C$2:C$997,MATCH($A28, Papers!$A$2:$A$997,0)),"")</f>
        <v>Effect of airtime incentives on response and cooperation rates in non-communicable disease interactive voice response surveys: randomised controlled trials in Bangladesh and Uganda</v>
      </c>
      <c r="C28" s="34" t="str">
        <f t="array" ref="C28">IFerror(INDEX(Papers!D$2:D$997,MATCH($A28, Papers!$A$2:$A$997,0)),"")</f>
        <v>Dustin Gibson, Adaeze Wosu, George Pariyo, Saifuddin Ahmed, Joseph Ali, Alain Labrique, Iqbal Khan, Elizeus Rutebemberwa, Meerjady Flora, and Adnan Hyder. </v>
      </c>
      <c r="D28" s="24">
        <f t="array" ref="D28">IFerror(INDEX(Papers!F$2:F$997,MATCH($A28, Papers!$A$2:$A$997,0)),"")</f>
        <v>2019</v>
      </c>
      <c r="E28" s="24">
        <f t="array" ref="E28">IFerror(INDEX(Papers!G$2:G$997,MATCH($A28, Papers!$A$2:$A$997,0)),"")</f>
        <v>2017</v>
      </c>
      <c r="F28" s="47" t="s">
        <v>258</v>
      </c>
      <c r="G28" s="14" t="s">
        <v>11</v>
      </c>
      <c r="H28" s="14" t="s">
        <v>293</v>
      </c>
      <c r="I28" s="107">
        <v>421.0</v>
      </c>
      <c r="J28" s="108" t="s">
        <v>297</v>
      </c>
      <c r="K28" s="108">
        <v>1.03</v>
      </c>
      <c r="L28" s="110">
        <v>2.7</v>
      </c>
      <c r="M28" s="110">
        <v>5.15</v>
      </c>
      <c r="N28" s="110">
        <f t="shared" si="1"/>
        <v>2.45</v>
      </c>
      <c r="O28" s="111">
        <f t="shared" si="2"/>
        <v>2.5235</v>
      </c>
      <c r="P28" s="34"/>
    </row>
    <row r="29">
      <c r="A29" s="133">
        <v>43.0</v>
      </c>
      <c r="B29" s="33" t="str">
        <f t="array" ref="B29">IFerror(INDEX(Papers!C$2:C$997,MATCH($A29, Papers!$A$2:$A$997,0)),"")</f>
        <v>Strengths and limitations of computer assisted telephone interviews (CATI) for nutrition data collection in rural Kenya</v>
      </c>
      <c r="C29" s="33" t="str">
        <f t="array" ref="C29">IFerror(INDEX(Papers!D$2:D$997,MATCH($A29, Papers!$A$2:$A$997,0)),"")</f>
        <v>Christine Lamanna, Kusum Hachhethu, Sabrina Chesterman, Gaurav Singhal, Beatrice Mwongela, Mary Ng’endo, Silvia Passeri et al.</v>
      </c>
      <c r="D29" s="27">
        <f t="array" ref="D29">IFerror(INDEX(Papers!F$2:F$997,MATCH($A29, Papers!$A$2:$A$997,0)),"")</f>
        <v>2019</v>
      </c>
      <c r="E29" s="27">
        <f t="array" ref="E29">IFerror(INDEX(Papers!G$2:G$997,MATCH($A29, Papers!$A$2:$A$997,0)),"")</f>
        <v>2016</v>
      </c>
      <c r="F29" s="59" t="s">
        <v>245</v>
      </c>
      <c r="G29" s="59" t="s">
        <v>8</v>
      </c>
      <c r="H29" s="59" t="s">
        <v>290</v>
      </c>
      <c r="I29" s="134">
        <v>727.0</v>
      </c>
      <c r="J29" s="135" t="s">
        <v>298</v>
      </c>
      <c r="K29" s="135">
        <v>1.08</v>
      </c>
      <c r="L29" s="136"/>
      <c r="M29" s="137">
        <v>16.0</v>
      </c>
      <c r="N29" s="137">
        <f t="shared" si="1"/>
        <v>16</v>
      </c>
      <c r="O29" s="138">
        <f t="shared" si="2"/>
        <v>17.28</v>
      </c>
      <c r="P29" s="127" t="s">
        <v>299</v>
      </c>
    </row>
    <row r="30">
      <c r="A30" s="139">
        <v>43.0</v>
      </c>
      <c r="B30" s="34" t="str">
        <f t="array" ref="B30">IFerror(INDEX(Papers!C$2:C$997,MATCH($A30, Papers!$A$2:$A$997,0)),"")</f>
        <v>Strengths and limitations of computer assisted telephone interviews (CATI) for nutrition data collection in rural Kenya</v>
      </c>
      <c r="C30" s="34" t="str">
        <f t="array" ref="C30">IFerror(INDEX(Papers!D$2:D$997,MATCH($A30, Papers!$A$2:$A$997,0)),"")</f>
        <v>Christine Lamanna, Kusum Hachhethu, Sabrina Chesterman, Gaurav Singhal, Beatrice Mwongela, Mary Ng’endo, Silvia Passeri et al.</v>
      </c>
      <c r="D30" s="24">
        <f t="array" ref="D30">IFerror(INDEX(Papers!F$2:F$997,MATCH($A30, Papers!$A$2:$A$997,0)),"")</f>
        <v>2019</v>
      </c>
      <c r="E30" s="24">
        <f t="array" ref="E30">IFerror(INDEX(Papers!G$2:G$997,MATCH($A30, Papers!$A$2:$A$997,0)),"")</f>
        <v>2016</v>
      </c>
      <c r="F30" s="53" t="s">
        <v>245</v>
      </c>
      <c r="G30" s="53" t="s">
        <v>9</v>
      </c>
      <c r="H30" s="53" t="s">
        <v>290</v>
      </c>
      <c r="I30" s="140">
        <v>1013.0</v>
      </c>
      <c r="J30" s="141" t="s">
        <v>298</v>
      </c>
      <c r="K30" s="142">
        <v>1.07</v>
      </c>
      <c r="L30" s="143"/>
      <c r="M30" s="144">
        <v>5.0</v>
      </c>
      <c r="N30" s="144">
        <f t="shared" si="1"/>
        <v>5</v>
      </c>
      <c r="O30" s="145">
        <f t="shared" si="2"/>
        <v>5.35</v>
      </c>
      <c r="P30" s="122" t="s">
        <v>299</v>
      </c>
    </row>
    <row r="31">
      <c r="A31" s="106">
        <v>45.0</v>
      </c>
      <c r="B31" s="33" t="str">
        <f t="array" ref="B31">IFerror(INDEX(Papers!C$2:C$997,MATCH($A31, Papers!$A$2:$A$997,0)),"")</f>
        <v>A mobile-based healthcare utilization assessment in rural Ghana</v>
      </c>
      <c r="C31" s="33" t="str">
        <f t="array" ref="C31">IFerror(INDEX(Papers!D$2:D$997,MATCH($A31, Papers!$A$2:$A$997,0)),"")</f>
        <v>Lara Vogel, Levi Goertz, Suhuyini Shani, Mark Boots, Louis Dorval, and N. Ewen Wang</v>
      </c>
      <c r="D31" s="27">
        <f t="array" ref="D31">IFerror(INDEX(Papers!F$2:F$997,MATCH($A31, Papers!$A$2:$A$997,0)),"")</f>
        <v>2016</v>
      </c>
      <c r="E31" s="27">
        <f t="array" ref="E31">IFerror(INDEX(Papers!G$2:G$997,MATCH($A31, Papers!$A$2:$A$997,0)),"")</f>
        <v>2014</v>
      </c>
      <c r="F31" s="21" t="s">
        <v>243</v>
      </c>
      <c r="G31" s="21" t="s">
        <v>11</v>
      </c>
      <c r="H31" s="41" t="s">
        <v>300</v>
      </c>
      <c r="I31" s="112">
        <v>827.0</v>
      </c>
      <c r="J31" s="113" t="s">
        <v>298</v>
      </c>
      <c r="K31" s="142">
        <v>1.07</v>
      </c>
      <c r="L31" s="115">
        <v>0.0</v>
      </c>
      <c r="M31" s="115">
        <v>5.0</v>
      </c>
      <c r="N31" s="115">
        <f t="shared" si="1"/>
        <v>5</v>
      </c>
      <c r="O31" s="116">
        <f t="shared" si="2"/>
        <v>5.35</v>
      </c>
      <c r="P31" s="33"/>
    </row>
    <row r="32">
      <c r="A32" s="106">
        <v>50.0</v>
      </c>
      <c r="B32" s="34" t="str">
        <f t="array" ref="B32">IFerror(INDEX(Papers!C$2:C$997,MATCH($A32, Papers!$A$2:$A$997,0)),"")</f>
        <v>Evaluating a Modular Design Approach to Collecting Survey Data Using Text Messages</v>
      </c>
      <c r="C32" s="34" t="str">
        <f t="array" ref="C32">IFerror(INDEX(Papers!D$2:D$997,MATCH($A32, Papers!$A$2:$A$997,0)),"")</f>
        <v>Brady West, Dirgha Ghimire, and William Axinn</v>
      </c>
      <c r="D32" s="24">
        <f t="array" ref="D32">IFerror(INDEX(Papers!F$2:F$997,MATCH($A32, Papers!$A$2:$A$997,0)),"")</f>
        <v>2015</v>
      </c>
      <c r="E32" s="24">
        <f t="array" ref="E32">IFerror(INDEX(Papers!G$2:G$997,MATCH($A32, Papers!$A$2:$A$997,0)),"")</f>
        <v>2014</v>
      </c>
      <c r="F32" s="14" t="s">
        <v>268</v>
      </c>
      <c r="G32" s="14" t="s">
        <v>9</v>
      </c>
      <c r="H32" s="14" t="s">
        <v>300</v>
      </c>
      <c r="I32" s="42">
        <v>148.0</v>
      </c>
      <c r="J32" s="108" t="s">
        <v>301</v>
      </c>
      <c r="K32" s="146">
        <v>1.08</v>
      </c>
      <c r="L32" s="110"/>
      <c r="M32" s="110">
        <v>6.87</v>
      </c>
      <c r="N32" s="110">
        <f t="shared" si="1"/>
        <v>6.87</v>
      </c>
      <c r="O32" s="111">
        <f t="shared" si="2"/>
        <v>7.4196</v>
      </c>
      <c r="P32" s="122" t="s">
        <v>302</v>
      </c>
    </row>
    <row r="33">
      <c r="A33" s="106">
        <v>50.0</v>
      </c>
      <c r="B33" s="33" t="str">
        <f t="array" ref="B33">IFerror(INDEX(Papers!C$2:C$997,MATCH($A33, Papers!$A$2:$A$997,0)),"")</f>
        <v>Evaluating a Modular Design Approach to Collecting Survey Data Using Text Messages</v>
      </c>
      <c r="C33" s="33" t="str">
        <f t="array" ref="C33">IFerror(INDEX(Papers!D$2:D$997,MATCH($A33, Papers!$A$2:$A$997,0)),"")</f>
        <v>Brady West, Dirgha Ghimire, and William Axinn</v>
      </c>
      <c r="D33" s="27">
        <f t="array" ref="D33">IFerror(INDEX(Papers!F$2:F$997,MATCH($A33, Papers!$A$2:$A$997,0)),"")</f>
        <v>2015</v>
      </c>
      <c r="E33" s="27">
        <f t="array" ref="E33">IFerror(INDEX(Papers!G$2:G$997,MATCH($A33, Papers!$A$2:$A$997,0)),"")</f>
        <v>2014</v>
      </c>
      <c r="F33" s="21" t="s">
        <v>268</v>
      </c>
      <c r="G33" s="21" t="s">
        <v>10</v>
      </c>
      <c r="H33" s="21" t="s">
        <v>300</v>
      </c>
      <c r="I33" s="36">
        <v>142.0</v>
      </c>
      <c r="J33" s="113" t="s">
        <v>298</v>
      </c>
      <c r="K33" s="113">
        <v>1.08</v>
      </c>
      <c r="L33" s="115"/>
      <c r="M33" s="115">
        <v>16.58</v>
      </c>
      <c r="N33" s="115">
        <f t="shared" si="1"/>
        <v>16.58</v>
      </c>
      <c r="O33" s="116">
        <f t="shared" si="2"/>
        <v>17.9064</v>
      </c>
      <c r="P33" s="127" t="s">
        <v>299</v>
      </c>
    </row>
    <row r="34">
      <c r="A34" s="106">
        <v>50.0</v>
      </c>
      <c r="B34" s="34" t="str">
        <f t="array" ref="B34">IFerror(INDEX(Papers!C$2:C$997,MATCH($A34, Papers!$A$2:$A$997,0)),"")</f>
        <v>Evaluating a Modular Design Approach to Collecting Survey Data Using Text Messages</v>
      </c>
      <c r="C34" s="34" t="str">
        <f t="array" ref="C34">IFerror(INDEX(Papers!D$2:D$997,MATCH($A34, Papers!$A$2:$A$997,0)),"")</f>
        <v>Brady West, Dirgha Ghimire, and William Axinn</v>
      </c>
      <c r="D34" s="24">
        <f t="array" ref="D34">IFerror(INDEX(Papers!F$2:F$997,MATCH($A34, Papers!$A$2:$A$997,0)),"")</f>
        <v>2015</v>
      </c>
      <c r="E34" s="24">
        <f t="array" ref="E34">IFerror(INDEX(Papers!G$2:G$997,MATCH($A34, Papers!$A$2:$A$997,0)),"")</f>
        <v>2014</v>
      </c>
      <c r="F34" s="14" t="s">
        <v>268</v>
      </c>
      <c r="G34" s="14" t="s">
        <v>303</v>
      </c>
      <c r="H34" s="14" t="s">
        <v>300</v>
      </c>
      <c r="I34" s="42">
        <v>142.0</v>
      </c>
      <c r="J34" s="108" t="s">
        <v>294</v>
      </c>
      <c r="K34" s="109">
        <v>1.05</v>
      </c>
      <c r="L34" s="110"/>
      <c r="M34" s="110">
        <v>16.1</v>
      </c>
      <c r="N34" s="110">
        <f t="shared" si="1"/>
        <v>16.1</v>
      </c>
      <c r="O34" s="111">
        <f t="shared" si="2"/>
        <v>16.905</v>
      </c>
      <c r="P34" s="122" t="s">
        <v>299</v>
      </c>
    </row>
    <row r="35">
      <c r="A35" s="147">
        <v>52.0</v>
      </c>
      <c r="B35" s="33" t="str">
        <f t="array" ref="B35">IFerror(INDEX(Papers!C$2:C$997,MATCH($A35, Papers!$A$2:$A$997,0)),"")</f>
        <v>Relying Solely On Mobile Phone Technology: Sampling And Gathering Survey Data In Challenging Settings</v>
      </c>
      <c r="C35" s="33" t="str">
        <f t="array" ref="C35">IFerror(INDEX(Papers!D$2:D$997,MATCH($A35, Papers!$A$2:$A$997,0)),"")</f>
        <v>Elisa Maffioli</v>
      </c>
      <c r="D35" s="27">
        <f t="array" ref="D35">IFerror(INDEX(Papers!F$2:F$997,MATCH($A35, Papers!$A$2:$A$997,0)),"")</f>
        <v>2019</v>
      </c>
      <c r="E35" s="27">
        <f t="array" ref="E35">IFerror(INDEX(Papers!G$2:G$997,MATCH($A35, Papers!$A$2:$A$997,0)),"")</f>
        <v>2015</v>
      </c>
      <c r="F35" s="41" t="s">
        <v>256</v>
      </c>
      <c r="G35" s="41" t="s">
        <v>9</v>
      </c>
      <c r="H35" s="41" t="s">
        <v>300</v>
      </c>
      <c r="I35" s="36">
        <v>2271.0</v>
      </c>
      <c r="J35" s="148" t="s">
        <v>301</v>
      </c>
      <c r="K35" s="149">
        <v>1.08</v>
      </c>
      <c r="L35" s="150">
        <v>1.0</v>
      </c>
      <c r="M35" s="150">
        <v>22.45</v>
      </c>
      <c r="N35" s="115">
        <f t="shared" si="1"/>
        <v>21.45</v>
      </c>
      <c r="O35" s="116">
        <f t="shared" si="2"/>
        <v>23.166</v>
      </c>
      <c r="P35" s="127"/>
    </row>
    <row r="36">
      <c r="A36" s="147">
        <v>52.0</v>
      </c>
      <c r="B36" s="34" t="str">
        <f t="array" ref="B36">IFerror(INDEX(Papers!C$2:C$997,MATCH($A36, Papers!$A$2:$A$997,0)),"")</f>
        <v>Relying Solely On Mobile Phone Technology: Sampling And Gathering Survey Data In Challenging Settings</v>
      </c>
      <c r="C36" s="34" t="str">
        <f t="array" ref="C36">IFerror(INDEX(Papers!D$2:D$997,MATCH($A36, Papers!$A$2:$A$997,0)),"")</f>
        <v>Elisa Maffioli</v>
      </c>
      <c r="D36" s="24">
        <f t="array" ref="D36">IFerror(INDEX(Papers!F$2:F$997,MATCH($A36, Papers!$A$2:$A$997,0)),"")</f>
        <v>2019</v>
      </c>
      <c r="E36" s="24">
        <f t="array" ref="E36">IFerror(INDEX(Papers!G$2:G$997,MATCH($A36, Papers!$A$2:$A$997,0)),"")</f>
        <v>2015</v>
      </c>
      <c r="F36" s="47" t="s">
        <v>256</v>
      </c>
      <c r="G36" s="47" t="s">
        <v>11</v>
      </c>
      <c r="H36" s="47" t="s">
        <v>293</v>
      </c>
      <c r="I36" s="42">
        <v>2733.0</v>
      </c>
      <c r="J36" s="151" t="s">
        <v>301</v>
      </c>
      <c r="K36" s="152">
        <v>1.08</v>
      </c>
      <c r="L36" s="153">
        <v>0.0</v>
      </c>
      <c r="M36" s="153">
        <v>7.61</v>
      </c>
      <c r="N36" s="110">
        <f t="shared" si="1"/>
        <v>7.61</v>
      </c>
      <c r="O36" s="111">
        <f t="shared" si="2"/>
        <v>8.2188</v>
      </c>
      <c r="P36" s="122"/>
    </row>
    <row r="37">
      <c r="A37" s="106">
        <v>53.0</v>
      </c>
      <c r="B37" s="33" t="str">
        <f t="array" ref="B37">IFerror(INDEX(Papers!C$2:C$997,MATCH($A37, Papers!$A$2:$A$997,0)),"")</f>
        <v>Mozambique Mobile Access and Usage Study Computer-Assisted Telephone Interview (CATI) Survey Results</v>
      </c>
      <c r="C37" s="33" t="str">
        <f t="array" ref="C37">IFerror(INDEX(Papers!D$2:D$997,MATCH($A37, Papers!$A$2:$A$997,0)),"")</f>
        <v>Daan Velthausz, Rotafina Donco, Hannah Skelly and Marga Eichleay</v>
      </c>
      <c r="D37" s="27">
        <f t="array" ref="D37">IFerror(INDEX(Papers!F$2:F$997,MATCH($A37, Papers!$A$2:$A$997,0)),"")</f>
        <v>2016</v>
      </c>
      <c r="E37" s="27">
        <f t="array" ref="E37">IFerror(INDEX(Papers!G$2:G$997,MATCH($A37, Papers!$A$2:$A$997,0)),"")</f>
        <v>2016</v>
      </c>
      <c r="F37" s="41" t="s">
        <v>267</v>
      </c>
      <c r="G37" s="154" t="s">
        <v>9</v>
      </c>
      <c r="H37" s="21" t="s">
        <v>293</v>
      </c>
      <c r="I37" s="155"/>
      <c r="J37" s="113" t="s">
        <v>304</v>
      </c>
      <c r="K37" s="156">
        <v>0.01704276471516491</v>
      </c>
      <c r="L37" s="115"/>
      <c r="M37" s="114">
        <v>750.0</v>
      </c>
      <c r="N37" s="115">
        <f t="shared" si="1"/>
        <v>750</v>
      </c>
      <c r="O37" s="116">
        <f t="shared" si="2"/>
        <v>12.78207354</v>
      </c>
      <c r="P37" s="127" t="s">
        <v>305</v>
      </c>
    </row>
    <row r="38">
      <c r="A38" s="106">
        <v>53.0</v>
      </c>
      <c r="B38" s="34" t="str">
        <f t="array" ref="B38">IFerror(INDEX(Papers!C$2:C$997,MATCH($A38, Papers!$A$2:$A$997,0)),"")</f>
        <v>Mozambique Mobile Access and Usage Study Computer-Assisted Telephone Interview (CATI) Survey Results</v>
      </c>
      <c r="C38" s="34" t="str">
        <f t="array" ref="C38">IFerror(INDEX(Papers!D$2:D$997,MATCH($A38, Papers!$A$2:$A$997,0)),"")</f>
        <v>Daan Velthausz, Rotafina Donco, Hannah Skelly and Marga Eichleay</v>
      </c>
      <c r="D38" s="24">
        <f t="array" ref="D38">IFerror(INDEX(Papers!F$2:F$997,MATCH($A38, Papers!$A$2:$A$997,0)),"")</f>
        <v>2016</v>
      </c>
      <c r="E38" s="24">
        <f t="array" ref="E38">IFerror(INDEX(Papers!G$2:G$997,MATCH($A38, Papers!$A$2:$A$997,0)),"")</f>
        <v>2016</v>
      </c>
      <c r="F38" s="47" t="s">
        <v>267</v>
      </c>
      <c r="G38" s="157" t="s">
        <v>9</v>
      </c>
      <c r="H38" s="14" t="s">
        <v>293</v>
      </c>
      <c r="I38" s="158"/>
      <c r="J38" s="108" t="s">
        <v>304</v>
      </c>
      <c r="K38" s="159">
        <v>0.01704276471516491</v>
      </c>
      <c r="L38" s="109">
        <v>96.0</v>
      </c>
      <c r="M38" s="109">
        <v>1500.0</v>
      </c>
      <c r="N38" s="109">
        <f t="shared" si="1"/>
        <v>1404</v>
      </c>
      <c r="O38" s="132">
        <f t="shared" si="2"/>
        <v>23.92804166</v>
      </c>
      <c r="P38" s="160" t="s">
        <v>306</v>
      </c>
    </row>
    <row r="39">
      <c r="A39" s="147">
        <v>57.0</v>
      </c>
      <c r="B39" s="33" t="str">
        <f t="array" ref="B39">IFerror(INDEX(Papers!C$2:C$997,MATCH($A39, Papers!$A$2:$A$997,0)),"")</f>
        <v>USAID Communicate for Health Mobile Cohort Study - Follow-up Survey 2018</v>
      </c>
      <c r="C39" s="33" t="str">
        <f t="array" ref="C39">IFerror(INDEX(Papers!D$2:D$997,MATCH($A39, Papers!$A$2:$A$997,0)),"")</f>
        <v>Nii Heward-Mills and Yaa Ama Owusu-Amoah</v>
      </c>
      <c r="D39" s="27">
        <f t="array" ref="D39">IFerror(INDEX(Papers!F$2:F$997,MATCH($A39, Papers!$A$2:$A$997,0)),"")</f>
        <v>2018</v>
      </c>
      <c r="E39" s="27">
        <f t="array" ref="E39">IFerror(INDEX(Papers!G$2:G$997,MATCH($A39, Papers!$A$2:$A$997,0)),"")</f>
        <v>2017</v>
      </c>
      <c r="F39" s="41" t="s">
        <v>243</v>
      </c>
      <c r="G39" s="41" t="s">
        <v>11</v>
      </c>
      <c r="H39" s="41" t="s">
        <v>300</v>
      </c>
      <c r="I39" s="161">
        <v>707.0</v>
      </c>
      <c r="J39" s="148" t="s">
        <v>294</v>
      </c>
      <c r="K39" s="149">
        <v>1.05</v>
      </c>
      <c r="L39" s="150">
        <v>1.17</v>
      </c>
      <c r="M39" s="150">
        <v>22.97</v>
      </c>
      <c r="N39" s="115">
        <f t="shared" si="1"/>
        <v>21.8</v>
      </c>
      <c r="O39" s="162">
        <f t="shared" si="2"/>
        <v>22.89</v>
      </c>
      <c r="P39" s="163" t="s">
        <v>307</v>
      </c>
    </row>
    <row r="40">
      <c r="A40" s="106">
        <v>58.0</v>
      </c>
      <c r="B40" s="34" t="str">
        <f t="array" ref="B40">IFerror(INDEX(Papers!C$2:C$997,MATCH($A40, Papers!$A$2:$A$997,0)),"")</f>
        <v>Testing the validity and feasibility of using a mobile phone-based method to assess the strength of implementation of family planning programs in Malawi</v>
      </c>
      <c r="C40" s="34" t="str">
        <f t="array" ref="C40">IFerror(INDEX(Papers!D$2:D$997,MATCH($A40, Papers!$A$2:$A$997,0)),"")</f>
        <v>Anooj Pattnaik, Diwakar Mohan, Sam Chipokosa, Sautso Wachepa, Hans Katengeza, Amos Misomali &amp; Melissa A. Marx </v>
      </c>
      <c r="D40" s="24">
        <f t="array" ref="D40">IFerror(INDEX(Papers!F$2:F$997,MATCH($A40, Papers!$A$2:$A$997,0)),"")</f>
        <v>2020</v>
      </c>
      <c r="E40" s="24">
        <f t="array" ref="E40">IFerror(INDEX(Papers!G$2:G$997,MATCH($A40, Papers!$A$2:$A$997,0)),"")</f>
        <v>2017</v>
      </c>
      <c r="F40" s="14" t="s">
        <v>247</v>
      </c>
      <c r="G40" s="47" t="s">
        <v>8</v>
      </c>
      <c r="H40" s="14" t="s">
        <v>308</v>
      </c>
      <c r="I40" s="164">
        <v>356.0</v>
      </c>
      <c r="J40" s="108" t="s">
        <v>309</v>
      </c>
      <c r="K40" s="152">
        <v>1.0</v>
      </c>
      <c r="L40" s="110"/>
      <c r="M40" s="153">
        <v>25.48</v>
      </c>
      <c r="N40" s="110">
        <f t="shared" si="1"/>
        <v>25.48</v>
      </c>
      <c r="O40" s="111">
        <f t="shared" si="2"/>
        <v>25.48</v>
      </c>
      <c r="P40" s="122" t="s">
        <v>299</v>
      </c>
    </row>
    <row r="41">
      <c r="A41" s="106">
        <v>58.0</v>
      </c>
      <c r="B41" s="33" t="str">
        <f t="array" ref="B41">IFerror(INDEX(Papers!C$2:C$997,MATCH($A41, Papers!$A$2:$A$997,0)),"")</f>
        <v>Testing the validity and feasibility of using a mobile phone-based method to assess the strength of implementation of family planning programs in Malawi</v>
      </c>
      <c r="C41" s="33" t="str">
        <f t="array" ref="C41">IFerror(INDEX(Papers!D$2:D$997,MATCH($A41, Papers!$A$2:$A$997,0)),"")</f>
        <v>Anooj Pattnaik, Diwakar Mohan, Sam Chipokosa, Sautso Wachepa, Hans Katengeza, Amos Misomali &amp; Melissa A. Marx </v>
      </c>
      <c r="D41" s="27">
        <f t="array" ref="D41">IFerror(INDEX(Papers!F$2:F$997,MATCH($A41, Papers!$A$2:$A$997,0)),"")</f>
        <v>2020</v>
      </c>
      <c r="E41" s="27">
        <f t="array" ref="E41">IFerror(INDEX(Papers!G$2:G$997,MATCH($A41, Papers!$A$2:$A$997,0)),"")</f>
        <v>2017</v>
      </c>
      <c r="F41" s="21" t="s">
        <v>247</v>
      </c>
      <c r="G41" s="21" t="s">
        <v>9</v>
      </c>
      <c r="H41" s="21" t="s">
        <v>308</v>
      </c>
      <c r="I41" s="112">
        <v>701.0</v>
      </c>
      <c r="J41" s="113" t="s">
        <v>309</v>
      </c>
      <c r="K41" s="149">
        <v>1.0</v>
      </c>
      <c r="L41" s="115"/>
      <c r="M41" s="115">
        <v>10.56</v>
      </c>
      <c r="N41" s="115">
        <f t="shared" si="1"/>
        <v>10.56</v>
      </c>
      <c r="O41" s="116">
        <f t="shared" si="2"/>
        <v>10.56</v>
      </c>
      <c r="P41" s="127" t="s">
        <v>299</v>
      </c>
    </row>
    <row r="42">
      <c r="A42" s="106">
        <v>59.0</v>
      </c>
      <c r="B42" s="34" t="str">
        <f t="array" ref="B42">IFerror(INDEX(Papers!C$2:C$997,MATCH($A42, Papers!$A$2:$A$997,0)),"")</f>
        <v>Using mobile phones to collect panel data in developing countries</v>
      </c>
      <c r="C42" s="34" t="str">
        <f t="array" ref="C42">IFerror(INDEX(Papers!D$2:D$997,MATCH($A42, Papers!$A$2:$A$997,0)),"")</f>
        <v>Brian Dillon</v>
      </c>
      <c r="D42" s="24">
        <f t="array" ref="D42">IFerror(INDEX(Papers!F$2:F$997,MATCH($A42, Papers!$A$2:$A$997,0)),"")</f>
        <v>2012</v>
      </c>
      <c r="E42" s="24">
        <f t="array" ref="E42">IFerror(INDEX(Papers!G$2:G$997,MATCH($A42, Papers!$A$2:$A$997,0)),"")</f>
        <v>2009</v>
      </c>
      <c r="F42" s="14" t="s">
        <v>257</v>
      </c>
      <c r="G42" s="14" t="s">
        <v>9</v>
      </c>
      <c r="H42" s="14" t="s">
        <v>290</v>
      </c>
      <c r="I42" s="107">
        <v>2677.0</v>
      </c>
      <c r="J42" s="108" t="s">
        <v>310</v>
      </c>
      <c r="K42" s="152">
        <v>1.2</v>
      </c>
      <c r="L42" s="110">
        <v>0.76</v>
      </c>
      <c r="M42" s="110">
        <v>6.98</v>
      </c>
      <c r="N42" s="119">
        <f t="shared" si="1"/>
        <v>6.22</v>
      </c>
      <c r="O42" s="121">
        <f t="shared" si="2"/>
        <v>7.464</v>
      </c>
      <c r="P42" s="122" t="s">
        <v>311</v>
      </c>
    </row>
    <row r="43">
      <c r="A43" s="147">
        <v>61.0</v>
      </c>
      <c r="B43" s="33" t="str">
        <f t="array" ref="B43">IFerror(INDEX(Papers!C$2:C$997,MATCH($A43, Papers!$A$2:$A$997,0)),"")</f>
        <v>Using mobile phones for high-frequency data collection</v>
      </c>
      <c r="C43" s="33" t="str">
        <f t="array" ref="C43">IFerror(INDEX(Papers!D$2:D$997,MATCH($A43, Papers!$A$2:$A$997,0)),"")</f>
        <v>Amparo Ballivian, Joao Pedro Azevedo, Will Durbin</v>
      </c>
      <c r="D43" s="27">
        <f t="array" ref="D43">IFerror(INDEX(Papers!F$2:F$997,MATCH($A43, Papers!$A$2:$A$997,0)),"")</f>
        <v>2015</v>
      </c>
      <c r="E43" s="27">
        <f t="array" ref="E43">IFerror(INDEX(Papers!G$2:G$997,MATCH($A43, Papers!$A$2:$A$997,0)),"")</f>
        <v>2012</v>
      </c>
      <c r="F43" s="165" t="s">
        <v>253</v>
      </c>
      <c r="G43" s="21" t="s">
        <v>8</v>
      </c>
      <c r="H43" s="21" t="s">
        <v>290</v>
      </c>
      <c r="I43" s="155">
        <v>1500.0</v>
      </c>
      <c r="J43" s="113" t="s">
        <v>312</v>
      </c>
      <c r="K43" s="113">
        <v>1.12</v>
      </c>
      <c r="L43" s="166"/>
      <c r="M43" s="115">
        <v>40.0</v>
      </c>
      <c r="N43" s="124">
        <v>40.0</v>
      </c>
      <c r="O43" s="126">
        <v>44.800000000000004</v>
      </c>
      <c r="P43" s="127" t="s">
        <v>299</v>
      </c>
    </row>
    <row r="44">
      <c r="A44" s="147">
        <v>61.0</v>
      </c>
      <c r="B44" s="34" t="str">
        <f t="array" ref="B44">IFerror(INDEX(Papers!C$2:C$997,MATCH($A44, Papers!$A$2:$A$997,0)),"")</f>
        <v>Using mobile phones for high-frequency data collection</v>
      </c>
      <c r="C44" s="34" t="str">
        <f t="array" ref="C44">IFerror(INDEX(Papers!D$2:D$997,MATCH($A44, Papers!$A$2:$A$997,0)),"")</f>
        <v>Amparo Ballivian, Joao Pedro Azevedo, Will Durbin</v>
      </c>
      <c r="D44" s="24">
        <f t="array" ref="D44">IFerror(INDEX(Papers!F$2:F$997,MATCH($A44, Papers!$A$2:$A$997,0)),"")</f>
        <v>2015</v>
      </c>
      <c r="E44" s="24">
        <f t="array" ref="E44">IFerror(INDEX(Papers!G$2:G$997,MATCH($A44, Papers!$A$2:$A$997,0)),"")</f>
        <v>2012</v>
      </c>
      <c r="F44" s="14" t="s">
        <v>253</v>
      </c>
      <c r="G44" s="14" t="s">
        <v>9</v>
      </c>
      <c r="H44" s="14" t="s">
        <v>290</v>
      </c>
      <c r="I44" s="158">
        <v>1500.0</v>
      </c>
      <c r="J44" s="108" t="s">
        <v>312</v>
      </c>
      <c r="K44" s="108">
        <v>1.12</v>
      </c>
      <c r="L44" s="167"/>
      <c r="M44" s="110">
        <v>25.0</v>
      </c>
      <c r="N44" s="119">
        <v>25.0</v>
      </c>
      <c r="O44" s="121">
        <v>28.000000000000004</v>
      </c>
      <c r="P44" s="122" t="s">
        <v>313</v>
      </c>
    </row>
    <row r="45">
      <c r="A45" s="147">
        <v>61.0</v>
      </c>
      <c r="B45" s="33" t="str">
        <f t="array" ref="B45">IFerror(INDEX(Papers!C$2:C$997,MATCH($A45, Papers!$A$2:$A$997,0)),"")</f>
        <v>Using mobile phones for high-frequency data collection</v>
      </c>
      <c r="C45" s="33" t="str">
        <f t="array" ref="C45">IFerror(INDEX(Papers!D$2:D$997,MATCH($A45, Papers!$A$2:$A$997,0)),"")</f>
        <v>Amparo Ballivian, Joao Pedro Azevedo, Will Durbin</v>
      </c>
      <c r="D45" s="27">
        <f t="array" ref="D45">IFerror(INDEX(Papers!F$2:F$997,MATCH($A45, Papers!$A$2:$A$997,0)),"")</f>
        <v>2015</v>
      </c>
      <c r="E45" s="27">
        <f t="array" ref="E45">IFerror(INDEX(Papers!G$2:G$997,MATCH($A45, Papers!$A$2:$A$997,0)),"")</f>
        <v>2012</v>
      </c>
      <c r="F45" s="21" t="s">
        <v>253</v>
      </c>
      <c r="G45" s="21" t="s">
        <v>11</v>
      </c>
      <c r="H45" s="21" t="s">
        <v>290</v>
      </c>
      <c r="I45" s="155">
        <v>1500.0</v>
      </c>
      <c r="J45" s="113" t="s">
        <v>312</v>
      </c>
      <c r="K45" s="113">
        <v>1.12</v>
      </c>
      <c r="L45" s="166"/>
      <c r="M45" s="115">
        <v>17.0</v>
      </c>
      <c r="N45" s="124">
        <v>17.0</v>
      </c>
      <c r="O45" s="126">
        <v>19.040000000000003</v>
      </c>
      <c r="P45" s="127" t="s">
        <v>313</v>
      </c>
    </row>
    <row r="46">
      <c r="A46" s="147">
        <v>61.0</v>
      </c>
      <c r="B46" s="34" t="str">
        <f t="array" ref="B46">IFerror(INDEX(Papers!C$2:C$997,MATCH($A46, Papers!$A$2:$A$997,0)),"")</f>
        <v>Using mobile phones for high-frequency data collection</v>
      </c>
      <c r="C46" s="34" t="str">
        <f t="array" ref="C46">IFerror(INDEX(Papers!D$2:D$997,MATCH($A46, Papers!$A$2:$A$997,0)),"")</f>
        <v>Amparo Ballivian, Joao Pedro Azevedo, Will Durbin</v>
      </c>
      <c r="D46" s="24">
        <f t="array" ref="D46">IFerror(INDEX(Papers!F$2:F$997,MATCH($A46, Papers!$A$2:$A$997,0)),"")</f>
        <v>2015</v>
      </c>
      <c r="E46" s="24">
        <f t="array" ref="E46">IFerror(INDEX(Papers!G$2:G$997,MATCH($A46, Papers!$A$2:$A$997,0)),"")</f>
        <v>2012</v>
      </c>
      <c r="F46" s="14" t="s">
        <v>253</v>
      </c>
      <c r="G46" s="14" t="s">
        <v>10</v>
      </c>
      <c r="H46" s="14" t="s">
        <v>290</v>
      </c>
      <c r="I46" s="158">
        <v>1500.0</v>
      </c>
      <c r="J46" s="108" t="s">
        <v>312</v>
      </c>
      <c r="K46" s="108">
        <v>1.12</v>
      </c>
      <c r="L46" s="167"/>
      <c r="M46" s="110">
        <v>8.0</v>
      </c>
      <c r="N46" s="119">
        <v>8.0</v>
      </c>
      <c r="O46" s="121">
        <v>8.96</v>
      </c>
      <c r="P46" s="122" t="s">
        <v>313</v>
      </c>
    </row>
    <row r="47">
      <c r="A47" s="168">
        <v>62.0</v>
      </c>
      <c r="B47" s="33" t="str">
        <f t="array" ref="B47">IFerror(INDEX(Papers!C$2:C$997,MATCH($A47, Papers!$A$2:$A$997,0)),"")</f>
        <v>Cell phone and face-to-face interview responses in population-based surveys: how do they compare? </v>
      </c>
      <c r="C47" s="33" t="str">
        <f t="array" ref="C47">IFerror(INDEX(Papers!D$2:D$997,MATCH($A47, Papers!$A$2:$A$997,0)),"")</f>
        <v>Ziyad Mahfoud, Lilian Ghandour, Blanche Ghandour, Ali Mokdad, and Abla Sibai</v>
      </c>
      <c r="D47" s="27">
        <f t="array" ref="D47">IFerror(INDEX(Papers!F$2:F$997,MATCH($A47, Papers!$A$2:$A$997,0)),"")</f>
        <v>2014</v>
      </c>
      <c r="E47" s="27">
        <f t="array" ref="E47">IFerror(INDEX(Papers!G$2:G$997,MATCH($A47, Papers!$A$2:$A$997,0)),"")</f>
        <v>2010</v>
      </c>
      <c r="F47" s="21" t="s">
        <v>314</v>
      </c>
      <c r="G47" s="41" t="s">
        <v>8</v>
      </c>
      <c r="H47" s="21" t="s">
        <v>290</v>
      </c>
      <c r="I47" s="161">
        <v>2836.0</v>
      </c>
      <c r="J47" s="113" t="s">
        <v>295</v>
      </c>
      <c r="K47" s="113">
        <v>1.09</v>
      </c>
      <c r="L47" s="166"/>
      <c r="M47" s="150">
        <v>35.96</v>
      </c>
      <c r="N47" s="124">
        <f t="shared" ref="N47:N49" si="3">M47-L47</f>
        <v>35.96</v>
      </c>
      <c r="O47" s="126">
        <f t="shared" ref="O47:O49" si="4">N47*K47</f>
        <v>39.1964</v>
      </c>
      <c r="P47" s="127" t="s">
        <v>299</v>
      </c>
    </row>
    <row r="48">
      <c r="A48" s="106">
        <v>62.0</v>
      </c>
      <c r="B48" s="34" t="str">
        <f t="array" ref="B48">IFerror(INDEX(Papers!C$2:C$997,MATCH($A48, Papers!$A$2:$A$997,0)),"")</f>
        <v>Cell phone and face-to-face interview responses in population-based surveys: how do they compare? </v>
      </c>
      <c r="C48" s="34" t="str">
        <f t="array" ref="C48">IFerror(INDEX(Papers!D$2:D$997,MATCH($A48, Papers!$A$2:$A$997,0)),"")</f>
        <v>Ziyad Mahfoud, Lilian Ghandour, Blanche Ghandour, Ali Mokdad, and Abla Sibai</v>
      </c>
      <c r="D48" s="24">
        <f t="array" ref="D48">IFerror(INDEX(Papers!F$2:F$997,MATCH($A48, Papers!$A$2:$A$997,0)),"")</f>
        <v>2014</v>
      </c>
      <c r="E48" s="24">
        <f t="array" ref="E48">IFerror(INDEX(Papers!G$2:G$997,MATCH($A48, Papers!$A$2:$A$997,0)),"")</f>
        <v>2010</v>
      </c>
      <c r="F48" s="14" t="s">
        <v>314</v>
      </c>
      <c r="G48" s="14" t="s">
        <v>9</v>
      </c>
      <c r="H48" s="14" t="s">
        <v>290</v>
      </c>
      <c r="I48" s="107">
        <v>630.0</v>
      </c>
      <c r="J48" s="108" t="s">
        <v>295</v>
      </c>
      <c r="K48" s="108">
        <v>1.09</v>
      </c>
      <c r="L48" s="167"/>
      <c r="M48" s="110">
        <v>4.44</v>
      </c>
      <c r="N48" s="119">
        <f t="shared" si="3"/>
        <v>4.44</v>
      </c>
      <c r="O48" s="121">
        <f t="shared" si="4"/>
        <v>4.8396</v>
      </c>
      <c r="P48" s="122" t="s">
        <v>299</v>
      </c>
    </row>
    <row r="49">
      <c r="A49" s="106">
        <v>62.0</v>
      </c>
      <c r="B49" s="33" t="str">
        <f t="array" ref="B49">IFerror(INDEX(Papers!C$2:C$997,MATCH($A49, Papers!$A$2:$A$997,0)),"")</f>
        <v>Cell phone and face-to-face interview responses in population-based surveys: how do they compare? </v>
      </c>
      <c r="C49" s="33" t="str">
        <f t="array" ref="C49">IFerror(INDEX(Papers!D$2:D$997,MATCH($A49, Papers!$A$2:$A$997,0)),"")</f>
        <v>Ziyad Mahfoud, Lilian Ghandour, Blanche Ghandour, Ali Mokdad, and Abla Sibai</v>
      </c>
      <c r="D49" s="27">
        <f t="array" ref="D49">IFerror(INDEX(Papers!F$2:F$997,MATCH($A49, Papers!$A$2:$A$997,0)),"")</f>
        <v>2014</v>
      </c>
      <c r="E49" s="27">
        <f t="array" ref="E49">IFerror(INDEX(Papers!G$2:G$997,MATCH($A49, Papers!$A$2:$A$997,0)),"")</f>
        <v>2010</v>
      </c>
      <c r="F49" s="21" t="s">
        <v>314</v>
      </c>
      <c r="G49" s="21" t="s">
        <v>9</v>
      </c>
      <c r="H49" s="21" t="s">
        <v>290</v>
      </c>
      <c r="I49" s="112">
        <v>630.0</v>
      </c>
      <c r="J49" s="113" t="s">
        <v>295</v>
      </c>
      <c r="K49" s="113">
        <v>1.09</v>
      </c>
      <c r="L49" s="166"/>
      <c r="M49" s="115">
        <v>22.2</v>
      </c>
      <c r="N49" s="124">
        <f t="shared" si="3"/>
        <v>22.2</v>
      </c>
      <c r="O49" s="126">
        <f t="shared" si="4"/>
        <v>24.198</v>
      </c>
      <c r="P49" s="127" t="s">
        <v>315</v>
      </c>
    </row>
  </sheetData>
  <autoFilter ref="$A$1:$P$49">
    <sortState ref="A1:P49">
      <sortCondition ref="A1:A49"/>
      <sortCondition ref="G1:G49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25"/>
    <col customWidth="1" min="2" max="2" width="18.75"/>
    <col customWidth="1" min="3" max="3" width="8.38"/>
    <col customWidth="1" min="4" max="4" width="38.25"/>
    <col customWidth="1" min="5" max="5" width="10.88"/>
    <col customWidth="1" min="8" max="8" width="18.38"/>
    <col customWidth="1" min="9" max="9" width="10.75"/>
    <col customWidth="1" min="10" max="10" width="15.13"/>
    <col customWidth="1" min="11" max="11" width="27.88"/>
    <col customWidth="1" min="12" max="12" width="12.5"/>
    <col customWidth="1" min="13" max="13" width="15.13"/>
    <col customWidth="1" min="22" max="22" width="13.5"/>
    <col customWidth="1" min="23" max="23" width="13.88"/>
    <col customWidth="1" min="24" max="24" width="49.38"/>
    <col customWidth="1" min="25" max="26" width="13.88"/>
  </cols>
  <sheetData>
    <row r="1">
      <c r="A1" s="169"/>
      <c r="B1" s="104"/>
      <c r="C1" s="74"/>
      <c r="D1" s="170"/>
      <c r="E1" s="74"/>
      <c r="F1" s="73"/>
      <c r="G1" s="74"/>
      <c r="H1" s="73"/>
      <c r="I1" s="73"/>
      <c r="J1" s="170"/>
      <c r="K1" s="104"/>
      <c r="L1" s="171"/>
      <c r="M1" s="170"/>
      <c r="N1" s="172" t="s">
        <v>316</v>
      </c>
      <c r="P1" s="173" t="s">
        <v>317</v>
      </c>
      <c r="W1" s="173"/>
      <c r="X1" s="174" t="s">
        <v>318</v>
      </c>
      <c r="AA1" s="175" t="s">
        <v>319</v>
      </c>
    </row>
    <row r="2" ht="30.0" customHeight="1">
      <c r="A2" s="176" t="s">
        <v>0</v>
      </c>
      <c r="B2" s="177" t="s">
        <v>235</v>
      </c>
      <c r="C2" s="178" t="s">
        <v>5</v>
      </c>
      <c r="D2" s="179" t="s">
        <v>2</v>
      </c>
      <c r="E2" s="178" t="s">
        <v>236</v>
      </c>
      <c r="F2" s="178" t="s">
        <v>279</v>
      </c>
      <c r="G2" s="180" t="s">
        <v>237</v>
      </c>
      <c r="H2" s="178" t="s">
        <v>320</v>
      </c>
      <c r="I2" s="178" t="s">
        <v>321</v>
      </c>
      <c r="J2" s="181" t="s">
        <v>322</v>
      </c>
      <c r="K2" s="177" t="s">
        <v>323</v>
      </c>
      <c r="L2" s="182" t="s">
        <v>324</v>
      </c>
      <c r="M2" s="179" t="s">
        <v>325</v>
      </c>
      <c r="N2" s="183" t="s">
        <v>326</v>
      </c>
      <c r="O2" s="184" t="s">
        <v>327</v>
      </c>
      <c r="P2" s="185" t="s">
        <v>328</v>
      </c>
      <c r="Q2" s="185" t="s">
        <v>329</v>
      </c>
      <c r="R2" s="185" t="s">
        <v>330</v>
      </c>
      <c r="S2" s="185" t="s">
        <v>331</v>
      </c>
      <c r="T2" s="186" t="s">
        <v>332</v>
      </c>
      <c r="U2" s="186" t="s">
        <v>333</v>
      </c>
      <c r="V2" s="185" t="s">
        <v>334</v>
      </c>
      <c r="W2" s="185" t="s">
        <v>335</v>
      </c>
      <c r="X2" s="187" t="s">
        <v>336</v>
      </c>
      <c r="Y2" s="188" t="s">
        <v>337</v>
      </c>
      <c r="Z2" s="189" t="s">
        <v>338</v>
      </c>
      <c r="AA2" s="190" t="s">
        <v>339</v>
      </c>
      <c r="AB2" s="191" t="s">
        <v>340</v>
      </c>
      <c r="AC2" s="191" t="s">
        <v>341</v>
      </c>
      <c r="AD2" s="191" t="s">
        <v>342</v>
      </c>
      <c r="AE2" s="191" t="s">
        <v>343</v>
      </c>
      <c r="AF2" s="191" t="s">
        <v>344</v>
      </c>
      <c r="AG2" s="191" t="s">
        <v>345</v>
      </c>
      <c r="AH2" s="191" t="s">
        <v>346</v>
      </c>
    </row>
    <row r="3" hidden="1">
      <c r="A3" s="192">
        <v>3.0</v>
      </c>
      <c r="B3" s="86" t="str">
        <f t="array" ref="B3">IFerror(INDEX(Papers!D$2:D$998,MATCH($A3, Papers!$A$2:$A$998,0)),"")</f>
        <v>Robert Garlick, Kate Orkin, and Simon Quinn. </v>
      </c>
      <c r="C3" s="59">
        <f t="array" ref="C3">IFerror(INDEX(Papers!F$2:F$998,MATCH($A3, Papers!$A$2:$A$998,0)),"")</f>
        <v>2019</v>
      </c>
      <c r="D3" s="86" t="str">
        <f t="array" ref="D3">IFerror(INDEX(Papers!C$2:C$998,MATCH($A3, Papers!$A$2:$A$998,0)),"")</f>
        <v>Call Me Maybe: Experimental Evidence on Frequency and Medium Effects in Microenterprise Surveys</v>
      </c>
      <c r="E3" s="59">
        <f t="array" ref="E3">IFerror(INDEX(Papers!G$2:G$998,MATCH($A3, Papers!$A$2:$A$998,0)),"")</f>
        <v>2014</v>
      </c>
      <c r="F3" s="57" t="s">
        <v>270</v>
      </c>
      <c r="G3" s="67" t="s">
        <v>9</v>
      </c>
      <c r="H3" s="86" t="s">
        <v>347</v>
      </c>
      <c r="I3" s="68">
        <v>0.0</v>
      </c>
      <c r="J3" s="68">
        <v>26.0</v>
      </c>
      <c r="K3" s="86"/>
      <c r="L3" s="193"/>
      <c r="M3" s="68">
        <v>10.0</v>
      </c>
      <c r="N3" s="194" t="str">
        <f t="shared" ref="N3:N20" si="1">iferror(R3/Q3,"")</f>
        <v/>
      </c>
      <c r="O3" s="194"/>
      <c r="P3" s="84"/>
      <c r="Q3" s="134"/>
      <c r="R3" s="84"/>
      <c r="S3" s="134"/>
      <c r="T3" s="134"/>
      <c r="U3" s="134"/>
      <c r="V3" s="134"/>
      <c r="W3" s="134"/>
      <c r="X3" s="193" t="s">
        <v>348</v>
      </c>
      <c r="Y3" s="195">
        <v>0.478</v>
      </c>
      <c r="Z3" s="196">
        <v>885.0</v>
      </c>
      <c r="AA3" s="192"/>
      <c r="AB3" s="192"/>
      <c r="AC3" s="192"/>
      <c r="AD3" s="192"/>
      <c r="AE3" s="192"/>
      <c r="AF3" s="192"/>
      <c r="AG3" s="192"/>
      <c r="AH3" s="192"/>
    </row>
    <row r="4" hidden="1">
      <c r="A4" s="197">
        <v>4.0</v>
      </c>
      <c r="B4" s="198" t="str">
        <f t="array" ref="B4">IFerror(INDEX(Papers!D$2:D$998,MATCH($A4, Papers!$A$2:$A$998,0)),"")</f>
        <v>Rachel Health, Ghazala Mansuri, Bob Rijkers, William Seitz, and Dhiraj Sharma</v>
      </c>
      <c r="C4" s="53">
        <f t="array" ref="C4">IFerror(INDEX(Papers!F$2:F$998,MATCH($A4, Papers!$A$2:$A$998,0)),"")</f>
        <v>2017</v>
      </c>
      <c r="D4" s="198" t="str">
        <f t="array" ref="D4">IFerror(INDEX(Papers!C$2:C$998,MATCH($A4, Papers!$A$2:$A$998,0)),"")</f>
        <v>Measuring Employment: Experimental Evidence from Ghana</v>
      </c>
      <c r="E4" s="53">
        <f t="array" ref="E4">IFerror(INDEX(Papers!G$2:G$998,MATCH($A4, Papers!$A$2:$A$998,0)),"")</f>
        <v>2013</v>
      </c>
      <c r="F4" s="69" t="s">
        <v>243</v>
      </c>
      <c r="G4" s="69" t="s">
        <v>9</v>
      </c>
      <c r="H4" s="199" t="s">
        <v>347</v>
      </c>
      <c r="I4" s="53">
        <v>1.0</v>
      </c>
      <c r="J4" s="53"/>
      <c r="K4" s="200" t="s">
        <v>349</v>
      </c>
      <c r="L4" s="201"/>
      <c r="M4" s="53"/>
      <c r="N4" s="202" t="str">
        <f t="shared" si="1"/>
        <v/>
      </c>
      <c r="O4" s="202">
        <f t="shared" ref="O4:O77" si="2">iferror(R4/P4,"")</f>
        <v>0.7898412698</v>
      </c>
      <c r="P4" s="140">
        <v>3150.0</v>
      </c>
      <c r="Q4" s="140" t="str">
        <f t="shared" ref="Q4:Q20" si="3">if(AND(W4&lt;&gt;0,P4&lt;&gt;0),P4-W4,"")</f>
        <v/>
      </c>
      <c r="R4" s="140">
        <v>2488.0</v>
      </c>
      <c r="S4" s="140"/>
      <c r="T4" s="140"/>
      <c r="U4" s="140"/>
      <c r="V4" s="140"/>
      <c r="W4" s="140"/>
      <c r="X4" s="201" t="s">
        <v>350</v>
      </c>
      <c r="Y4" s="203">
        <v>0.888</v>
      </c>
      <c r="Z4" s="204">
        <v>3150.0</v>
      </c>
      <c r="AA4" s="197"/>
      <c r="AB4" s="197"/>
      <c r="AC4" s="197"/>
      <c r="AD4" s="197"/>
      <c r="AE4" s="197"/>
      <c r="AF4" s="197"/>
      <c r="AG4" s="197"/>
      <c r="AH4" s="197"/>
    </row>
    <row r="5" hidden="1">
      <c r="A5" s="192">
        <v>4.0</v>
      </c>
      <c r="B5" s="86" t="str">
        <f t="array" ref="B5">IFerror(INDEX(Papers!D$2:D$998,MATCH($A5, Papers!$A$2:$A$998,0)),"")</f>
        <v>Rachel Health, Ghazala Mansuri, Bob Rijkers, William Seitz, and Dhiraj Sharma</v>
      </c>
      <c r="C5" s="59">
        <f t="array" ref="C5">IFerror(INDEX(Papers!F$2:F$998,MATCH($A5, Papers!$A$2:$A$998,0)),"")</f>
        <v>2017</v>
      </c>
      <c r="D5" s="86" t="str">
        <f t="array" ref="D5">IFerror(INDEX(Papers!C$2:C$998,MATCH($A5, Papers!$A$2:$A$998,0)),"")</f>
        <v>Measuring Employment: Experimental Evidence from Ghana</v>
      </c>
      <c r="E5" s="59">
        <f t="array" ref="E5">IFerror(INDEX(Papers!G$2:G$998,MATCH($A5, Papers!$A$2:$A$998,0)),"")</f>
        <v>2013</v>
      </c>
      <c r="F5" s="57" t="s">
        <v>243</v>
      </c>
      <c r="G5" s="67" t="s">
        <v>9</v>
      </c>
      <c r="H5" s="205" t="s">
        <v>347</v>
      </c>
      <c r="I5" s="68">
        <v>1.0</v>
      </c>
      <c r="J5" s="59"/>
      <c r="K5" s="206" t="s">
        <v>351</v>
      </c>
      <c r="L5" s="207"/>
      <c r="M5" s="59"/>
      <c r="N5" s="194" t="str">
        <f t="shared" si="1"/>
        <v/>
      </c>
      <c r="O5" s="208">
        <f t="shared" si="2"/>
        <v>0.9925233645</v>
      </c>
      <c r="P5" s="84">
        <v>9630.0</v>
      </c>
      <c r="Q5" s="134" t="str">
        <f t="shared" si="3"/>
        <v/>
      </c>
      <c r="R5" s="84">
        <v>9558.0</v>
      </c>
      <c r="S5" s="134"/>
      <c r="T5" s="134"/>
      <c r="U5" s="134"/>
      <c r="V5" s="134"/>
      <c r="W5" s="134"/>
      <c r="X5" s="207" t="s">
        <v>350</v>
      </c>
      <c r="Y5" s="195">
        <v>0.892</v>
      </c>
      <c r="Z5" s="196">
        <v>9630.0</v>
      </c>
      <c r="AA5" s="192"/>
      <c r="AB5" s="192"/>
      <c r="AC5" s="192"/>
      <c r="AD5" s="192"/>
      <c r="AE5" s="192"/>
      <c r="AF5" s="192"/>
      <c r="AG5" s="192"/>
      <c r="AH5" s="192"/>
    </row>
    <row r="6" hidden="1">
      <c r="A6" s="197">
        <v>7.0</v>
      </c>
      <c r="B6" s="198" t="str">
        <f t="array" ref="B6">IFerror(INDEX(Papers!D$2:D$998,MATCH($A6, Papers!$A$2:$A$998,0)),"")</f>
        <v>Kristen Himelein Kastelic and Jonathan Kastelic</v>
      </c>
      <c r="C6" s="53">
        <f t="array" ref="C6">IFerror(INDEX(Papers!F$2:F$998,MATCH($A6, Papers!$A$2:$A$998,0)),"")</f>
        <v>2015</v>
      </c>
      <c r="D6" s="198" t="str">
        <f t="array" ref="D6">IFerror(INDEX(Papers!C$2:C$998,MATCH($A6, Papers!$A$2:$A$998,0)),"")</f>
        <v>The Socio-Economic Impacts of Ebola in Liberia : Results from a High Frequency Cell Phone Survey Round Five.”</v>
      </c>
      <c r="E6" s="53">
        <f t="array" ref="E6">IFerror(INDEX(Papers!G$2:G$998,MATCH($A6, Papers!$A$2:$A$998,0)),"")</f>
        <v>2014</v>
      </c>
      <c r="F6" s="69" t="s">
        <v>246</v>
      </c>
      <c r="G6" s="69" t="s">
        <v>9</v>
      </c>
      <c r="H6" s="69" t="s">
        <v>300</v>
      </c>
      <c r="I6" s="53">
        <v>0.0</v>
      </c>
      <c r="J6" s="53"/>
      <c r="K6" s="198"/>
      <c r="L6" s="209" t="s">
        <v>352</v>
      </c>
      <c r="M6" s="53"/>
      <c r="N6" s="202">
        <f t="shared" si="1"/>
        <v>0.7322033898</v>
      </c>
      <c r="O6" s="210">
        <f t="shared" si="2"/>
        <v>0.3032288255</v>
      </c>
      <c r="P6" s="140">
        <v>2137.0</v>
      </c>
      <c r="Q6" s="140">
        <f t="shared" si="3"/>
        <v>885</v>
      </c>
      <c r="R6" s="140">
        <v>648.0</v>
      </c>
      <c r="S6" s="140"/>
      <c r="T6" s="140">
        <v>41.0</v>
      </c>
      <c r="U6" s="140">
        <v>376.0</v>
      </c>
      <c r="V6" s="140"/>
      <c r="W6" s="140">
        <v>1252.0</v>
      </c>
      <c r="X6" s="209" t="s">
        <v>348</v>
      </c>
      <c r="Y6" s="203">
        <v>0.303</v>
      </c>
      <c r="Z6" s="204">
        <v>2137.0</v>
      </c>
      <c r="AA6" s="197"/>
      <c r="AB6" s="197"/>
      <c r="AC6" s="197"/>
      <c r="AD6" s="197"/>
      <c r="AE6" s="197"/>
      <c r="AF6" s="197"/>
      <c r="AG6" s="197"/>
      <c r="AH6" s="197"/>
    </row>
    <row r="7" hidden="1">
      <c r="A7" s="192">
        <v>7.0</v>
      </c>
      <c r="B7" s="86" t="str">
        <f t="array" ref="B7">IFerror(INDEX(Papers!D$2:D$998,MATCH($A7, Papers!$A$2:$A$998,0)),"")</f>
        <v>Kristen Himelein Kastelic and Jonathan Kastelic</v>
      </c>
      <c r="C7" s="59">
        <f t="array" ref="C7">IFerror(INDEX(Papers!F$2:F$998,MATCH($A7, Papers!$A$2:$A$998,0)),"")</f>
        <v>2015</v>
      </c>
      <c r="D7" s="86" t="str">
        <f t="array" ref="D7">IFerror(INDEX(Papers!C$2:C$998,MATCH($A7, Papers!$A$2:$A$998,0)),"")</f>
        <v>The Socio-Economic Impacts of Ebola in Liberia : Results from a High Frequency Cell Phone Survey Round Five.”</v>
      </c>
      <c r="E7" s="59">
        <f t="array" ref="E7">IFerror(INDEX(Papers!G$2:G$998,MATCH($A7, Papers!$A$2:$A$998,0)),"")</f>
        <v>2014</v>
      </c>
      <c r="F7" s="67" t="s">
        <v>246</v>
      </c>
      <c r="G7" s="67" t="s">
        <v>9</v>
      </c>
      <c r="H7" s="67" t="s">
        <v>300</v>
      </c>
      <c r="I7" s="59">
        <v>0.0</v>
      </c>
      <c r="J7" s="59"/>
      <c r="K7" s="86"/>
      <c r="L7" s="193" t="s">
        <v>353</v>
      </c>
      <c r="M7" s="59"/>
      <c r="N7" s="194">
        <f t="shared" si="1"/>
        <v>0.6310160428</v>
      </c>
      <c r="O7" s="194">
        <f t="shared" si="2"/>
        <v>0.220870379</v>
      </c>
      <c r="P7" s="84">
        <v>2137.0</v>
      </c>
      <c r="Q7" s="134">
        <f t="shared" si="3"/>
        <v>748</v>
      </c>
      <c r="R7" s="84">
        <v>472.0</v>
      </c>
      <c r="S7" s="134"/>
      <c r="T7" s="84">
        <v>56.0</v>
      </c>
      <c r="U7" s="84">
        <v>398.0</v>
      </c>
      <c r="V7" s="134"/>
      <c r="W7" s="84">
        <v>1389.0</v>
      </c>
      <c r="X7" s="193" t="s">
        <v>348</v>
      </c>
      <c r="Y7" s="195">
        <v>0.221</v>
      </c>
      <c r="Z7" s="196">
        <v>2137.0</v>
      </c>
      <c r="AA7" s="192"/>
      <c r="AB7" s="192"/>
      <c r="AC7" s="192"/>
      <c r="AD7" s="192"/>
      <c r="AE7" s="192"/>
      <c r="AF7" s="192"/>
      <c r="AG7" s="192"/>
      <c r="AH7" s="192"/>
    </row>
    <row r="8" hidden="1">
      <c r="A8" s="197">
        <v>7.0</v>
      </c>
      <c r="B8" s="198" t="str">
        <f t="array" ref="B8">IFerror(INDEX(Papers!D$2:D$998,MATCH($A8, Papers!$A$2:$A$998,0)),"")</f>
        <v>Kristen Himelein Kastelic and Jonathan Kastelic</v>
      </c>
      <c r="C8" s="53">
        <f t="array" ref="C8">IFerror(INDEX(Papers!F$2:F$998,MATCH($A8, Papers!$A$2:$A$998,0)),"")</f>
        <v>2015</v>
      </c>
      <c r="D8" s="198" t="str">
        <f t="array" ref="D8">IFerror(INDEX(Papers!C$2:C$998,MATCH($A8, Papers!$A$2:$A$998,0)),"")</f>
        <v>The Socio-Economic Impacts of Ebola in Liberia : Results from a High Frequency Cell Phone Survey Round Five.”</v>
      </c>
      <c r="E8" s="53">
        <f t="array" ref="E8">IFerror(INDEX(Papers!G$2:G$998,MATCH($A8, Papers!$A$2:$A$998,0)),"")</f>
        <v>2014</v>
      </c>
      <c r="F8" s="69" t="s">
        <v>246</v>
      </c>
      <c r="G8" s="69" t="s">
        <v>9</v>
      </c>
      <c r="H8" s="69" t="s">
        <v>300</v>
      </c>
      <c r="I8" s="53">
        <v>0.0</v>
      </c>
      <c r="J8" s="53"/>
      <c r="K8" s="198"/>
      <c r="L8" s="209" t="s">
        <v>354</v>
      </c>
      <c r="M8" s="53"/>
      <c r="N8" s="202" t="str">
        <f t="shared" si="1"/>
        <v/>
      </c>
      <c r="O8" s="210">
        <f t="shared" si="2"/>
        <v>0.2704726252</v>
      </c>
      <c r="P8" s="140">
        <v>2137.0</v>
      </c>
      <c r="Q8" s="140" t="str">
        <f t="shared" si="3"/>
        <v/>
      </c>
      <c r="R8" s="140">
        <v>578.0</v>
      </c>
      <c r="S8" s="140"/>
      <c r="T8" s="140"/>
      <c r="U8" s="140"/>
      <c r="V8" s="140"/>
      <c r="W8" s="140"/>
      <c r="X8" s="209" t="s">
        <v>348</v>
      </c>
      <c r="Y8" s="203">
        <v>0.27</v>
      </c>
      <c r="Z8" s="204">
        <v>2137.0</v>
      </c>
      <c r="AA8" s="197"/>
      <c r="AB8" s="197"/>
      <c r="AC8" s="197"/>
      <c r="AD8" s="197"/>
      <c r="AE8" s="197"/>
      <c r="AF8" s="197"/>
      <c r="AG8" s="197"/>
      <c r="AH8" s="197"/>
    </row>
    <row r="9" hidden="1">
      <c r="A9" s="192">
        <v>7.0</v>
      </c>
      <c r="B9" s="86" t="str">
        <f t="array" ref="B9">IFerror(INDEX(Papers!D$2:D$998,MATCH($A9, Papers!$A$2:$A$998,0)),"")</f>
        <v>Kristen Himelein Kastelic and Jonathan Kastelic</v>
      </c>
      <c r="C9" s="59">
        <f t="array" ref="C9">IFerror(INDEX(Papers!F$2:F$998,MATCH($A9, Papers!$A$2:$A$998,0)),"")</f>
        <v>2015</v>
      </c>
      <c r="D9" s="86" t="str">
        <f t="array" ref="D9">IFerror(INDEX(Papers!C$2:C$998,MATCH($A9, Papers!$A$2:$A$998,0)),"")</f>
        <v>The Socio-Economic Impacts of Ebola in Liberia : Results from a High Frequency Cell Phone Survey Round Five.”</v>
      </c>
      <c r="E9" s="59">
        <f t="array" ref="E9">IFerror(INDEX(Papers!G$2:G$998,MATCH($A9, Papers!$A$2:$A$998,0)),"")</f>
        <v>2014</v>
      </c>
      <c r="F9" s="67" t="s">
        <v>246</v>
      </c>
      <c r="G9" s="67" t="s">
        <v>9</v>
      </c>
      <c r="H9" s="67" t="s">
        <v>300</v>
      </c>
      <c r="I9" s="59">
        <v>0.0</v>
      </c>
      <c r="J9" s="59"/>
      <c r="K9" s="86"/>
      <c r="L9" s="193" t="s">
        <v>355</v>
      </c>
      <c r="M9" s="59"/>
      <c r="N9" s="194" t="str">
        <f t="shared" si="1"/>
        <v/>
      </c>
      <c r="O9" s="194">
        <f t="shared" si="2"/>
        <v>0.239120262</v>
      </c>
      <c r="P9" s="84">
        <v>2137.0</v>
      </c>
      <c r="Q9" s="134" t="str">
        <f t="shared" si="3"/>
        <v/>
      </c>
      <c r="R9" s="84">
        <v>511.0</v>
      </c>
      <c r="S9" s="134"/>
      <c r="T9" s="134"/>
      <c r="U9" s="134"/>
      <c r="V9" s="134"/>
      <c r="W9" s="134"/>
      <c r="X9" s="193" t="s">
        <v>348</v>
      </c>
      <c r="Y9" s="195">
        <v>0.239</v>
      </c>
      <c r="Z9" s="196">
        <v>2137.0</v>
      </c>
      <c r="AA9" s="192"/>
      <c r="AB9" s="192"/>
      <c r="AC9" s="192"/>
      <c r="AD9" s="192"/>
      <c r="AE9" s="192"/>
      <c r="AF9" s="192"/>
      <c r="AG9" s="192"/>
      <c r="AH9" s="192"/>
    </row>
    <row r="10" hidden="1">
      <c r="A10" s="197">
        <v>7.0</v>
      </c>
      <c r="B10" s="198" t="str">
        <f t="array" ref="B10">IFerror(INDEX(Papers!D$2:D$998,MATCH($A10, Papers!$A$2:$A$998,0)),"")</f>
        <v>Kristen Himelein Kastelic and Jonathan Kastelic</v>
      </c>
      <c r="C10" s="53">
        <f t="array" ref="C10">IFerror(INDEX(Papers!F$2:F$998,MATCH($A10, Papers!$A$2:$A$998,0)),"")</f>
        <v>2015</v>
      </c>
      <c r="D10" s="198" t="str">
        <f t="array" ref="D10">IFerror(INDEX(Papers!C$2:C$998,MATCH($A10, Papers!$A$2:$A$998,0)),"")</f>
        <v>The Socio-Economic Impacts of Ebola in Liberia : Results from a High Frequency Cell Phone Survey Round Five.”</v>
      </c>
      <c r="E10" s="53">
        <f t="array" ref="E10">IFerror(INDEX(Papers!G$2:G$998,MATCH($A10, Papers!$A$2:$A$998,0)),"")</f>
        <v>2014</v>
      </c>
      <c r="F10" s="69" t="s">
        <v>246</v>
      </c>
      <c r="G10" s="69" t="s">
        <v>9</v>
      </c>
      <c r="H10" s="69" t="s">
        <v>300</v>
      </c>
      <c r="I10" s="53">
        <v>0.0</v>
      </c>
      <c r="J10" s="53"/>
      <c r="K10" s="198"/>
      <c r="L10" s="209" t="s">
        <v>356</v>
      </c>
      <c r="M10" s="53"/>
      <c r="N10" s="202" t="str">
        <f t="shared" si="1"/>
        <v/>
      </c>
      <c r="O10" s="210">
        <f t="shared" si="2"/>
        <v>0.265793168</v>
      </c>
      <c r="P10" s="140">
        <v>2137.0</v>
      </c>
      <c r="Q10" s="140" t="str">
        <f t="shared" si="3"/>
        <v/>
      </c>
      <c r="R10" s="140">
        <v>568.0</v>
      </c>
      <c r="S10" s="140"/>
      <c r="T10" s="140"/>
      <c r="U10" s="140"/>
      <c r="V10" s="140"/>
      <c r="W10" s="140"/>
      <c r="X10" s="209" t="s">
        <v>348</v>
      </c>
      <c r="Y10" s="203">
        <v>0.265</v>
      </c>
      <c r="Z10" s="204">
        <v>2137.0</v>
      </c>
      <c r="AA10" s="197"/>
      <c r="AB10" s="197"/>
      <c r="AC10" s="197"/>
      <c r="AD10" s="197"/>
      <c r="AE10" s="197"/>
      <c r="AF10" s="197"/>
      <c r="AG10" s="197"/>
      <c r="AH10" s="197"/>
    </row>
    <row r="11" hidden="1">
      <c r="A11" s="192">
        <v>8.0</v>
      </c>
      <c r="B11" s="86" t="str">
        <f t="array" ref="B11">IFerror(INDEX(Papers!D$2:D$998,MATCH($A11, Papers!$A$2:$A$998,0)),"")</f>
        <v>Maximilian Kasy and Anja Sautmann</v>
      </c>
      <c r="C11" s="59">
        <f t="array" ref="C11">IFerror(INDEX(Papers!F$2:F$998,MATCH($A11, Papers!$A$2:$A$998,0)),"")</f>
        <v>2019</v>
      </c>
      <c r="D11" s="86" t="str">
        <f t="array" ref="D11">IFerror(INDEX(Papers!C$2:C$998,MATCH($A11, Papers!$A$2:$A$998,0)),"")</f>
        <v>Adaptive Treatment Assignment in Experiments for Policy Choice</v>
      </c>
      <c r="E11" s="59">
        <f t="array" ref="E11">IFerror(INDEX(Papers!G$2:G$998,MATCH($A11, Papers!$A$2:$A$998,0)),"")</f>
        <v>2019</v>
      </c>
      <c r="F11" s="67" t="s">
        <v>265</v>
      </c>
      <c r="G11" s="67" t="s">
        <v>11</v>
      </c>
      <c r="H11" s="67" t="s">
        <v>300</v>
      </c>
      <c r="I11" s="68">
        <v>0.0</v>
      </c>
      <c r="J11" s="68">
        <v>5.0</v>
      </c>
      <c r="K11" s="86" t="s">
        <v>357</v>
      </c>
      <c r="L11" s="207"/>
      <c r="M11" s="59"/>
      <c r="N11" s="194" t="str">
        <f t="shared" si="1"/>
        <v/>
      </c>
      <c r="O11" s="194">
        <f t="shared" si="2"/>
        <v>0.1605758583</v>
      </c>
      <c r="P11" s="134">
        <v>903.0</v>
      </c>
      <c r="Q11" s="134" t="str">
        <f t="shared" si="3"/>
        <v/>
      </c>
      <c r="R11" s="134">
        <v>145.0</v>
      </c>
      <c r="S11" s="134"/>
      <c r="T11" s="134"/>
      <c r="U11" s="134"/>
      <c r="V11" s="134"/>
      <c r="W11" s="134"/>
      <c r="X11" s="207" t="s">
        <v>358</v>
      </c>
      <c r="Y11" s="208">
        <v>0.161</v>
      </c>
      <c r="Z11" s="134">
        <v>903.0</v>
      </c>
      <c r="AA11" s="192"/>
      <c r="AB11" s="192"/>
      <c r="AC11" s="192"/>
      <c r="AD11" s="192"/>
      <c r="AE11" s="192"/>
      <c r="AF11" s="192"/>
      <c r="AG11" s="192"/>
      <c r="AH11" s="192"/>
    </row>
    <row r="12" hidden="1">
      <c r="A12" s="197">
        <v>8.0</v>
      </c>
      <c r="B12" s="198" t="str">
        <f t="array" ref="B12">IFerror(INDEX(Papers!D$2:D$998,MATCH($A12, Papers!$A$2:$A$998,0)),"")</f>
        <v>Maximilian Kasy and Anja Sautmann</v>
      </c>
      <c r="C12" s="53">
        <f t="array" ref="C12">IFerror(INDEX(Papers!F$2:F$998,MATCH($A12, Papers!$A$2:$A$998,0)),"")</f>
        <v>2019</v>
      </c>
      <c r="D12" s="198" t="str">
        <f t="array" ref="D12">IFerror(INDEX(Papers!C$2:C$998,MATCH($A12, Papers!$A$2:$A$998,0)),"")</f>
        <v>Adaptive Treatment Assignment in Experiments for Policy Choice</v>
      </c>
      <c r="E12" s="53">
        <f t="array" ref="E12">IFerror(INDEX(Papers!G$2:G$998,MATCH($A12, Papers!$A$2:$A$998,0)),"")</f>
        <v>2019</v>
      </c>
      <c r="F12" s="69" t="s">
        <v>265</v>
      </c>
      <c r="G12" s="69" t="s">
        <v>11</v>
      </c>
      <c r="H12" s="69" t="s">
        <v>300</v>
      </c>
      <c r="I12" s="66">
        <v>0.0</v>
      </c>
      <c r="J12" s="66">
        <v>5.0</v>
      </c>
      <c r="K12" s="198" t="s">
        <v>359</v>
      </c>
      <c r="L12" s="201"/>
      <c r="M12" s="53"/>
      <c r="N12" s="202" t="str">
        <f t="shared" si="1"/>
        <v/>
      </c>
      <c r="O12" s="210">
        <f t="shared" si="2"/>
        <v>0.1448087432</v>
      </c>
      <c r="P12" s="140">
        <v>366.0</v>
      </c>
      <c r="Q12" s="140" t="str">
        <f t="shared" si="3"/>
        <v/>
      </c>
      <c r="R12" s="140">
        <v>53.0</v>
      </c>
      <c r="S12" s="140"/>
      <c r="T12" s="140"/>
      <c r="U12" s="140"/>
      <c r="V12" s="140"/>
      <c r="W12" s="140"/>
      <c r="X12" s="201" t="s">
        <v>358</v>
      </c>
      <c r="Y12" s="210">
        <v>0.145</v>
      </c>
      <c r="Z12" s="140">
        <v>366.0</v>
      </c>
      <c r="AA12" s="197"/>
      <c r="AB12" s="197"/>
      <c r="AC12" s="197"/>
      <c r="AD12" s="197"/>
      <c r="AE12" s="197"/>
      <c r="AF12" s="197"/>
      <c r="AG12" s="197"/>
      <c r="AH12" s="197"/>
    </row>
    <row r="13" hidden="1">
      <c r="A13" s="192">
        <v>8.0</v>
      </c>
      <c r="B13" s="86" t="str">
        <f t="array" ref="B13">IFerror(INDEX(Papers!D$2:D$998,MATCH($A13, Papers!$A$2:$A$998,0)),"")</f>
        <v>Maximilian Kasy and Anja Sautmann</v>
      </c>
      <c r="C13" s="59">
        <f t="array" ref="C13">IFerror(INDEX(Papers!F$2:F$998,MATCH($A13, Papers!$A$2:$A$998,0)),"")</f>
        <v>2019</v>
      </c>
      <c r="D13" s="86" t="str">
        <f t="array" ref="D13">IFerror(INDEX(Papers!C$2:C$998,MATCH($A13, Papers!$A$2:$A$998,0)),"")</f>
        <v>Adaptive Treatment Assignment in Experiments for Policy Choice</v>
      </c>
      <c r="E13" s="59">
        <f t="array" ref="E13">IFerror(INDEX(Papers!G$2:G$998,MATCH($A13, Papers!$A$2:$A$998,0)),"")</f>
        <v>2019</v>
      </c>
      <c r="F13" s="67" t="s">
        <v>265</v>
      </c>
      <c r="G13" s="67" t="s">
        <v>11</v>
      </c>
      <c r="H13" s="67" t="s">
        <v>300</v>
      </c>
      <c r="I13" s="68">
        <v>0.0</v>
      </c>
      <c r="J13" s="68">
        <v>5.0</v>
      </c>
      <c r="K13" s="86" t="s">
        <v>360</v>
      </c>
      <c r="L13" s="207"/>
      <c r="M13" s="59"/>
      <c r="N13" s="194" t="str">
        <f t="shared" si="1"/>
        <v/>
      </c>
      <c r="O13" s="208">
        <f t="shared" si="2"/>
        <v>0.1925718647</v>
      </c>
      <c r="P13" s="134">
        <v>3931.0</v>
      </c>
      <c r="Q13" s="134" t="str">
        <f t="shared" si="3"/>
        <v/>
      </c>
      <c r="R13" s="134">
        <v>757.0</v>
      </c>
      <c r="S13" s="134"/>
      <c r="T13" s="134"/>
      <c r="U13" s="134"/>
      <c r="V13" s="134"/>
      <c r="W13" s="134"/>
      <c r="X13" s="207" t="s">
        <v>358</v>
      </c>
      <c r="Y13" s="208">
        <v>0.193</v>
      </c>
      <c r="Z13" s="134">
        <v>3931.0</v>
      </c>
      <c r="AA13" s="192"/>
      <c r="AB13" s="192"/>
      <c r="AC13" s="192"/>
      <c r="AD13" s="192"/>
      <c r="AE13" s="192"/>
      <c r="AF13" s="192"/>
      <c r="AG13" s="192"/>
      <c r="AH13" s="192"/>
    </row>
    <row r="14" hidden="1">
      <c r="A14" s="197">
        <v>8.0</v>
      </c>
      <c r="B14" s="198" t="str">
        <f t="array" ref="B14">IFerror(INDEX(Papers!D$2:D$998,MATCH($A14, Papers!$A$2:$A$998,0)),"")</f>
        <v>Maximilian Kasy and Anja Sautmann</v>
      </c>
      <c r="C14" s="53">
        <f t="array" ref="C14">IFerror(INDEX(Papers!F$2:F$998,MATCH($A14, Papers!$A$2:$A$998,0)),"")</f>
        <v>2019</v>
      </c>
      <c r="D14" s="198" t="str">
        <f t="array" ref="D14">IFerror(INDEX(Papers!C$2:C$998,MATCH($A14, Papers!$A$2:$A$998,0)),"")</f>
        <v>Adaptive Treatment Assignment in Experiments for Policy Choice</v>
      </c>
      <c r="E14" s="53">
        <f t="array" ref="E14">IFerror(INDEX(Papers!G$2:G$998,MATCH($A14, Papers!$A$2:$A$998,0)),"")</f>
        <v>2019</v>
      </c>
      <c r="F14" s="69" t="s">
        <v>265</v>
      </c>
      <c r="G14" s="69" t="s">
        <v>11</v>
      </c>
      <c r="H14" s="69" t="s">
        <v>300</v>
      </c>
      <c r="I14" s="66">
        <v>0.0</v>
      </c>
      <c r="J14" s="66">
        <v>5.0</v>
      </c>
      <c r="K14" s="198" t="s">
        <v>361</v>
      </c>
      <c r="L14" s="201"/>
      <c r="M14" s="53"/>
      <c r="N14" s="202" t="str">
        <f t="shared" si="1"/>
        <v/>
      </c>
      <c r="O14" s="202">
        <f t="shared" si="2"/>
        <v>0.1683626272</v>
      </c>
      <c r="P14" s="140">
        <v>1081.0</v>
      </c>
      <c r="Q14" s="140" t="str">
        <f t="shared" si="3"/>
        <v/>
      </c>
      <c r="R14" s="140">
        <v>182.0</v>
      </c>
      <c r="S14" s="140"/>
      <c r="T14" s="140"/>
      <c r="U14" s="140"/>
      <c r="V14" s="140"/>
      <c r="W14" s="140"/>
      <c r="X14" s="201" t="s">
        <v>358</v>
      </c>
      <c r="Y14" s="210">
        <v>0.168</v>
      </c>
      <c r="Z14" s="140">
        <v>1081.0</v>
      </c>
      <c r="AA14" s="197"/>
      <c r="AB14" s="197"/>
      <c r="AC14" s="197"/>
      <c r="AD14" s="197"/>
      <c r="AE14" s="197"/>
      <c r="AF14" s="197"/>
      <c r="AG14" s="197"/>
      <c r="AH14" s="197"/>
    </row>
    <row r="15" hidden="1">
      <c r="A15" s="192">
        <v>8.0</v>
      </c>
      <c r="B15" s="86" t="str">
        <f t="array" ref="B15">IFerror(INDEX(Papers!D$2:D$998,MATCH($A15, Papers!$A$2:$A$998,0)),"")</f>
        <v>Maximilian Kasy and Anja Sautmann</v>
      </c>
      <c r="C15" s="59">
        <f t="array" ref="C15">IFerror(INDEX(Papers!F$2:F$998,MATCH($A15, Papers!$A$2:$A$998,0)),"")</f>
        <v>2019</v>
      </c>
      <c r="D15" s="86" t="str">
        <f t="array" ref="D15">IFerror(INDEX(Papers!C$2:C$998,MATCH($A15, Papers!$A$2:$A$998,0)),"")</f>
        <v>Adaptive Treatment Assignment in Experiments for Policy Choice</v>
      </c>
      <c r="E15" s="59">
        <f t="array" ref="E15">IFerror(INDEX(Papers!G$2:G$998,MATCH($A15, Papers!$A$2:$A$998,0)),"")</f>
        <v>2019</v>
      </c>
      <c r="F15" s="67" t="s">
        <v>265</v>
      </c>
      <c r="G15" s="67" t="s">
        <v>11</v>
      </c>
      <c r="H15" s="67" t="s">
        <v>300</v>
      </c>
      <c r="I15" s="68">
        <v>0.0</v>
      </c>
      <c r="J15" s="68">
        <v>5.0</v>
      </c>
      <c r="K15" s="86" t="s">
        <v>362</v>
      </c>
      <c r="L15" s="207"/>
      <c r="M15" s="59"/>
      <c r="N15" s="194" t="str">
        <f t="shared" si="1"/>
        <v/>
      </c>
      <c r="O15" s="194">
        <f t="shared" si="2"/>
        <v>0.1790510295</v>
      </c>
      <c r="P15" s="134">
        <v>2234.0</v>
      </c>
      <c r="Q15" s="134" t="str">
        <f t="shared" si="3"/>
        <v/>
      </c>
      <c r="R15" s="134">
        <v>400.0</v>
      </c>
      <c r="S15" s="134"/>
      <c r="T15" s="134"/>
      <c r="U15" s="134"/>
      <c r="V15" s="134"/>
      <c r="W15" s="134"/>
      <c r="X15" s="207" t="s">
        <v>358</v>
      </c>
      <c r="Y15" s="208">
        <v>0.179</v>
      </c>
      <c r="Z15" s="134">
        <v>2234.0</v>
      </c>
      <c r="AA15" s="192"/>
      <c r="AB15" s="192"/>
      <c r="AC15" s="192"/>
      <c r="AD15" s="192"/>
      <c r="AE15" s="192"/>
      <c r="AF15" s="192"/>
      <c r="AG15" s="192"/>
      <c r="AH15" s="192"/>
    </row>
    <row r="16" hidden="1">
      <c r="A16" s="197">
        <v>8.0</v>
      </c>
      <c r="B16" s="198" t="str">
        <f t="array" ref="B16">IFerror(INDEX(Papers!D$2:D$998,MATCH($A16, Papers!$A$2:$A$998,0)),"")</f>
        <v>Maximilian Kasy and Anja Sautmann</v>
      </c>
      <c r="C16" s="53">
        <f t="array" ref="C16">IFerror(INDEX(Papers!F$2:F$998,MATCH($A16, Papers!$A$2:$A$998,0)),"")</f>
        <v>2019</v>
      </c>
      <c r="D16" s="198" t="str">
        <f t="array" ref="D16">IFerror(INDEX(Papers!C$2:C$998,MATCH($A16, Papers!$A$2:$A$998,0)),"")</f>
        <v>Adaptive Treatment Assignment in Experiments for Policy Choice</v>
      </c>
      <c r="E16" s="53">
        <f t="array" ref="E16">IFerror(INDEX(Papers!G$2:G$998,MATCH($A16, Papers!$A$2:$A$998,0)),"")</f>
        <v>2019</v>
      </c>
      <c r="F16" s="69" t="s">
        <v>265</v>
      </c>
      <c r="G16" s="69" t="s">
        <v>11</v>
      </c>
      <c r="H16" s="69" t="s">
        <v>300</v>
      </c>
      <c r="I16" s="66">
        <v>0.0</v>
      </c>
      <c r="J16" s="66">
        <v>5.0</v>
      </c>
      <c r="K16" s="198" t="s">
        <v>363</v>
      </c>
      <c r="L16" s="201"/>
      <c r="M16" s="53"/>
      <c r="N16" s="202" t="str">
        <f t="shared" si="1"/>
        <v/>
      </c>
      <c r="O16" s="210">
        <f t="shared" si="2"/>
        <v>0.1797979798</v>
      </c>
      <c r="P16" s="140">
        <v>1485.0</v>
      </c>
      <c r="Q16" s="140" t="str">
        <f t="shared" si="3"/>
        <v/>
      </c>
      <c r="R16" s="140">
        <v>267.0</v>
      </c>
      <c r="S16" s="140"/>
      <c r="T16" s="140"/>
      <c r="U16" s="140"/>
      <c r="V16" s="140"/>
      <c r="W16" s="140"/>
      <c r="X16" s="201" t="s">
        <v>358</v>
      </c>
      <c r="Y16" s="210">
        <v>0.18</v>
      </c>
      <c r="Z16" s="140">
        <v>1485.0</v>
      </c>
      <c r="AA16" s="197"/>
      <c r="AB16" s="197"/>
      <c r="AC16" s="197"/>
      <c r="AD16" s="197"/>
      <c r="AE16" s="197"/>
      <c r="AF16" s="197"/>
      <c r="AG16" s="197"/>
      <c r="AH16" s="197"/>
    </row>
    <row r="17">
      <c r="A17" s="192">
        <v>9.0</v>
      </c>
      <c r="B17" s="86" t="str">
        <f t="array" ref="B17">IFerror(INDEX(Papers!D$2:D$998,MATCH($A17, Papers!$A$2:$A$998,0)),"")</f>
        <v>Charles Lau, Alexandra Cronberg, Leenisha Marks, and Ashley Amaya</v>
      </c>
      <c r="C17" s="59">
        <f t="array" ref="C17">IFerror(INDEX(Papers!F$2:F$998,MATCH($A17, Papers!$A$2:$A$998,0)),"")</f>
        <v>2019</v>
      </c>
      <c r="D17" s="86" t="str">
        <f t="array" ref="D17">IFerror(INDEX(Papers!C$2:C$998,MATCH($A17, Papers!$A$2:$A$998,0)),"")</f>
        <v>In Search of the Optimal Mode for Mobile Phone Surveys in Developing Countries. A Comparison of IVR, SMS, and CATI in Nigeria</v>
      </c>
      <c r="E17" s="59">
        <v>2016.0</v>
      </c>
      <c r="F17" s="67" t="s">
        <v>251</v>
      </c>
      <c r="G17" s="67" t="s">
        <v>9</v>
      </c>
      <c r="H17" s="67" t="s">
        <v>293</v>
      </c>
      <c r="I17" s="59">
        <v>0.0</v>
      </c>
      <c r="J17" s="59">
        <v>86.0</v>
      </c>
      <c r="K17" s="86"/>
      <c r="L17" s="193"/>
      <c r="M17" s="59">
        <v>86.0</v>
      </c>
      <c r="N17" s="194" t="str">
        <f t="shared" si="1"/>
        <v/>
      </c>
      <c r="O17" s="194">
        <f t="shared" si="2"/>
        <v>0.1023194204</v>
      </c>
      <c r="P17" s="134">
        <v>36992.0</v>
      </c>
      <c r="Q17" s="134" t="str">
        <f t="shared" si="3"/>
        <v/>
      </c>
      <c r="R17" s="134">
        <v>3785.0</v>
      </c>
      <c r="S17" s="134"/>
      <c r="T17" s="134"/>
      <c r="U17" s="134"/>
      <c r="V17" s="211"/>
      <c r="W17" s="134"/>
      <c r="X17" s="193" t="s">
        <v>348</v>
      </c>
      <c r="Y17" s="195">
        <f>3785/36992</f>
        <v>0.1023194204</v>
      </c>
      <c r="Z17" s="196">
        <v>36992.0</v>
      </c>
      <c r="AA17" s="212"/>
      <c r="AB17" s="212">
        <f>0.83*36992</f>
        <v>30703.36</v>
      </c>
      <c r="AC17" s="192"/>
      <c r="AD17" s="192"/>
      <c r="AE17" s="192"/>
      <c r="AF17" s="192"/>
      <c r="AG17" s="192"/>
      <c r="AH17" s="192"/>
    </row>
    <row r="18">
      <c r="A18" s="197">
        <v>9.0</v>
      </c>
      <c r="B18" s="198" t="str">
        <f t="array" ref="B18">IFerror(INDEX(Papers!D$2:D$998,MATCH($A18, Papers!$A$2:$A$998,0)),"")</f>
        <v>Charles Lau, Alexandra Cronberg, Leenisha Marks, and Ashley Amaya</v>
      </c>
      <c r="C18" s="53">
        <f t="array" ref="C18">IFerror(INDEX(Papers!F$2:F$998,MATCH($A18, Papers!$A$2:$A$998,0)),"")</f>
        <v>2019</v>
      </c>
      <c r="D18" s="198" t="str">
        <f t="array" ref="D18">IFerror(INDEX(Papers!C$2:C$998,MATCH($A18, Papers!$A$2:$A$998,0)),"")</f>
        <v>In Search of the Optimal Mode for Mobile Phone Surveys in Developing Countries. A Comparison of IVR, SMS, and CATI in Nigeria</v>
      </c>
      <c r="E18" s="53">
        <v>2017.0</v>
      </c>
      <c r="F18" s="69" t="s">
        <v>251</v>
      </c>
      <c r="G18" s="69" t="s">
        <v>11</v>
      </c>
      <c r="H18" s="69" t="s">
        <v>293</v>
      </c>
      <c r="I18" s="53">
        <v>0.0</v>
      </c>
      <c r="J18" s="53" t="s">
        <v>364</v>
      </c>
      <c r="K18" s="198"/>
      <c r="L18" s="209"/>
      <c r="M18" s="53">
        <v>12.0</v>
      </c>
      <c r="N18" s="202" t="str">
        <f t="shared" si="1"/>
        <v/>
      </c>
      <c r="O18" s="202">
        <f t="shared" si="2"/>
        <v>0.01872450871</v>
      </c>
      <c r="P18" s="140">
        <v>97092.0</v>
      </c>
      <c r="Q18" s="140" t="str">
        <f t="shared" si="3"/>
        <v/>
      </c>
      <c r="R18" s="140">
        <v>1818.0</v>
      </c>
      <c r="S18" s="140"/>
      <c r="T18" s="140"/>
      <c r="U18" s="140"/>
      <c r="V18" s="213"/>
      <c r="W18" s="140"/>
      <c r="X18" s="209" t="s">
        <v>348</v>
      </c>
      <c r="Y18" s="203">
        <f>1818/97092</f>
        <v>0.01872450871</v>
      </c>
      <c r="Z18" s="204">
        <v>97092.0</v>
      </c>
      <c r="AA18" s="214"/>
      <c r="AB18" s="214">
        <f>0.97*97092</f>
        <v>94179.24</v>
      </c>
      <c r="AC18" s="197"/>
      <c r="AD18" s="197"/>
      <c r="AE18" s="197"/>
      <c r="AF18" s="197"/>
      <c r="AG18" s="197"/>
      <c r="AH18" s="197"/>
    </row>
    <row r="19">
      <c r="A19" s="215">
        <v>9.0</v>
      </c>
      <c r="B19" s="86" t="str">
        <f t="array" ref="B19">IFerror(INDEX(Papers!D$2:D$998,MATCH($A19, Papers!$A$2:$A$998,0)),"")</f>
        <v>Charles Lau, Alexandra Cronberg, Leenisha Marks, and Ashley Amaya</v>
      </c>
      <c r="C19" s="59">
        <f t="array" ref="C19">IFerror(INDEX(Papers!F$2:F$998,MATCH($A19, Papers!$A$2:$A$998,0)),"")</f>
        <v>2019</v>
      </c>
      <c r="D19" s="86" t="str">
        <f t="array" ref="D19">IFerror(INDEX(Papers!C$2:C$998,MATCH($A19, Papers!$A$2:$A$998,0)),"")</f>
        <v>In Search of the Optimal Mode for Mobile Phone Surveys in Developing Countries. A Comparison of IVR, SMS, and CATI in Nigeria</v>
      </c>
      <c r="E19" s="59">
        <v>2017.0</v>
      </c>
      <c r="F19" s="57" t="s">
        <v>251</v>
      </c>
      <c r="G19" s="67" t="s">
        <v>10</v>
      </c>
      <c r="H19" s="67" t="s">
        <v>293</v>
      </c>
      <c r="I19" s="59">
        <v>0.0</v>
      </c>
      <c r="J19" s="59">
        <v>12.0</v>
      </c>
      <c r="K19" s="86"/>
      <c r="L19" s="193"/>
      <c r="M19" s="59">
        <v>12.0</v>
      </c>
      <c r="N19" s="194" t="str">
        <f t="shared" si="1"/>
        <v/>
      </c>
      <c r="O19" s="208">
        <f t="shared" si="2"/>
        <v>0.001497814624</v>
      </c>
      <c r="P19" s="84">
        <v>1842017.0</v>
      </c>
      <c r="Q19" s="134" t="str">
        <f t="shared" si="3"/>
        <v/>
      </c>
      <c r="R19" s="84">
        <v>2759.0</v>
      </c>
      <c r="S19" s="134"/>
      <c r="T19" s="134"/>
      <c r="U19" s="134"/>
      <c r="V19" s="211"/>
      <c r="W19" s="134"/>
      <c r="X19" s="193" t="s">
        <v>348</v>
      </c>
      <c r="Y19" s="195">
        <f>2759/1842017</f>
        <v>0.001497814624</v>
      </c>
      <c r="Z19" s="196">
        <v>1842017.0</v>
      </c>
      <c r="AA19" s="212"/>
      <c r="AB19" s="212">
        <f>0.9985*1842017</f>
        <v>1839253.975</v>
      </c>
      <c r="AC19" s="192"/>
      <c r="AD19" s="192"/>
      <c r="AE19" s="192"/>
      <c r="AF19" s="192"/>
      <c r="AG19" s="192"/>
      <c r="AH19" s="192"/>
    </row>
    <row r="20">
      <c r="A20" s="197">
        <v>10.0</v>
      </c>
      <c r="B20" s="198" t="str">
        <f t="array" ref="B20">IFerror(INDEX(Papers!D$2:D$998,MATCH($A20, Papers!$A$2:$A$998,0)),"")</f>
        <v>Kelly L’Engle, Eunice Sefa, Edward Akolgo Adimazoya, Emmanuel Yartey, Rachel Lenzi, Cindy Tarpo, Nii Lante Heward-Mills, Katherine Lew, and Yvonne Ampeh</v>
      </c>
      <c r="C20" s="53">
        <f t="array" ref="C20">IFerror(INDEX(Papers!F$2:F$998,MATCH($A20, Papers!$A$2:$A$998,0)),"")</f>
        <v>2018</v>
      </c>
      <c r="D20" s="198" t="str">
        <f t="array" ref="D20">IFerror(INDEX(Papers!C$2:C$998,MATCH($A20, Papers!$A$2:$A$998,0)),"")</f>
        <v>Survey Research with a Random Digit Dial National Mobile Phone Sample in Ghana: Methods and Sample Quality</v>
      </c>
      <c r="E20" s="53">
        <f t="array" ref="E20">IFerror(INDEX(Papers!G$2:G$998,MATCH($A20, Papers!$A$2:$A$998,0)),"")</f>
        <v>2016</v>
      </c>
      <c r="F20" s="69" t="s">
        <v>243</v>
      </c>
      <c r="G20" s="69" t="s">
        <v>11</v>
      </c>
      <c r="H20" s="69" t="s">
        <v>293</v>
      </c>
      <c r="I20" s="53">
        <v>0.0</v>
      </c>
      <c r="J20" s="53">
        <v>19.0</v>
      </c>
      <c r="K20" s="198"/>
      <c r="L20" s="209"/>
      <c r="M20" s="53">
        <v>16.0</v>
      </c>
      <c r="N20" s="202">
        <f t="shared" si="1"/>
        <v>0.0598353249</v>
      </c>
      <c r="O20" s="210">
        <f t="shared" si="2"/>
        <v>0.008795869685</v>
      </c>
      <c r="P20" s="140">
        <v>1076528.0</v>
      </c>
      <c r="Q20" s="140">
        <f t="shared" si="3"/>
        <v>158251</v>
      </c>
      <c r="R20" s="140">
        <v>9469.0</v>
      </c>
      <c r="S20" s="140">
        <v>3547.0</v>
      </c>
      <c r="T20" s="140">
        <v>2987.0</v>
      </c>
      <c r="U20" s="140"/>
      <c r="V20" s="140">
        <v>0.0</v>
      </c>
      <c r="W20" s="140">
        <v>918277.0</v>
      </c>
      <c r="X20" s="209" t="s">
        <v>365</v>
      </c>
      <c r="Y20" s="203">
        <v>0.313</v>
      </c>
      <c r="Z20" s="204">
        <v>1076528.0</v>
      </c>
      <c r="AA20" s="197"/>
      <c r="AB20" s="197">
        <v>28822.0</v>
      </c>
      <c r="AC20" s="197">
        <v>0.0</v>
      </c>
      <c r="AD20" s="197">
        <v>2024.0</v>
      </c>
      <c r="AE20" s="197">
        <v>111402.0</v>
      </c>
      <c r="AF20" s="197"/>
      <c r="AG20" s="197"/>
      <c r="AH20" s="197"/>
    </row>
    <row r="21">
      <c r="A21" s="192">
        <v>11.0</v>
      </c>
      <c r="B21" s="86" t="str">
        <f t="array" ref="B21">IFerror(INDEX(Papers!D$2:D$998,MATCH($A21, Papers!$A$2:$A$998,0)),"")</f>
        <v>Leo, Benjamin, Robert Morello, Jonathan Mellon, Tiago Peixoto, and Stephen Davenport</v>
      </c>
      <c r="C21" s="59">
        <f t="array" ref="C21">IFerror(INDEX(Papers!F$2:F$998,MATCH($A21, Papers!$A$2:$A$998,0)),"")</f>
        <v>2015</v>
      </c>
      <c r="D21" s="86" t="str">
        <f t="array" ref="D21">IFerror(INDEX(Papers!C$2:C$998,MATCH($A21, Papers!$A$2:$A$998,0)),"")</f>
        <v>Do Mobile Phone Surveys Work in Poor Countries?</v>
      </c>
      <c r="E21" s="59">
        <f t="array" ref="E21">IFerror(INDEX(Papers!G$2:G$998,MATCH($A21, Papers!$A$2:$A$998,0)),"")</f>
        <v>2014</v>
      </c>
      <c r="F21" s="67" t="s">
        <v>260</v>
      </c>
      <c r="G21" s="67" t="s">
        <v>11</v>
      </c>
      <c r="H21" s="205" t="s">
        <v>293</v>
      </c>
      <c r="I21" s="59">
        <v>0.0</v>
      </c>
      <c r="J21" s="68">
        <v>11.0</v>
      </c>
      <c r="K21" s="216" t="s">
        <v>366</v>
      </c>
      <c r="L21" s="193"/>
      <c r="M21" s="68">
        <v>10.0</v>
      </c>
      <c r="N21" s="194"/>
      <c r="O21" s="217">
        <f t="shared" si="2"/>
        <v>0.304</v>
      </c>
      <c r="P21" s="218">
        <f>594/30.4*100</f>
        <v>1953.947368</v>
      </c>
      <c r="Q21" s="134"/>
      <c r="R21" s="134">
        <v>594.0</v>
      </c>
      <c r="S21" s="134"/>
      <c r="T21" s="134"/>
      <c r="U21" s="134"/>
      <c r="V21" s="134"/>
      <c r="W21" s="134"/>
      <c r="X21" s="193" t="s">
        <v>348</v>
      </c>
      <c r="Y21" s="195">
        <v>0.304</v>
      </c>
      <c r="Z21" s="196"/>
      <c r="AA21" s="192"/>
      <c r="AB21" s="192"/>
      <c r="AC21" s="192"/>
      <c r="AD21" s="192"/>
      <c r="AE21" s="192"/>
      <c r="AF21" s="192"/>
      <c r="AG21" s="192"/>
      <c r="AH21" s="192"/>
    </row>
    <row r="22">
      <c r="A22" s="197">
        <v>11.0</v>
      </c>
      <c r="B22" s="198" t="str">
        <f t="array" ref="B22">IFerror(INDEX(Papers!D$2:D$998,MATCH($A22, Papers!$A$2:$A$998,0)),"")</f>
        <v>Leo, Benjamin, Robert Morello, Jonathan Mellon, Tiago Peixoto, and Stephen Davenport</v>
      </c>
      <c r="C22" s="53">
        <f t="array" ref="C22">IFerror(INDEX(Papers!F$2:F$998,MATCH($A22, Papers!$A$2:$A$998,0)),"")</f>
        <v>2015</v>
      </c>
      <c r="D22" s="198" t="str">
        <f t="array" ref="D22">IFerror(INDEX(Papers!C$2:C$998,MATCH($A22, Papers!$A$2:$A$998,0)),"")</f>
        <v>Do Mobile Phone Surveys Work in Poor Countries?</v>
      </c>
      <c r="E22" s="53">
        <f t="array" ref="E22">IFerror(INDEX(Papers!G$2:G$998,MATCH($A22, Papers!$A$2:$A$998,0)),"")</f>
        <v>2014</v>
      </c>
      <c r="F22" s="69" t="s">
        <v>260</v>
      </c>
      <c r="G22" s="69" t="s">
        <v>11</v>
      </c>
      <c r="H22" s="199" t="s">
        <v>293</v>
      </c>
      <c r="I22" s="53">
        <v>0.0</v>
      </c>
      <c r="J22" s="66">
        <v>11.0</v>
      </c>
      <c r="K22" s="219" t="s">
        <v>367</v>
      </c>
      <c r="L22" s="209"/>
      <c r="M22" s="66">
        <v>10.0</v>
      </c>
      <c r="N22" s="202"/>
      <c r="O22" s="220">
        <f t="shared" si="2"/>
        <v>0.302</v>
      </c>
      <c r="P22" s="221">
        <f>626/30.2*100</f>
        <v>2072.847682</v>
      </c>
      <c r="Q22" s="140"/>
      <c r="R22" s="140">
        <v>626.0</v>
      </c>
      <c r="S22" s="140"/>
      <c r="T22" s="140"/>
      <c r="U22" s="140"/>
      <c r="V22" s="140"/>
      <c r="W22" s="140"/>
      <c r="X22" s="209" t="s">
        <v>348</v>
      </c>
      <c r="Y22" s="203">
        <v>0.302</v>
      </c>
      <c r="Z22" s="204"/>
      <c r="AA22" s="197"/>
      <c r="AB22" s="197"/>
      <c r="AC22" s="197"/>
      <c r="AD22" s="197"/>
      <c r="AE22" s="197"/>
      <c r="AF22" s="197"/>
      <c r="AG22" s="197"/>
      <c r="AH22" s="197"/>
    </row>
    <row r="23">
      <c r="A23" s="192">
        <v>11.0</v>
      </c>
      <c r="B23" s="86" t="str">
        <f t="array" ref="B23">IFerror(INDEX(Papers!D$2:D$998,MATCH($A23, Papers!$A$2:$A$998,0)),"")</f>
        <v>Leo, Benjamin, Robert Morello, Jonathan Mellon, Tiago Peixoto, and Stephen Davenport</v>
      </c>
      <c r="C23" s="59">
        <f t="array" ref="C23">IFerror(INDEX(Papers!F$2:F$998,MATCH($A23, Papers!$A$2:$A$998,0)),"")</f>
        <v>2015</v>
      </c>
      <c r="D23" s="86" t="str">
        <f t="array" ref="D23">IFerror(INDEX(Papers!C$2:C$998,MATCH($A23, Papers!$A$2:$A$998,0)),"")</f>
        <v>Do Mobile Phone Surveys Work in Poor Countries?</v>
      </c>
      <c r="E23" s="59">
        <f t="array" ref="E23">IFerror(INDEX(Papers!G$2:G$998,MATCH($A23, Papers!$A$2:$A$998,0)),"")</f>
        <v>2014</v>
      </c>
      <c r="F23" s="67" t="s">
        <v>260</v>
      </c>
      <c r="G23" s="67" t="s">
        <v>11</v>
      </c>
      <c r="H23" s="205" t="s">
        <v>293</v>
      </c>
      <c r="I23" s="59">
        <v>0.0</v>
      </c>
      <c r="J23" s="68">
        <v>11.0</v>
      </c>
      <c r="K23" s="216" t="s">
        <v>368</v>
      </c>
      <c r="L23" s="193"/>
      <c r="M23" s="68">
        <v>10.0</v>
      </c>
      <c r="N23" s="194"/>
      <c r="O23" s="222">
        <f t="shared" si="2"/>
        <v>0.323</v>
      </c>
      <c r="P23" s="218">
        <f>605/32.3*100</f>
        <v>1873.065015</v>
      </c>
      <c r="Q23" s="134"/>
      <c r="R23" s="134">
        <v>605.0</v>
      </c>
      <c r="S23" s="134"/>
      <c r="T23" s="134"/>
      <c r="U23" s="134"/>
      <c r="V23" s="134"/>
      <c r="W23" s="134"/>
      <c r="X23" s="193" t="s">
        <v>348</v>
      </c>
      <c r="Y23" s="195">
        <v>0.323</v>
      </c>
      <c r="Z23" s="196"/>
      <c r="AA23" s="192"/>
      <c r="AB23" s="192"/>
      <c r="AC23" s="192"/>
      <c r="AD23" s="192"/>
      <c r="AE23" s="192"/>
      <c r="AF23" s="192"/>
      <c r="AG23" s="192"/>
      <c r="AH23" s="192"/>
    </row>
    <row r="24">
      <c r="A24" s="197">
        <v>11.0</v>
      </c>
      <c r="B24" s="198" t="str">
        <f t="array" ref="B24">IFerror(INDEX(Papers!D$2:D$998,MATCH($A24, Papers!$A$2:$A$998,0)),"")</f>
        <v>Leo, Benjamin, Robert Morello, Jonathan Mellon, Tiago Peixoto, and Stephen Davenport</v>
      </c>
      <c r="C24" s="53">
        <f t="array" ref="C24">IFerror(INDEX(Papers!F$2:F$998,MATCH($A24, Papers!$A$2:$A$998,0)),"")</f>
        <v>2015</v>
      </c>
      <c r="D24" s="198" t="str">
        <f t="array" ref="D24">IFerror(INDEX(Papers!C$2:C$998,MATCH($A24, Papers!$A$2:$A$998,0)),"")</f>
        <v>Do Mobile Phone Surveys Work in Poor Countries?</v>
      </c>
      <c r="E24" s="53">
        <f t="array" ref="E24">IFerror(INDEX(Papers!G$2:G$998,MATCH($A24, Papers!$A$2:$A$998,0)),"")</f>
        <v>2014</v>
      </c>
      <c r="F24" s="69" t="s">
        <v>260</v>
      </c>
      <c r="G24" s="69" t="s">
        <v>11</v>
      </c>
      <c r="H24" s="69" t="s">
        <v>293</v>
      </c>
      <c r="I24" s="53">
        <v>0.0</v>
      </c>
      <c r="J24" s="66">
        <v>11.0</v>
      </c>
      <c r="K24" s="198"/>
      <c r="L24" s="209"/>
      <c r="M24" s="66">
        <v>10.0</v>
      </c>
      <c r="N24" s="202">
        <f>iferror(R24/Q24,"")</f>
        <v>0.07436337525</v>
      </c>
      <c r="O24" s="202">
        <f t="shared" si="2"/>
        <v>0.01106622534</v>
      </c>
      <c r="P24" s="140">
        <v>191845.0</v>
      </c>
      <c r="Q24" s="140">
        <v>28549.0</v>
      </c>
      <c r="R24" s="140">
        <v>2123.0</v>
      </c>
      <c r="S24" s="140"/>
      <c r="T24" s="140"/>
      <c r="U24" s="140">
        <v>6741.0</v>
      </c>
      <c r="V24" s="140"/>
      <c r="W24" s="140"/>
      <c r="X24" s="209" t="s">
        <v>348</v>
      </c>
      <c r="Y24" s="203">
        <v>0.0111</v>
      </c>
      <c r="Z24" s="204">
        <v>191845.0</v>
      </c>
      <c r="AA24" s="197"/>
      <c r="AB24" s="197"/>
      <c r="AC24" s="197"/>
      <c r="AD24" s="197"/>
      <c r="AE24" s="197"/>
      <c r="AF24" s="197"/>
      <c r="AG24" s="197"/>
      <c r="AH24" s="197"/>
    </row>
    <row r="25">
      <c r="A25" s="192">
        <v>11.0</v>
      </c>
      <c r="B25" s="86" t="str">
        <f t="array" ref="B25">IFerror(INDEX(Papers!D$2:D$998,MATCH($A25, Papers!$A$2:$A$998,0)),"")</f>
        <v>Leo, Benjamin, Robert Morello, Jonathan Mellon, Tiago Peixoto, and Stephen Davenport</v>
      </c>
      <c r="C25" s="59">
        <f t="array" ref="C25">IFerror(INDEX(Papers!F$2:F$998,MATCH($A25, Papers!$A$2:$A$998,0)),"")</f>
        <v>2015</v>
      </c>
      <c r="D25" s="86" t="str">
        <f t="array" ref="D25">IFerror(INDEX(Papers!C$2:C$998,MATCH($A25, Papers!$A$2:$A$998,0)),"")</f>
        <v>Do Mobile Phone Surveys Work in Poor Countries?</v>
      </c>
      <c r="E25" s="59">
        <f t="array" ref="E25">IFerror(INDEX(Papers!G$2:G$998,MATCH($A25, Papers!$A$2:$A$998,0)),"")</f>
        <v>2014</v>
      </c>
      <c r="F25" s="205" t="s">
        <v>263</v>
      </c>
      <c r="G25" s="67" t="s">
        <v>11</v>
      </c>
      <c r="H25" s="205" t="s">
        <v>293</v>
      </c>
      <c r="I25" s="59">
        <v>0.0</v>
      </c>
      <c r="J25" s="68">
        <v>11.0</v>
      </c>
      <c r="K25" s="216" t="s">
        <v>366</v>
      </c>
      <c r="L25" s="193"/>
      <c r="M25" s="68">
        <v>10.0</v>
      </c>
      <c r="N25" s="194"/>
      <c r="O25" s="217">
        <f t="shared" si="2"/>
        <v>0.184</v>
      </c>
      <c r="P25" s="223">
        <f>R25*(1/0.184)</f>
        <v>3472.826087</v>
      </c>
      <c r="Q25" s="134"/>
      <c r="R25" s="224">
        <v>639.0</v>
      </c>
      <c r="S25" s="134"/>
      <c r="T25" s="134"/>
      <c r="U25" s="134"/>
      <c r="V25" s="134"/>
      <c r="W25" s="134"/>
      <c r="X25" s="193"/>
      <c r="Y25" s="195"/>
      <c r="Z25" s="196"/>
      <c r="AA25" s="192"/>
      <c r="AB25" s="192"/>
      <c r="AC25" s="192"/>
      <c r="AD25" s="192"/>
      <c r="AE25" s="192"/>
      <c r="AF25" s="192"/>
      <c r="AG25" s="192"/>
      <c r="AH25" s="192"/>
    </row>
    <row r="26">
      <c r="A26" s="197">
        <v>11.0</v>
      </c>
      <c r="B26" s="198" t="str">
        <f t="array" ref="B26">IFerror(INDEX(Papers!D$2:D$998,MATCH($A26, Papers!$A$2:$A$998,0)),"")</f>
        <v>Leo, Benjamin, Robert Morello, Jonathan Mellon, Tiago Peixoto, and Stephen Davenport</v>
      </c>
      <c r="C26" s="53">
        <f t="array" ref="C26">IFerror(INDEX(Papers!F$2:F$998,MATCH($A26, Papers!$A$2:$A$998,0)),"")</f>
        <v>2015</v>
      </c>
      <c r="D26" s="198" t="str">
        <f t="array" ref="D26">IFerror(INDEX(Papers!C$2:C$998,MATCH($A26, Papers!$A$2:$A$998,0)),"")</f>
        <v>Do Mobile Phone Surveys Work in Poor Countries?</v>
      </c>
      <c r="E26" s="53">
        <f t="array" ref="E26">IFerror(INDEX(Papers!G$2:G$998,MATCH($A26, Papers!$A$2:$A$998,0)),"")</f>
        <v>2014</v>
      </c>
      <c r="F26" s="199" t="s">
        <v>263</v>
      </c>
      <c r="G26" s="69" t="s">
        <v>11</v>
      </c>
      <c r="H26" s="199" t="s">
        <v>293</v>
      </c>
      <c r="I26" s="53">
        <v>0.0</v>
      </c>
      <c r="J26" s="66">
        <v>11.0</v>
      </c>
      <c r="K26" s="219" t="s">
        <v>367</v>
      </c>
      <c r="L26" s="209"/>
      <c r="M26" s="66">
        <v>10.0</v>
      </c>
      <c r="N26" s="202"/>
      <c r="O26" s="220">
        <f t="shared" si="2"/>
        <v>0.208</v>
      </c>
      <c r="P26" s="225">
        <f>R26*(1/0.208)</f>
        <v>3168.269231</v>
      </c>
      <c r="Q26" s="140"/>
      <c r="R26" s="226">
        <v>659.0</v>
      </c>
      <c r="S26" s="140"/>
      <c r="T26" s="140"/>
      <c r="U26" s="140"/>
      <c r="V26" s="140"/>
      <c r="W26" s="140"/>
      <c r="X26" s="209"/>
      <c r="Y26" s="203"/>
      <c r="Z26" s="204"/>
      <c r="AA26" s="197"/>
      <c r="AB26" s="197"/>
      <c r="AC26" s="197"/>
      <c r="AD26" s="197"/>
      <c r="AE26" s="197"/>
      <c r="AF26" s="197"/>
      <c r="AG26" s="197"/>
      <c r="AH26" s="197"/>
    </row>
    <row r="27">
      <c r="A27" s="192">
        <v>11.0</v>
      </c>
      <c r="B27" s="86" t="str">
        <f t="array" ref="B27">IFerror(INDEX(Papers!D$2:D$998,MATCH($A27, Papers!$A$2:$A$998,0)),"")</f>
        <v>Leo, Benjamin, Robert Morello, Jonathan Mellon, Tiago Peixoto, and Stephen Davenport</v>
      </c>
      <c r="C27" s="59">
        <f t="array" ref="C27">IFerror(INDEX(Papers!F$2:F$998,MATCH($A27, Papers!$A$2:$A$998,0)),"")</f>
        <v>2015</v>
      </c>
      <c r="D27" s="86" t="str">
        <f t="array" ref="D27">IFerror(INDEX(Papers!C$2:C$998,MATCH($A27, Papers!$A$2:$A$998,0)),"")</f>
        <v>Do Mobile Phone Surveys Work in Poor Countries?</v>
      </c>
      <c r="E27" s="59">
        <f t="array" ref="E27">IFerror(INDEX(Papers!G$2:G$998,MATCH($A27, Papers!$A$2:$A$998,0)),"")</f>
        <v>2014</v>
      </c>
      <c r="F27" s="205" t="s">
        <v>263</v>
      </c>
      <c r="G27" s="67" t="s">
        <v>11</v>
      </c>
      <c r="H27" s="205" t="s">
        <v>293</v>
      </c>
      <c r="I27" s="59">
        <v>0.0</v>
      </c>
      <c r="J27" s="68">
        <v>11.0</v>
      </c>
      <c r="K27" s="216" t="s">
        <v>368</v>
      </c>
      <c r="L27" s="193"/>
      <c r="M27" s="68">
        <v>10.0</v>
      </c>
      <c r="N27" s="194"/>
      <c r="O27" s="217">
        <f t="shared" si="2"/>
        <v>0.209</v>
      </c>
      <c r="P27" s="223">
        <f>R27*(1/0.209)</f>
        <v>3148.325359</v>
      </c>
      <c r="Q27" s="134"/>
      <c r="R27" s="224">
        <v>658.0</v>
      </c>
      <c r="S27" s="134"/>
      <c r="T27" s="134"/>
      <c r="U27" s="134"/>
      <c r="V27" s="134"/>
      <c r="W27" s="134"/>
      <c r="X27" s="193"/>
      <c r="Y27" s="195"/>
      <c r="Z27" s="196"/>
      <c r="AA27" s="192"/>
      <c r="AB27" s="192"/>
      <c r="AC27" s="192"/>
      <c r="AD27" s="192"/>
      <c r="AE27" s="192"/>
      <c r="AF27" s="192"/>
      <c r="AG27" s="192"/>
      <c r="AH27" s="192"/>
    </row>
    <row r="28">
      <c r="A28" s="197">
        <v>11.0</v>
      </c>
      <c r="B28" s="198" t="str">
        <f t="array" ref="B28">IFerror(INDEX(Papers!D$2:D$998,MATCH($A28, Papers!$A$2:$A$998,0)),"")</f>
        <v>Leo, Benjamin, Robert Morello, Jonathan Mellon, Tiago Peixoto, and Stephen Davenport</v>
      </c>
      <c r="C28" s="53">
        <f t="array" ref="C28">IFerror(INDEX(Papers!F$2:F$998,MATCH($A28, Papers!$A$2:$A$998,0)),"")</f>
        <v>2015</v>
      </c>
      <c r="D28" s="198" t="str">
        <f t="array" ref="D28">IFerror(INDEX(Papers!C$2:C$998,MATCH($A28, Papers!$A$2:$A$998,0)),"")</f>
        <v>Do Mobile Phone Surveys Work in Poor Countries?</v>
      </c>
      <c r="E28" s="53">
        <f t="array" ref="E28">IFerror(INDEX(Papers!G$2:G$998,MATCH($A28, Papers!$A$2:$A$998,0)),"")</f>
        <v>2014</v>
      </c>
      <c r="F28" s="69" t="s">
        <v>263</v>
      </c>
      <c r="G28" s="69" t="s">
        <v>11</v>
      </c>
      <c r="H28" s="69" t="s">
        <v>293</v>
      </c>
      <c r="I28" s="53">
        <v>0.0</v>
      </c>
      <c r="J28" s="66">
        <v>11.0</v>
      </c>
      <c r="K28" s="198"/>
      <c r="L28" s="209"/>
      <c r="M28" s="66">
        <v>10.0</v>
      </c>
      <c r="N28" s="202">
        <f>iferror(R28/Q28,"")</f>
        <v>0.04119986863</v>
      </c>
      <c r="O28" s="202">
        <f t="shared" si="2"/>
        <v>0.008040737839</v>
      </c>
      <c r="P28" s="140">
        <v>280820.0</v>
      </c>
      <c r="Q28" s="140">
        <v>54806.0</v>
      </c>
      <c r="R28" s="140">
        <v>2258.0</v>
      </c>
      <c r="S28" s="140"/>
      <c r="T28" s="140"/>
      <c r="U28" s="140">
        <v>8259.0</v>
      </c>
      <c r="V28" s="140"/>
      <c r="W28" s="140"/>
      <c r="X28" s="209" t="s">
        <v>348</v>
      </c>
      <c r="Y28" s="203">
        <v>0.008</v>
      </c>
      <c r="Z28" s="204">
        <v>280820.0</v>
      </c>
      <c r="AA28" s="197"/>
      <c r="AB28" s="197"/>
      <c r="AC28" s="197"/>
      <c r="AD28" s="197"/>
      <c r="AE28" s="197"/>
      <c r="AF28" s="197"/>
      <c r="AG28" s="197"/>
      <c r="AH28" s="197"/>
    </row>
    <row r="29">
      <c r="A29" s="192">
        <v>11.0</v>
      </c>
      <c r="B29" s="86" t="str">
        <f t="array" ref="B29">IFerror(INDEX(Papers!D$2:D$998,MATCH($A29, Papers!$A$2:$A$998,0)),"")</f>
        <v>Leo, Benjamin, Robert Morello, Jonathan Mellon, Tiago Peixoto, and Stephen Davenport</v>
      </c>
      <c r="C29" s="59">
        <f t="array" ref="C29">IFerror(INDEX(Papers!F$2:F$998,MATCH($A29, Papers!$A$2:$A$998,0)),"")</f>
        <v>2015</v>
      </c>
      <c r="D29" s="86" t="str">
        <f t="array" ref="D29">IFerror(INDEX(Papers!C$2:C$998,MATCH($A29, Papers!$A$2:$A$998,0)),"")</f>
        <v>Do Mobile Phone Surveys Work in Poor Countries?</v>
      </c>
      <c r="E29" s="59">
        <f t="array" ref="E29">IFerror(INDEX(Papers!G$2:G$998,MATCH($A29, Papers!$A$2:$A$998,0)),"")</f>
        <v>2014</v>
      </c>
      <c r="F29" s="67" t="s">
        <v>267</v>
      </c>
      <c r="G29" s="67" t="s">
        <v>11</v>
      </c>
      <c r="H29" s="205" t="s">
        <v>293</v>
      </c>
      <c r="I29" s="59">
        <v>0.0</v>
      </c>
      <c r="J29" s="68">
        <v>11.0</v>
      </c>
      <c r="K29" s="216" t="s">
        <v>366</v>
      </c>
      <c r="L29" s="193"/>
      <c r="M29" s="68">
        <v>10.0</v>
      </c>
      <c r="N29" s="194"/>
      <c r="O29" s="222">
        <f t="shared" si="2"/>
        <v>0.334</v>
      </c>
      <c r="P29" s="218">
        <f>670/33.4*100</f>
        <v>2005.988024</v>
      </c>
      <c r="Q29" s="134"/>
      <c r="R29" s="134">
        <v>670.0</v>
      </c>
      <c r="S29" s="134"/>
      <c r="T29" s="134"/>
      <c r="U29" s="134"/>
      <c r="V29" s="134"/>
      <c r="W29" s="134"/>
      <c r="X29" s="193" t="s">
        <v>348</v>
      </c>
      <c r="Y29" s="195">
        <v>0.334</v>
      </c>
      <c r="Z29" s="196"/>
      <c r="AA29" s="192"/>
      <c r="AB29" s="192"/>
      <c r="AC29" s="192"/>
      <c r="AD29" s="192"/>
      <c r="AE29" s="192"/>
      <c r="AF29" s="192"/>
      <c r="AG29" s="192"/>
      <c r="AH29" s="192"/>
    </row>
    <row r="30">
      <c r="A30" s="197">
        <v>11.0</v>
      </c>
      <c r="B30" s="198" t="str">
        <f t="array" ref="B30">IFerror(INDEX(Papers!D$2:D$998,MATCH($A30, Papers!$A$2:$A$998,0)),"")</f>
        <v>Leo, Benjamin, Robert Morello, Jonathan Mellon, Tiago Peixoto, and Stephen Davenport</v>
      </c>
      <c r="C30" s="53">
        <f t="array" ref="C30">IFerror(INDEX(Papers!F$2:F$998,MATCH($A30, Papers!$A$2:$A$998,0)),"")</f>
        <v>2015</v>
      </c>
      <c r="D30" s="198" t="str">
        <f t="array" ref="D30">IFerror(INDEX(Papers!C$2:C$998,MATCH($A30, Papers!$A$2:$A$998,0)),"")</f>
        <v>Do Mobile Phone Surveys Work in Poor Countries?</v>
      </c>
      <c r="E30" s="53">
        <f t="array" ref="E30">IFerror(INDEX(Papers!G$2:G$998,MATCH($A30, Papers!$A$2:$A$998,0)),"")</f>
        <v>2014</v>
      </c>
      <c r="F30" s="69" t="s">
        <v>267</v>
      </c>
      <c r="G30" s="69" t="s">
        <v>11</v>
      </c>
      <c r="H30" s="199" t="s">
        <v>293</v>
      </c>
      <c r="I30" s="53">
        <v>0.0</v>
      </c>
      <c r="J30" s="66">
        <v>11.0</v>
      </c>
      <c r="K30" s="219" t="s">
        <v>367</v>
      </c>
      <c r="L30" s="209"/>
      <c r="M30" s="66">
        <v>10.0</v>
      </c>
      <c r="N30" s="202"/>
      <c r="O30" s="227">
        <f t="shared" si="2"/>
        <v>0.376</v>
      </c>
      <c r="P30" s="221">
        <f>673/37.6*100</f>
        <v>1789.893617</v>
      </c>
      <c r="Q30" s="140"/>
      <c r="R30" s="140">
        <v>673.0</v>
      </c>
      <c r="S30" s="140"/>
      <c r="T30" s="140"/>
      <c r="U30" s="140"/>
      <c r="V30" s="140"/>
      <c r="W30" s="140"/>
      <c r="X30" s="209" t="s">
        <v>348</v>
      </c>
      <c r="Y30" s="203">
        <v>0.376</v>
      </c>
      <c r="Z30" s="204"/>
      <c r="AA30" s="197"/>
      <c r="AB30" s="197"/>
      <c r="AC30" s="197"/>
      <c r="AD30" s="197"/>
      <c r="AE30" s="197"/>
      <c r="AF30" s="197"/>
      <c r="AG30" s="197"/>
      <c r="AH30" s="197"/>
    </row>
    <row r="31">
      <c r="A31" s="192">
        <v>11.0</v>
      </c>
      <c r="B31" s="86" t="str">
        <f t="array" ref="B31">IFerror(INDEX(Papers!D$2:D$998,MATCH($A31, Papers!$A$2:$A$998,0)),"")</f>
        <v>Leo, Benjamin, Robert Morello, Jonathan Mellon, Tiago Peixoto, and Stephen Davenport</v>
      </c>
      <c r="C31" s="59">
        <f t="array" ref="C31">IFerror(INDEX(Papers!F$2:F$998,MATCH($A31, Papers!$A$2:$A$998,0)),"")</f>
        <v>2015</v>
      </c>
      <c r="D31" s="86" t="str">
        <f t="array" ref="D31">IFerror(INDEX(Papers!C$2:C$998,MATCH($A31, Papers!$A$2:$A$998,0)),"")</f>
        <v>Do Mobile Phone Surveys Work in Poor Countries?</v>
      </c>
      <c r="E31" s="59">
        <f t="array" ref="E31">IFerror(INDEX(Papers!G$2:G$998,MATCH($A31, Papers!$A$2:$A$998,0)),"")</f>
        <v>2014</v>
      </c>
      <c r="F31" s="67" t="s">
        <v>267</v>
      </c>
      <c r="G31" s="67" t="s">
        <v>11</v>
      </c>
      <c r="H31" s="205" t="s">
        <v>293</v>
      </c>
      <c r="I31" s="59">
        <v>0.0</v>
      </c>
      <c r="J31" s="68">
        <v>11.0</v>
      </c>
      <c r="K31" s="216" t="s">
        <v>368</v>
      </c>
      <c r="L31" s="193"/>
      <c r="M31" s="68">
        <v>10.0</v>
      </c>
      <c r="N31" s="194"/>
      <c r="O31" s="217">
        <f t="shared" si="2"/>
        <v>0.349</v>
      </c>
      <c r="P31" s="218">
        <f>664/34.9*100</f>
        <v>1902.578797</v>
      </c>
      <c r="Q31" s="134"/>
      <c r="R31" s="134">
        <v>664.0</v>
      </c>
      <c r="S31" s="134"/>
      <c r="T31" s="134"/>
      <c r="U31" s="134"/>
      <c r="V31" s="134"/>
      <c r="W31" s="134"/>
      <c r="X31" s="193" t="s">
        <v>348</v>
      </c>
      <c r="Y31" s="195">
        <v>0.349</v>
      </c>
      <c r="Z31" s="196"/>
      <c r="AA31" s="192"/>
      <c r="AB31" s="192"/>
      <c r="AC31" s="192"/>
      <c r="AD31" s="192"/>
      <c r="AE31" s="192"/>
      <c r="AF31" s="192"/>
      <c r="AG31" s="192"/>
      <c r="AH31" s="192"/>
    </row>
    <row r="32">
      <c r="A32" s="197">
        <v>11.0</v>
      </c>
      <c r="B32" s="198" t="str">
        <f t="array" ref="B32">IFerror(INDEX(Papers!D$2:D$998,MATCH($A32, Papers!$A$2:$A$998,0)),"")</f>
        <v>Leo, Benjamin, Robert Morello, Jonathan Mellon, Tiago Peixoto, and Stephen Davenport</v>
      </c>
      <c r="C32" s="53">
        <f t="array" ref="C32">IFerror(INDEX(Papers!F$2:F$998,MATCH($A32, Papers!$A$2:$A$998,0)),"")</f>
        <v>2015</v>
      </c>
      <c r="D32" s="198" t="str">
        <f t="array" ref="D32">IFerror(INDEX(Papers!C$2:C$998,MATCH($A32, Papers!$A$2:$A$998,0)),"")</f>
        <v>Do Mobile Phone Surveys Work in Poor Countries?</v>
      </c>
      <c r="E32" s="53">
        <f t="array" ref="E32">IFerror(INDEX(Papers!G$2:G$998,MATCH($A32, Papers!$A$2:$A$998,0)),"")</f>
        <v>2014</v>
      </c>
      <c r="F32" s="69" t="s">
        <v>267</v>
      </c>
      <c r="G32" s="69" t="s">
        <v>11</v>
      </c>
      <c r="H32" s="69" t="s">
        <v>293</v>
      </c>
      <c r="I32" s="53">
        <v>0.0</v>
      </c>
      <c r="J32" s="66">
        <v>11.0</v>
      </c>
      <c r="K32" s="198"/>
      <c r="L32" s="209"/>
      <c r="M32" s="66">
        <v>10.0</v>
      </c>
      <c r="N32" s="202">
        <f>iferror(R32/Q32,"")</f>
        <v>0.03559565634</v>
      </c>
      <c r="O32" s="210">
        <f t="shared" si="2"/>
        <v>0.007089942714</v>
      </c>
      <c r="P32" s="140">
        <v>314389.0</v>
      </c>
      <c r="Q32" s="140">
        <v>62620.0</v>
      </c>
      <c r="R32" s="140">
        <v>2229.0</v>
      </c>
      <c r="S32" s="140"/>
      <c r="T32" s="140"/>
      <c r="U32" s="140">
        <v>3591.0</v>
      </c>
      <c r="V32" s="140"/>
      <c r="W32" s="140"/>
      <c r="X32" s="209" t="s">
        <v>348</v>
      </c>
      <c r="Y32" s="203">
        <v>0.0071</v>
      </c>
      <c r="Z32" s="204">
        <v>314389.0</v>
      </c>
      <c r="AA32" s="197"/>
      <c r="AB32" s="197"/>
      <c r="AC32" s="197"/>
      <c r="AD32" s="197"/>
      <c r="AE32" s="197"/>
      <c r="AF32" s="197"/>
      <c r="AG32" s="197"/>
      <c r="AH32" s="197"/>
    </row>
    <row r="33">
      <c r="A33" s="192">
        <v>11.0</v>
      </c>
      <c r="B33" s="86" t="str">
        <f t="array" ref="B33">IFerror(INDEX(Papers!D$2:D$998,MATCH($A33, Papers!$A$2:$A$998,0)),"")</f>
        <v>Leo, Benjamin, Robert Morello, Jonathan Mellon, Tiago Peixoto, and Stephen Davenport</v>
      </c>
      <c r="C33" s="59">
        <f t="array" ref="C33">IFerror(INDEX(Papers!F$2:F$998,MATCH($A33, Papers!$A$2:$A$998,0)),"")</f>
        <v>2015</v>
      </c>
      <c r="D33" s="86" t="str">
        <f t="array" ref="D33">IFerror(INDEX(Papers!C$2:C$998,MATCH($A33, Papers!$A$2:$A$998,0)),"")</f>
        <v>Do Mobile Phone Surveys Work in Poor Countries?</v>
      </c>
      <c r="E33" s="59">
        <f t="array" ref="E33">IFerror(INDEX(Papers!G$2:G$998,MATCH($A33, Papers!$A$2:$A$998,0)),"")</f>
        <v>2014</v>
      </c>
      <c r="F33" s="205" t="s">
        <v>276</v>
      </c>
      <c r="G33" s="67" t="s">
        <v>11</v>
      </c>
      <c r="H33" s="205" t="s">
        <v>293</v>
      </c>
      <c r="I33" s="59">
        <v>0.0</v>
      </c>
      <c r="J33" s="68">
        <v>11.0</v>
      </c>
      <c r="K33" s="216" t="s">
        <v>366</v>
      </c>
      <c r="L33" s="193"/>
      <c r="M33" s="68">
        <v>10.0</v>
      </c>
      <c r="N33" s="194"/>
      <c r="O33" s="217">
        <f t="shared" si="2"/>
        <v>0.431</v>
      </c>
      <c r="P33" s="223">
        <f>R33*(1/0.431)</f>
        <v>1389.791183</v>
      </c>
      <c r="Q33" s="134"/>
      <c r="R33" s="224">
        <v>599.0</v>
      </c>
      <c r="S33" s="134"/>
      <c r="T33" s="134"/>
      <c r="U33" s="134"/>
      <c r="V33" s="134"/>
      <c r="W33" s="134"/>
      <c r="X33" s="193"/>
      <c r="Y33" s="195"/>
      <c r="Z33" s="196"/>
      <c r="AA33" s="192"/>
      <c r="AB33" s="192"/>
      <c r="AC33" s="192"/>
      <c r="AD33" s="192"/>
      <c r="AE33" s="192"/>
      <c r="AF33" s="192"/>
      <c r="AG33" s="192"/>
      <c r="AH33" s="192"/>
    </row>
    <row r="34">
      <c r="A34" s="197">
        <v>11.0</v>
      </c>
      <c r="B34" s="198" t="str">
        <f t="array" ref="B34">IFerror(INDEX(Papers!D$2:D$998,MATCH($A34, Papers!$A$2:$A$998,0)),"")</f>
        <v>Leo, Benjamin, Robert Morello, Jonathan Mellon, Tiago Peixoto, and Stephen Davenport</v>
      </c>
      <c r="C34" s="53">
        <f t="array" ref="C34">IFerror(INDEX(Papers!F$2:F$998,MATCH($A34, Papers!$A$2:$A$998,0)),"")</f>
        <v>2015</v>
      </c>
      <c r="D34" s="198" t="str">
        <f t="array" ref="D34">IFerror(INDEX(Papers!C$2:C$998,MATCH($A34, Papers!$A$2:$A$998,0)),"")</f>
        <v>Do Mobile Phone Surveys Work in Poor Countries?</v>
      </c>
      <c r="E34" s="53">
        <f t="array" ref="E34">IFerror(INDEX(Papers!G$2:G$998,MATCH($A34, Papers!$A$2:$A$998,0)),"")</f>
        <v>2014</v>
      </c>
      <c r="F34" s="199" t="s">
        <v>276</v>
      </c>
      <c r="G34" s="69" t="s">
        <v>11</v>
      </c>
      <c r="H34" s="199" t="s">
        <v>293</v>
      </c>
      <c r="I34" s="53">
        <v>0.0</v>
      </c>
      <c r="J34" s="66">
        <v>11.0</v>
      </c>
      <c r="K34" s="219" t="s">
        <v>368</v>
      </c>
      <c r="L34" s="209"/>
      <c r="M34" s="66">
        <v>10.0</v>
      </c>
      <c r="N34" s="202"/>
      <c r="O34" s="220">
        <f t="shared" si="2"/>
        <v>0.521</v>
      </c>
      <c r="P34" s="225">
        <f>R34*(1/0.521)</f>
        <v>1347.408829</v>
      </c>
      <c r="Q34" s="140"/>
      <c r="R34" s="226">
        <v>702.0</v>
      </c>
      <c r="S34" s="140"/>
      <c r="T34" s="140"/>
      <c r="U34" s="140"/>
      <c r="V34" s="140"/>
      <c r="W34" s="140"/>
      <c r="X34" s="209"/>
      <c r="Y34" s="203"/>
      <c r="Z34" s="204"/>
      <c r="AA34" s="197"/>
      <c r="AB34" s="197"/>
      <c r="AC34" s="197"/>
      <c r="AD34" s="197"/>
      <c r="AE34" s="197"/>
      <c r="AF34" s="197"/>
      <c r="AG34" s="197"/>
      <c r="AH34" s="197"/>
    </row>
    <row r="35">
      <c r="A35" s="192">
        <v>11.0</v>
      </c>
      <c r="B35" s="86" t="str">
        <f t="array" ref="B35">IFerror(INDEX(Papers!D$2:D$998,MATCH($A35, Papers!$A$2:$A$998,0)),"")</f>
        <v>Leo, Benjamin, Robert Morello, Jonathan Mellon, Tiago Peixoto, and Stephen Davenport</v>
      </c>
      <c r="C35" s="59">
        <f t="array" ref="C35">IFerror(INDEX(Papers!F$2:F$998,MATCH($A35, Papers!$A$2:$A$998,0)),"")</f>
        <v>2015</v>
      </c>
      <c r="D35" s="86" t="str">
        <f t="array" ref="D35">IFerror(INDEX(Papers!C$2:C$998,MATCH($A35, Papers!$A$2:$A$998,0)),"")</f>
        <v>Do Mobile Phone Surveys Work in Poor Countries?</v>
      </c>
      <c r="E35" s="59">
        <f t="array" ref="E35">IFerror(INDEX(Papers!G$2:G$998,MATCH($A35, Papers!$A$2:$A$998,0)),"")</f>
        <v>2014</v>
      </c>
      <c r="F35" s="205" t="s">
        <v>276</v>
      </c>
      <c r="G35" s="67" t="s">
        <v>11</v>
      </c>
      <c r="H35" s="205" t="s">
        <v>293</v>
      </c>
      <c r="I35" s="59">
        <v>0.0</v>
      </c>
      <c r="J35" s="68">
        <v>11.0</v>
      </c>
      <c r="K35" s="216" t="s">
        <v>367</v>
      </c>
      <c r="L35" s="193"/>
      <c r="M35" s="68">
        <v>10.0</v>
      </c>
      <c r="N35" s="194"/>
      <c r="O35" s="217">
        <f t="shared" si="2"/>
        <v>0.547</v>
      </c>
      <c r="P35" s="223">
        <f>R35*(1/0.547)</f>
        <v>1334.552102</v>
      </c>
      <c r="Q35" s="134"/>
      <c r="R35" s="224">
        <v>730.0</v>
      </c>
      <c r="S35" s="134"/>
      <c r="T35" s="134"/>
      <c r="U35" s="134"/>
      <c r="V35" s="134"/>
      <c r="W35" s="134"/>
      <c r="X35" s="193"/>
      <c r="Y35" s="195"/>
      <c r="Z35" s="196"/>
      <c r="AA35" s="192"/>
      <c r="AB35" s="192"/>
      <c r="AC35" s="192"/>
      <c r="AD35" s="192"/>
      <c r="AE35" s="192"/>
      <c r="AF35" s="192"/>
      <c r="AG35" s="192"/>
      <c r="AH35" s="192"/>
    </row>
    <row r="36">
      <c r="A36" s="197">
        <v>11.0</v>
      </c>
      <c r="B36" s="198" t="str">
        <f t="array" ref="B36">IFerror(INDEX(Papers!D$2:D$998,MATCH($A36, Papers!$A$2:$A$998,0)),"")</f>
        <v>Leo, Benjamin, Robert Morello, Jonathan Mellon, Tiago Peixoto, and Stephen Davenport</v>
      </c>
      <c r="C36" s="53">
        <f t="array" ref="C36">IFerror(INDEX(Papers!F$2:F$998,MATCH($A36, Papers!$A$2:$A$998,0)),"")</f>
        <v>2015</v>
      </c>
      <c r="D36" s="198" t="str">
        <f t="array" ref="D36">IFerror(INDEX(Papers!C$2:C$998,MATCH($A36, Papers!$A$2:$A$998,0)),"")</f>
        <v>Do Mobile Phone Surveys Work in Poor Countries?</v>
      </c>
      <c r="E36" s="53">
        <f t="array" ref="E36">IFerror(INDEX(Papers!G$2:G$998,MATCH($A36, Papers!$A$2:$A$998,0)),"")</f>
        <v>2014</v>
      </c>
      <c r="F36" s="69" t="s">
        <v>276</v>
      </c>
      <c r="G36" s="69" t="s">
        <v>11</v>
      </c>
      <c r="H36" s="69" t="s">
        <v>293</v>
      </c>
      <c r="I36" s="53">
        <v>0.0</v>
      </c>
      <c r="J36" s="66">
        <v>11.0</v>
      </c>
      <c r="K36" s="198"/>
      <c r="L36" s="209"/>
      <c r="M36" s="66">
        <v>10.0</v>
      </c>
      <c r="N36" s="202">
        <f t="shared" ref="N36:N38" si="4">iferror(R36/Q36,"")</f>
        <v>0.0387244943</v>
      </c>
      <c r="O36" s="210">
        <f t="shared" si="2"/>
        <v>0.01214740925</v>
      </c>
      <c r="P36" s="140">
        <v>180450.0</v>
      </c>
      <c r="Q36" s="140">
        <v>56605.0</v>
      </c>
      <c r="R36" s="140">
        <v>2192.0</v>
      </c>
      <c r="S36" s="140"/>
      <c r="T36" s="140"/>
      <c r="U36" s="140">
        <v>2589.0</v>
      </c>
      <c r="V36" s="140"/>
      <c r="W36" s="140"/>
      <c r="X36" s="209" t="s">
        <v>348</v>
      </c>
      <c r="Y36" s="203">
        <v>0.0121</v>
      </c>
      <c r="Z36" s="204">
        <v>180450.0</v>
      </c>
      <c r="AA36" s="197"/>
      <c r="AB36" s="197"/>
      <c r="AC36" s="197"/>
      <c r="AD36" s="197"/>
      <c r="AE36" s="197"/>
      <c r="AF36" s="197"/>
      <c r="AG36" s="197"/>
      <c r="AH36" s="197"/>
    </row>
    <row r="37" hidden="1">
      <c r="A37" s="215">
        <v>13.0</v>
      </c>
      <c r="B37" s="86" t="str">
        <f t="array" ref="B37">IFerror(INDEX(Papers!D$2:D$998,MATCH($A37, Papers!$A$2:$A$998,0)),"")</f>
        <v>Ben Morse, Karen Grépin, Robert Blair, and Lily Tsai</v>
      </c>
      <c r="C37" s="59">
        <f t="array" ref="C37">IFerror(INDEX(Papers!F$2:F$998,MATCH($A37, Papers!$A$2:$A$998,0)),"")</f>
        <v>2016</v>
      </c>
      <c r="D37" s="86" t="str">
        <f t="array" ref="D37">IFerror(INDEX(Papers!C$2:C$998,MATCH($A37, Papers!$A$2:$A$998,0)),"")</f>
        <v>Patterns of Demand for Non-Ebola Health Services during and after the Ebola Outbreak: Panel Survey Evidence from Monrovia, Liberia</v>
      </c>
      <c r="E37" s="59">
        <f t="array" ref="E37">IFerror(INDEX(Papers!G$2:G$998,MATCH($A37, Papers!$A$2:$A$998,0)),"")</f>
        <v>2015</v>
      </c>
      <c r="F37" s="57" t="s">
        <v>246</v>
      </c>
      <c r="G37" s="67" t="s">
        <v>9</v>
      </c>
      <c r="H37" s="86" t="s">
        <v>347</v>
      </c>
      <c r="I37" s="68">
        <v>0.0</v>
      </c>
      <c r="J37" s="68"/>
      <c r="K37" s="228"/>
      <c r="L37" s="216" t="s">
        <v>352</v>
      </c>
      <c r="M37" s="68"/>
      <c r="N37" s="194">
        <f t="shared" si="4"/>
        <v>0.9805194805</v>
      </c>
      <c r="O37" s="194">
        <f t="shared" si="2"/>
        <v>0.7803617571</v>
      </c>
      <c r="P37" s="84">
        <v>774.0</v>
      </c>
      <c r="Q37" s="134">
        <v>616.0</v>
      </c>
      <c r="R37" s="84">
        <v>604.0</v>
      </c>
      <c r="S37" s="134"/>
      <c r="T37" s="84">
        <v>6.0</v>
      </c>
      <c r="U37" s="134"/>
      <c r="V37" s="134"/>
      <c r="W37" s="84">
        <v>164.0</v>
      </c>
      <c r="X37" s="193" t="s">
        <v>348</v>
      </c>
      <c r="Y37" s="195">
        <f>604/774</f>
        <v>0.7803617571</v>
      </c>
      <c r="Z37" s="196">
        <v>774.0</v>
      </c>
      <c r="AA37" s="192"/>
      <c r="AB37" s="192"/>
      <c r="AC37" s="192"/>
      <c r="AD37" s="192"/>
      <c r="AE37" s="192"/>
      <c r="AF37" s="192"/>
      <c r="AG37" s="192"/>
      <c r="AH37" s="192"/>
    </row>
    <row r="38" hidden="1">
      <c r="A38" s="229">
        <v>13.0</v>
      </c>
      <c r="B38" s="198" t="str">
        <f t="array" ref="B38">IFerror(INDEX(Papers!D$2:D$998,MATCH($A38, Papers!$A$2:$A$998,0)),"")</f>
        <v>Ben Morse, Karen Grépin, Robert Blair, and Lily Tsai</v>
      </c>
      <c r="C38" s="53">
        <f t="array" ref="C38">IFerror(INDEX(Papers!F$2:F$998,MATCH($A38, Papers!$A$2:$A$998,0)),"")</f>
        <v>2016</v>
      </c>
      <c r="D38" s="198" t="str">
        <f t="array" ref="D38">IFerror(INDEX(Papers!C$2:C$998,MATCH($A38, Papers!$A$2:$A$998,0)),"")</f>
        <v>Patterns of Demand for Non-Ebola Health Services during and after the Ebola Outbreak: Panel Survey Evidence from Monrovia, Liberia</v>
      </c>
      <c r="E38" s="53">
        <f t="array" ref="E38">IFerror(INDEX(Papers!G$2:G$998,MATCH($A38, Papers!$A$2:$A$998,0)),"")</f>
        <v>2015</v>
      </c>
      <c r="F38" s="51" t="s">
        <v>246</v>
      </c>
      <c r="G38" s="69" t="s">
        <v>9</v>
      </c>
      <c r="H38" s="198" t="s">
        <v>347</v>
      </c>
      <c r="I38" s="66">
        <v>0.0</v>
      </c>
      <c r="J38" s="66"/>
      <c r="K38" s="230"/>
      <c r="L38" s="219" t="s">
        <v>353</v>
      </c>
      <c r="M38" s="66"/>
      <c r="N38" s="202" t="str">
        <f t="shared" si="4"/>
        <v/>
      </c>
      <c r="O38" s="210">
        <f t="shared" si="2"/>
        <v>0.6573275862</v>
      </c>
      <c r="P38" s="231">
        <v>928.0</v>
      </c>
      <c r="Q38" s="140"/>
      <c r="R38" s="231">
        <v>610.0</v>
      </c>
      <c r="S38" s="140"/>
      <c r="T38" s="140"/>
      <c r="U38" s="140"/>
      <c r="V38" s="140"/>
      <c r="W38" s="140"/>
      <c r="X38" s="209" t="s">
        <v>348</v>
      </c>
      <c r="Y38" s="203">
        <f>610/928</f>
        <v>0.6573275862</v>
      </c>
      <c r="Z38" s="204">
        <v>928.0</v>
      </c>
      <c r="AA38" s="197"/>
      <c r="AB38" s="197"/>
      <c r="AC38" s="197"/>
      <c r="AD38" s="197"/>
      <c r="AE38" s="197"/>
      <c r="AF38" s="197"/>
      <c r="AG38" s="197"/>
      <c r="AH38" s="197"/>
    </row>
    <row r="39" hidden="1">
      <c r="A39" s="215">
        <v>14.0</v>
      </c>
      <c r="B39" s="86" t="str">
        <f t="array" ref="B39">IFerror(INDEX(Papers!D$2:D$998,MATCH($A39, Papers!$A$2:$A$998,0)),"")</f>
        <v>Kristen Himelein Kastelic, Mauro Testaverde, Akubakarr Turay, and Samuel Turay</v>
      </c>
      <c r="C39" s="59">
        <f t="array" ref="C39">IFerror(INDEX(Papers!F$2:F$998,MATCH($A39, Papers!$A$2:$A$998,0)),"")</f>
        <v>2015</v>
      </c>
      <c r="D39" s="86" t="str">
        <f t="array" ref="D39">IFerror(INDEX(Papers!C$2:C$998,MATCH($A39, Papers!$A$2:$A$998,0)),"")</f>
        <v>The Socio-Economic Impacts of Ebola in Sierra Leone : Results from a High Frequency Cell Phone Survey - Round Three</v>
      </c>
      <c r="E39" s="59">
        <f t="array" ref="E39">IFerror(INDEX(Papers!G$2:G$998,MATCH($A39, Papers!$A$2:$A$998,0)),"")</f>
        <v>2014</v>
      </c>
      <c r="F39" s="57" t="s">
        <v>256</v>
      </c>
      <c r="G39" s="67" t="s">
        <v>9</v>
      </c>
      <c r="H39" s="57" t="s">
        <v>300</v>
      </c>
      <c r="I39" s="68">
        <v>0.0</v>
      </c>
      <c r="J39" s="68"/>
      <c r="K39" s="86"/>
      <c r="L39" s="193" t="s">
        <v>354</v>
      </c>
      <c r="M39" s="68"/>
      <c r="N39" s="194"/>
      <c r="O39" s="194">
        <f t="shared" si="2"/>
        <v>0.6204775687</v>
      </c>
      <c r="P39" s="84">
        <v>2764.0</v>
      </c>
      <c r="Q39" s="134"/>
      <c r="R39" s="84">
        <v>1715.0</v>
      </c>
      <c r="S39" s="134"/>
      <c r="T39" s="134"/>
      <c r="U39" s="134"/>
      <c r="V39" s="134"/>
      <c r="W39" s="134"/>
      <c r="X39" s="193" t="s">
        <v>348</v>
      </c>
      <c r="Y39" s="195">
        <v>0.6205</v>
      </c>
      <c r="Z39" s="196">
        <v>2764.0</v>
      </c>
      <c r="AA39" s="192"/>
      <c r="AB39" s="192"/>
      <c r="AC39" s="192"/>
      <c r="AD39" s="192"/>
      <c r="AE39" s="192"/>
      <c r="AF39" s="192"/>
      <c r="AG39" s="192"/>
      <c r="AH39" s="192"/>
    </row>
    <row r="40" hidden="1">
      <c r="A40" s="229">
        <v>14.0</v>
      </c>
      <c r="B40" s="198" t="str">
        <f t="array" ref="B40">IFerror(INDEX(Papers!D$2:D$998,MATCH($A40, Papers!$A$2:$A$998,0)),"")</f>
        <v>Kristen Himelein Kastelic, Mauro Testaverde, Akubakarr Turay, and Samuel Turay</v>
      </c>
      <c r="C40" s="53">
        <f t="array" ref="C40">IFerror(INDEX(Papers!F$2:F$998,MATCH($A40, Papers!$A$2:$A$998,0)),"")</f>
        <v>2015</v>
      </c>
      <c r="D40" s="198" t="str">
        <f t="array" ref="D40">IFerror(INDEX(Papers!C$2:C$998,MATCH($A40, Papers!$A$2:$A$998,0)),"")</f>
        <v>The Socio-Economic Impacts of Ebola in Sierra Leone : Results from a High Frequency Cell Phone Survey - Round Three</v>
      </c>
      <c r="E40" s="53">
        <f t="array" ref="E40">IFerror(INDEX(Papers!G$2:G$998,MATCH($A40, Papers!$A$2:$A$998,0)),"")</f>
        <v>2014</v>
      </c>
      <c r="F40" s="51" t="s">
        <v>256</v>
      </c>
      <c r="G40" s="69" t="s">
        <v>9</v>
      </c>
      <c r="H40" s="51" t="s">
        <v>300</v>
      </c>
      <c r="I40" s="66">
        <v>0.0</v>
      </c>
      <c r="J40" s="66"/>
      <c r="K40" s="198"/>
      <c r="L40" s="209" t="s">
        <v>353</v>
      </c>
      <c r="M40" s="66"/>
      <c r="N40" s="202"/>
      <c r="O40" s="210">
        <f t="shared" si="2"/>
        <v>0.6794500724</v>
      </c>
      <c r="P40" s="231">
        <v>2764.0</v>
      </c>
      <c r="Q40" s="140"/>
      <c r="R40" s="231">
        <v>1878.0</v>
      </c>
      <c r="S40" s="231">
        <v>28.0</v>
      </c>
      <c r="T40" s="231">
        <v>16.0</v>
      </c>
      <c r="U40" s="231">
        <v>10.0</v>
      </c>
      <c r="V40" s="231">
        <v>13.0</v>
      </c>
      <c r="W40" s="140"/>
      <c r="X40" s="209" t="s">
        <v>348</v>
      </c>
      <c r="Y40" s="203">
        <v>0.679</v>
      </c>
      <c r="Z40" s="204">
        <v>2764.0</v>
      </c>
      <c r="AA40" s="229"/>
      <c r="AB40" s="229">
        <v>5.0</v>
      </c>
      <c r="AC40" s="197"/>
      <c r="AD40" s="197"/>
      <c r="AE40" s="197"/>
      <c r="AF40" s="197"/>
      <c r="AG40" s="229">
        <v>745.0</v>
      </c>
      <c r="AH40" s="229">
        <v>21.0</v>
      </c>
    </row>
    <row r="41" hidden="1">
      <c r="A41" s="215">
        <v>14.0</v>
      </c>
      <c r="B41" s="86" t="str">
        <f t="array" ref="B41">IFerror(INDEX(Papers!D$2:D$998,MATCH($A41, Papers!$A$2:$A$998,0)),"")</f>
        <v>Kristen Himelein Kastelic, Mauro Testaverde, Akubakarr Turay, and Samuel Turay</v>
      </c>
      <c r="C41" s="59">
        <f t="array" ref="C41">IFerror(INDEX(Papers!F$2:F$998,MATCH($A41, Papers!$A$2:$A$998,0)),"")</f>
        <v>2015</v>
      </c>
      <c r="D41" s="86" t="str">
        <f t="array" ref="D41">IFerror(INDEX(Papers!C$2:C$998,MATCH($A41, Papers!$A$2:$A$998,0)),"")</f>
        <v>The Socio-Economic Impacts of Ebola in Sierra Leone : Results from a High Frequency Cell Phone Survey - Round Three</v>
      </c>
      <c r="E41" s="59">
        <f t="array" ref="E41">IFerror(INDEX(Papers!G$2:G$998,MATCH($A41, Papers!$A$2:$A$998,0)),"")</f>
        <v>2014</v>
      </c>
      <c r="F41" s="57" t="s">
        <v>256</v>
      </c>
      <c r="G41" s="67" t="s">
        <v>9</v>
      </c>
      <c r="H41" s="57" t="s">
        <v>300</v>
      </c>
      <c r="I41" s="68">
        <v>0.0</v>
      </c>
      <c r="J41" s="68"/>
      <c r="K41" s="86"/>
      <c r="L41" s="193" t="s">
        <v>352</v>
      </c>
      <c r="M41" s="68"/>
      <c r="N41" s="194"/>
      <c r="O41" s="194">
        <f t="shared" si="2"/>
        <v>0.6859623734</v>
      </c>
      <c r="P41" s="84">
        <v>2764.0</v>
      </c>
      <c r="Q41" s="134"/>
      <c r="R41" s="84">
        <v>1896.0</v>
      </c>
      <c r="S41" s="84">
        <v>37.0</v>
      </c>
      <c r="T41" s="84">
        <v>5.0</v>
      </c>
      <c r="U41" s="84">
        <v>4.0</v>
      </c>
      <c r="V41" s="84">
        <v>0.0</v>
      </c>
      <c r="W41" s="134"/>
      <c r="X41" s="193" t="s">
        <v>348</v>
      </c>
      <c r="Y41" s="208" t="str">
        <f>iferror(AA41/Z41,"")</f>
        <v/>
      </c>
      <c r="Z41" s="196"/>
      <c r="AA41" s="215"/>
      <c r="AB41" s="215">
        <v>6.0</v>
      </c>
      <c r="AC41" s="192"/>
      <c r="AD41" s="192"/>
      <c r="AE41" s="192"/>
      <c r="AF41" s="192"/>
      <c r="AG41" s="215">
        <v>789.0</v>
      </c>
      <c r="AH41" s="215">
        <v>22.0</v>
      </c>
    </row>
    <row r="42">
      <c r="A42" s="229">
        <v>17.0</v>
      </c>
      <c r="B42" s="198" t="str">
        <f t="array" ref="B42">IFerror(INDEX(Papers!D$2:D$998,MATCH($A42, Papers!$A$2:$A$998,0)),"")</f>
        <v>Shuo Feng, Karen Grépin, and Rumi Chunara</v>
      </c>
      <c r="C42" s="53">
        <f t="array" ref="C42">IFerror(INDEX(Papers!F$2:F$998,MATCH($A42, Papers!$A$2:$A$998,0)),"")</f>
        <v>2018</v>
      </c>
      <c r="D42" s="198" t="str">
        <f t="array" ref="D42">IFerror(INDEX(Papers!C$2:C$998,MATCH($A42, Papers!$A$2:$A$998,0)),"")</f>
        <v>Tracking Health Seeking Behavior during an Ebola Outbreak via Mobile Phones and SMS</v>
      </c>
      <c r="E42" s="53">
        <f t="array" ref="E42">IFerror(INDEX(Papers!G$2:G$998,MATCH($A42, Papers!$A$2:$A$998,0)),"")</f>
        <v>2015</v>
      </c>
      <c r="F42" s="51" t="s">
        <v>246</v>
      </c>
      <c r="G42" s="69" t="s">
        <v>10</v>
      </c>
      <c r="H42" s="198" t="s">
        <v>369</v>
      </c>
      <c r="I42" s="66">
        <v>0.0</v>
      </c>
      <c r="J42" s="66">
        <v>10.0</v>
      </c>
      <c r="K42" s="198"/>
      <c r="L42" s="209" t="s">
        <v>352</v>
      </c>
      <c r="M42" s="66">
        <v>10.0</v>
      </c>
      <c r="N42" s="202" t="str">
        <f t="shared" ref="N42:N50" si="5">iferror(R42/Q42,"")</f>
        <v/>
      </c>
      <c r="O42" s="202" t="str">
        <f t="shared" si="2"/>
        <v/>
      </c>
      <c r="P42" s="140"/>
      <c r="Q42" s="140" t="str">
        <f t="shared" ref="Q42:Q50" si="6">if(AND(W42&lt;&gt;0,P42&lt;&gt;0),P42-W42,"")</f>
        <v/>
      </c>
      <c r="R42" s="140"/>
      <c r="S42" s="140"/>
      <c r="T42" s="140"/>
      <c r="U42" s="140"/>
      <c r="V42" s="140"/>
      <c r="W42" s="140"/>
      <c r="X42" s="209" t="s">
        <v>348</v>
      </c>
      <c r="Y42" s="203">
        <v>0.107</v>
      </c>
      <c r="Z42" s="204"/>
      <c r="AA42" s="197"/>
      <c r="AB42" s="197"/>
      <c r="AC42" s="197"/>
      <c r="AD42" s="197"/>
      <c r="AE42" s="197"/>
      <c r="AF42" s="197"/>
      <c r="AG42" s="197"/>
      <c r="AH42" s="197"/>
    </row>
    <row r="43" hidden="1">
      <c r="A43" s="215">
        <v>17.0</v>
      </c>
      <c r="B43" s="86" t="str">
        <f t="array" ref="B43">IFerror(INDEX(Papers!D$2:D$998,MATCH($A43, Papers!$A$2:$A$998,0)),"")</f>
        <v>Shuo Feng, Karen Grépin, and Rumi Chunara</v>
      </c>
      <c r="C43" s="59">
        <f t="array" ref="C43">IFerror(INDEX(Papers!F$2:F$998,MATCH($A43, Papers!$A$2:$A$998,0)),"")</f>
        <v>2018</v>
      </c>
      <c r="D43" s="86" t="str">
        <f t="array" ref="D43">IFerror(INDEX(Papers!C$2:C$998,MATCH($A43, Papers!$A$2:$A$998,0)),"")</f>
        <v>Tracking Health Seeking Behavior during an Ebola Outbreak via Mobile Phones and SMS</v>
      </c>
      <c r="E43" s="59">
        <f t="array" ref="E43">IFerror(INDEX(Papers!G$2:G$998,MATCH($A43, Papers!$A$2:$A$998,0)),"")</f>
        <v>2015</v>
      </c>
      <c r="F43" s="57" t="s">
        <v>246</v>
      </c>
      <c r="G43" s="67" t="s">
        <v>10</v>
      </c>
      <c r="H43" s="68" t="s">
        <v>369</v>
      </c>
      <c r="I43" s="68">
        <v>0.0</v>
      </c>
      <c r="J43" s="68">
        <v>10.0</v>
      </c>
      <c r="K43" s="86"/>
      <c r="L43" s="193" t="s">
        <v>353</v>
      </c>
      <c r="M43" s="68">
        <v>10.0</v>
      </c>
      <c r="N43" s="194" t="str">
        <f t="shared" si="5"/>
        <v/>
      </c>
      <c r="O43" s="208" t="str">
        <f t="shared" si="2"/>
        <v/>
      </c>
      <c r="P43" s="134"/>
      <c r="Q43" s="134" t="str">
        <f t="shared" si="6"/>
        <v/>
      </c>
      <c r="R43" s="134"/>
      <c r="S43" s="134"/>
      <c r="T43" s="134"/>
      <c r="U43" s="134"/>
      <c r="V43" s="134"/>
      <c r="W43" s="134"/>
      <c r="X43" s="193" t="s">
        <v>348</v>
      </c>
      <c r="Y43" s="195">
        <v>0.181</v>
      </c>
      <c r="Z43" s="196"/>
      <c r="AA43" s="192"/>
      <c r="AB43" s="192"/>
      <c r="AC43" s="192"/>
      <c r="AD43" s="192"/>
      <c r="AE43" s="192"/>
      <c r="AF43" s="192"/>
      <c r="AG43" s="192"/>
      <c r="AH43" s="192"/>
    </row>
    <row r="44" hidden="1">
      <c r="A44" s="229">
        <v>17.0</v>
      </c>
      <c r="B44" s="198" t="str">
        <f t="array" ref="B44">IFerror(INDEX(Papers!D$2:D$998,MATCH($A44, Papers!$A$2:$A$998,0)),"")</f>
        <v>Shuo Feng, Karen Grépin, and Rumi Chunara</v>
      </c>
      <c r="C44" s="53">
        <f t="array" ref="C44">IFerror(INDEX(Papers!F$2:F$998,MATCH($A44, Papers!$A$2:$A$998,0)),"")</f>
        <v>2018</v>
      </c>
      <c r="D44" s="198" t="str">
        <f t="array" ref="D44">IFerror(INDEX(Papers!C$2:C$998,MATCH($A44, Papers!$A$2:$A$998,0)),"")</f>
        <v>Tracking Health Seeking Behavior during an Ebola Outbreak via Mobile Phones and SMS</v>
      </c>
      <c r="E44" s="53">
        <f t="array" ref="E44">IFerror(INDEX(Papers!G$2:G$998,MATCH($A44, Papers!$A$2:$A$998,0)),"")</f>
        <v>2015</v>
      </c>
      <c r="F44" s="51" t="s">
        <v>246</v>
      </c>
      <c r="G44" s="69" t="s">
        <v>10</v>
      </c>
      <c r="H44" s="66" t="s">
        <v>369</v>
      </c>
      <c r="I44" s="66">
        <v>0.0</v>
      </c>
      <c r="J44" s="66">
        <v>10.0</v>
      </c>
      <c r="K44" s="198"/>
      <c r="L44" s="209" t="s">
        <v>354</v>
      </c>
      <c r="M44" s="66">
        <v>10.0</v>
      </c>
      <c r="N44" s="202" t="str">
        <f t="shared" si="5"/>
        <v/>
      </c>
      <c r="O44" s="202" t="str">
        <f t="shared" si="2"/>
        <v/>
      </c>
      <c r="P44" s="140"/>
      <c r="Q44" s="140" t="str">
        <f t="shared" si="6"/>
        <v/>
      </c>
      <c r="R44" s="140"/>
      <c r="S44" s="140"/>
      <c r="T44" s="140"/>
      <c r="U44" s="140"/>
      <c r="V44" s="140"/>
      <c r="W44" s="140"/>
      <c r="X44" s="209" t="s">
        <v>348</v>
      </c>
      <c r="Y44" s="203">
        <v>0.188</v>
      </c>
      <c r="Z44" s="204"/>
      <c r="AA44" s="197"/>
      <c r="AB44" s="197"/>
      <c r="AC44" s="197"/>
      <c r="AD44" s="197"/>
      <c r="AE44" s="197"/>
      <c r="AF44" s="197"/>
      <c r="AG44" s="197"/>
      <c r="AH44" s="197"/>
    </row>
    <row r="45" hidden="1">
      <c r="A45" s="215">
        <v>17.0</v>
      </c>
      <c r="B45" s="86" t="str">
        <f t="array" ref="B45">IFerror(INDEX(Papers!D$2:D$998,MATCH($A45, Papers!$A$2:$A$998,0)),"")</f>
        <v>Shuo Feng, Karen Grépin, and Rumi Chunara</v>
      </c>
      <c r="C45" s="59">
        <f t="array" ref="C45">IFerror(INDEX(Papers!F$2:F$998,MATCH($A45, Papers!$A$2:$A$998,0)),"")</f>
        <v>2018</v>
      </c>
      <c r="D45" s="86" t="str">
        <f t="array" ref="D45">IFerror(INDEX(Papers!C$2:C$998,MATCH($A45, Papers!$A$2:$A$998,0)),"")</f>
        <v>Tracking Health Seeking Behavior during an Ebola Outbreak via Mobile Phones and SMS</v>
      </c>
      <c r="E45" s="59">
        <f t="array" ref="E45">IFerror(INDEX(Papers!G$2:G$998,MATCH($A45, Papers!$A$2:$A$998,0)),"")</f>
        <v>2015</v>
      </c>
      <c r="F45" s="57" t="s">
        <v>246</v>
      </c>
      <c r="G45" s="67" t="s">
        <v>10</v>
      </c>
      <c r="H45" s="68" t="s">
        <v>369</v>
      </c>
      <c r="I45" s="68">
        <v>0.0</v>
      </c>
      <c r="J45" s="68">
        <v>10.0</v>
      </c>
      <c r="K45" s="86"/>
      <c r="L45" s="193" t="s">
        <v>355</v>
      </c>
      <c r="M45" s="68">
        <v>10.0</v>
      </c>
      <c r="N45" s="194" t="str">
        <f t="shared" si="5"/>
        <v/>
      </c>
      <c r="O45" s="208" t="str">
        <f t="shared" si="2"/>
        <v/>
      </c>
      <c r="P45" s="134"/>
      <c r="Q45" s="134" t="str">
        <f t="shared" si="6"/>
        <v/>
      </c>
      <c r="R45" s="134"/>
      <c r="S45" s="134"/>
      <c r="T45" s="134"/>
      <c r="U45" s="134"/>
      <c r="V45" s="134"/>
      <c r="W45" s="134"/>
      <c r="X45" s="193" t="s">
        <v>348</v>
      </c>
      <c r="Y45" s="195">
        <v>0.187</v>
      </c>
      <c r="Z45" s="196"/>
      <c r="AA45" s="192"/>
      <c r="AB45" s="192"/>
      <c r="AC45" s="192"/>
      <c r="AD45" s="192"/>
      <c r="AE45" s="192"/>
      <c r="AF45" s="192"/>
      <c r="AG45" s="192"/>
      <c r="AH45" s="192"/>
    </row>
    <row r="46" hidden="1">
      <c r="A46" s="197">
        <v>18.0</v>
      </c>
      <c r="B46" s="198" t="str">
        <f t="array" ref="B46">IFerror(INDEX(Papers!D$2:D$998,MATCH($A46, Papers!$A$2:$A$998,0)),"")</f>
        <v>Charles Lau, Ehud Gachugu, Eric Johnson, and Leenisha Marks</v>
      </c>
      <c r="C46" s="53">
        <f t="array" ref="C46">IFerror(INDEX(Papers!F$2:F$998,MATCH($A46, Papers!$A$2:$A$998,0)),"")</f>
        <v>2018</v>
      </c>
      <c r="D46" s="198" t="str">
        <f t="array" ref="D46">IFerror(INDEX(Papers!C$2:C$998,MATCH($A46, Papers!$A$2:$A$998,0)),"")</f>
        <v>Using SMS Technology to Survey Low-Income Youth: Lessons from a Vocational Education Tracking Study in Kenya</v>
      </c>
      <c r="E46" s="53">
        <f t="array" ref="E46">IFerror(INDEX(Papers!G$2:G$998,MATCH($A46, Papers!$A$2:$A$998,0)),"")</f>
        <v>2017</v>
      </c>
      <c r="F46" s="69" t="s">
        <v>245</v>
      </c>
      <c r="G46" s="69" t="s">
        <v>10</v>
      </c>
      <c r="H46" s="232" t="s">
        <v>300</v>
      </c>
      <c r="I46" s="66">
        <v>0.0</v>
      </c>
      <c r="J46" s="53"/>
      <c r="K46" s="198"/>
      <c r="L46" s="209"/>
      <c r="M46" s="53"/>
      <c r="N46" s="202" t="str">
        <f t="shared" si="5"/>
        <v/>
      </c>
      <c r="O46" s="202" t="str">
        <f t="shared" si="2"/>
        <v/>
      </c>
      <c r="P46" s="140"/>
      <c r="Q46" s="140" t="str">
        <f t="shared" si="6"/>
        <v/>
      </c>
      <c r="R46" s="140"/>
      <c r="S46" s="140"/>
      <c r="T46" s="140"/>
      <c r="U46" s="140"/>
      <c r="V46" s="140"/>
      <c r="W46" s="140"/>
      <c r="X46" s="209" t="s">
        <v>348</v>
      </c>
      <c r="Y46" s="233">
        <v>0.18</v>
      </c>
      <c r="Z46" s="204">
        <v>2180.0</v>
      </c>
      <c r="AA46" s="197"/>
      <c r="AB46" s="197"/>
      <c r="AC46" s="197"/>
      <c r="AD46" s="197"/>
      <c r="AE46" s="197"/>
      <c r="AF46" s="197"/>
      <c r="AG46" s="197"/>
      <c r="AH46" s="197"/>
    </row>
    <row r="47" hidden="1">
      <c r="A47" s="192">
        <v>19.0</v>
      </c>
      <c r="B47" s="86" t="str">
        <f t="array" ref="B47">IFerror(INDEX(Papers!D$2:D$998,MATCH($A47, Papers!$A$2:$A$998,0)),"")</f>
        <v>Charles Lau, Eric Johnson, Ashley Amaya, Patricia LeBaron, and Herschel Sanders</v>
      </c>
      <c r="C47" s="59">
        <f t="array" ref="C47">IFerror(INDEX(Papers!F$2:F$998,MATCH($A47, Papers!$A$2:$A$998,0)),"")</f>
        <v>2018</v>
      </c>
      <c r="D47" s="86" t="str">
        <f t="array" ref="D47">IFerror(INDEX(Papers!C$2:C$998,MATCH($A47, Papers!$A$2:$A$998,0)),"")</f>
        <v>High Stakes, Low Resources: What Mode(s) Should Youth Employment Training Programs Use to Track Alumni? Evidence From South Africa</v>
      </c>
      <c r="E47" s="59">
        <f t="array" ref="E47">IFerror(INDEX(Papers!G$2:G$998,MATCH($A47, Papers!$A$2:$A$998,0)),"")</f>
        <v>2018</v>
      </c>
      <c r="F47" s="67" t="s">
        <v>270</v>
      </c>
      <c r="G47" s="67" t="s">
        <v>10</v>
      </c>
      <c r="H47" s="234" t="s">
        <v>300</v>
      </c>
      <c r="I47" s="68">
        <v>0.0</v>
      </c>
      <c r="J47" s="68">
        <v>25.0</v>
      </c>
      <c r="K47" s="86"/>
      <c r="L47" s="193"/>
      <c r="M47" s="59"/>
      <c r="N47" s="194" t="str">
        <f t="shared" si="5"/>
        <v/>
      </c>
      <c r="O47" s="208" t="str">
        <f t="shared" si="2"/>
        <v/>
      </c>
      <c r="P47" s="134"/>
      <c r="Q47" s="134" t="str">
        <f t="shared" si="6"/>
        <v/>
      </c>
      <c r="R47" s="134"/>
      <c r="S47" s="134"/>
      <c r="T47" s="134"/>
      <c r="U47" s="134"/>
      <c r="V47" s="134"/>
      <c r="W47" s="134"/>
      <c r="X47" s="193" t="s">
        <v>348</v>
      </c>
      <c r="Y47" s="235">
        <v>0.19</v>
      </c>
      <c r="Z47" s="236">
        <v>256798.0</v>
      </c>
      <c r="AA47" s="192"/>
      <c r="AB47" s="192"/>
      <c r="AC47" s="192"/>
      <c r="AD47" s="192"/>
      <c r="AE47" s="192"/>
      <c r="AF47" s="192"/>
      <c r="AG47" s="192"/>
      <c r="AH47" s="192"/>
    </row>
    <row r="48" hidden="1">
      <c r="A48" s="197">
        <v>19.0</v>
      </c>
      <c r="B48" s="198" t="str">
        <f t="array" ref="B48">IFerror(INDEX(Papers!D$2:D$998,MATCH($A48, Papers!$A$2:$A$998,0)),"")</f>
        <v>Charles Lau, Eric Johnson, Ashley Amaya, Patricia LeBaron, and Herschel Sanders</v>
      </c>
      <c r="C48" s="53">
        <f t="array" ref="C48">IFerror(INDEX(Papers!F$2:F$998,MATCH($A48, Papers!$A$2:$A$998,0)),"")</f>
        <v>2018</v>
      </c>
      <c r="D48" s="198" t="str">
        <f t="array" ref="D48">IFerror(INDEX(Papers!C$2:C$998,MATCH($A48, Papers!$A$2:$A$998,0)),"")</f>
        <v>High Stakes, Low Resources: What Mode(s) Should Youth Employment Training Programs Use to Track Alumni? Evidence From South Africa</v>
      </c>
      <c r="E48" s="53">
        <f t="array" ref="E48">IFerror(INDEX(Papers!G$2:G$998,MATCH($A48, Papers!$A$2:$A$998,0)),"")</f>
        <v>2018</v>
      </c>
      <c r="F48" s="69" t="s">
        <v>270</v>
      </c>
      <c r="G48" s="69" t="s">
        <v>370</v>
      </c>
      <c r="H48" s="232" t="s">
        <v>300</v>
      </c>
      <c r="I48" s="66">
        <v>0.0</v>
      </c>
      <c r="J48" s="237">
        <v>25.0</v>
      </c>
      <c r="K48" s="198"/>
      <c r="L48" s="209"/>
      <c r="M48" s="53"/>
      <c r="N48" s="202" t="str">
        <f t="shared" si="5"/>
        <v/>
      </c>
      <c r="O48" s="210" t="str">
        <f t="shared" si="2"/>
        <v/>
      </c>
      <c r="P48" s="140"/>
      <c r="Q48" s="140" t="str">
        <f t="shared" si="6"/>
        <v/>
      </c>
      <c r="R48" s="140"/>
      <c r="S48" s="140"/>
      <c r="T48" s="140"/>
      <c r="U48" s="140"/>
      <c r="V48" s="140"/>
      <c r="W48" s="140"/>
      <c r="X48" s="209" t="s">
        <v>348</v>
      </c>
      <c r="Y48" s="238">
        <v>0.21</v>
      </c>
      <c r="Z48" s="239">
        <v>256798.0</v>
      </c>
      <c r="AA48" s="197"/>
      <c r="AB48" s="197"/>
      <c r="AC48" s="197"/>
      <c r="AD48" s="197"/>
      <c r="AE48" s="197"/>
      <c r="AF48" s="197"/>
      <c r="AG48" s="197"/>
      <c r="AH48" s="197"/>
    </row>
    <row r="49" hidden="1">
      <c r="A49" s="192">
        <v>19.0</v>
      </c>
      <c r="B49" s="86" t="str">
        <f t="array" ref="B49">IFerror(INDEX(Papers!D$2:D$998,MATCH($A49, Papers!$A$2:$A$998,0)),"")</f>
        <v>Charles Lau, Eric Johnson, Ashley Amaya, Patricia LeBaron, and Herschel Sanders</v>
      </c>
      <c r="C49" s="59">
        <f t="array" ref="C49">IFerror(INDEX(Papers!F$2:F$998,MATCH($A49, Papers!$A$2:$A$998,0)),"")</f>
        <v>2018</v>
      </c>
      <c r="D49" s="86" t="str">
        <f t="array" ref="D49">IFerror(INDEX(Papers!C$2:C$998,MATCH($A49, Papers!$A$2:$A$998,0)),"")</f>
        <v>High Stakes, Low Resources: What Mode(s) Should Youth Employment Training Programs Use to Track Alumni? Evidence From South Africa</v>
      </c>
      <c r="E49" s="59">
        <f t="array" ref="E49">IFerror(INDEX(Papers!G$2:G$998,MATCH($A49, Papers!$A$2:$A$998,0)),"")</f>
        <v>2018</v>
      </c>
      <c r="F49" s="67" t="s">
        <v>270</v>
      </c>
      <c r="G49" s="67" t="s">
        <v>12</v>
      </c>
      <c r="H49" s="234" t="s">
        <v>300</v>
      </c>
      <c r="I49" s="68">
        <v>0.0</v>
      </c>
      <c r="J49" s="68">
        <v>24.0</v>
      </c>
      <c r="K49" s="86"/>
      <c r="L49" s="193"/>
      <c r="M49" s="59"/>
      <c r="N49" s="194" t="str">
        <f t="shared" si="5"/>
        <v/>
      </c>
      <c r="O49" s="194" t="str">
        <f t="shared" si="2"/>
        <v/>
      </c>
      <c r="P49" s="134"/>
      <c r="Q49" s="134" t="str">
        <f t="shared" si="6"/>
        <v/>
      </c>
      <c r="R49" s="134"/>
      <c r="S49" s="134"/>
      <c r="T49" s="134"/>
      <c r="U49" s="134"/>
      <c r="V49" s="134"/>
      <c r="W49" s="134"/>
      <c r="X49" s="193" t="s">
        <v>348</v>
      </c>
      <c r="Y49" s="235">
        <v>0.08</v>
      </c>
      <c r="Z49" s="236">
        <v>256798.0</v>
      </c>
      <c r="AA49" s="192"/>
      <c r="AB49" s="192"/>
      <c r="AC49" s="192"/>
      <c r="AD49" s="192"/>
      <c r="AE49" s="192"/>
      <c r="AF49" s="192"/>
      <c r="AG49" s="192"/>
      <c r="AH49" s="192"/>
    </row>
    <row r="50" hidden="1">
      <c r="A50" s="197">
        <v>19.0</v>
      </c>
      <c r="B50" s="198" t="str">
        <f t="array" ref="B50">IFerror(INDEX(Papers!D$2:D$998,MATCH($A50, Papers!$A$2:$A$998,0)),"")</f>
        <v>Charles Lau, Eric Johnson, Ashley Amaya, Patricia LeBaron, and Herschel Sanders</v>
      </c>
      <c r="C50" s="53">
        <f t="array" ref="C50">IFerror(INDEX(Papers!F$2:F$998,MATCH($A50, Papers!$A$2:$A$998,0)),"")</f>
        <v>2018</v>
      </c>
      <c r="D50" s="198" t="str">
        <f t="array" ref="D50">IFerror(INDEX(Papers!C$2:C$998,MATCH($A50, Papers!$A$2:$A$998,0)),"")</f>
        <v>High Stakes, Low Resources: What Mode(s) Should Youth Employment Training Programs Use to Track Alumni? Evidence From South Africa</v>
      </c>
      <c r="E50" s="53">
        <f t="array" ref="E50">IFerror(INDEX(Papers!G$2:G$998,MATCH($A50, Papers!$A$2:$A$998,0)),"")</f>
        <v>2018</v>
      </c>
      <c r="F50" s="69" t="s">
        <v>270</v>
      </c>
      <c r="G50" s="69" t="s">
        <v>371</v>
      </c>
      <c r="H50" s="232" t="s">
        <v>300</v>
      </c>
      <c r="I50" s="66">
        <v>0.0</v>
      </c>
      <c r="J50" s="237">
        <v>25.0</v>
      </c>
      <c r="K50" s="198"/>
      <c r="L50" s="209"/>
      <c r="M50" s="53"/>
      <c r="N50" s="202" t="str">
        <f t="shared" si="5"/>
        <v/>
      </c>
      <c r="O50" s="202" t="str">
        <f t="shared" si="2"/>
        <v/>
      </c>
      <c r="P50" s="140"/>
      <c r="Q50" s="140" t="str">
        <f t="shared" si="6"/>
        <v/>
      </c>
      <c r="R50" s="140"/>
      <c r="S50" s="140"/>
      <c r="T50" s="140"/>
      <c r="U50" s="140"/>
      <c r="V50" s="140"/>
      <c r="W50" s="140"/>
      <c r="X50" s="209" t="s">
        <v>348</v>
      </c>
      <c r="Y50" s="238">
        <v>0.14</v>
      </c>
      <c r="Z50" s="239">
        <v>256798.0</v>
      </c>
      <c r="AA50" s="197"/>
      <c r="AB50" s="197"/>
      <c r="AC50" s="197"/>
      <c r="AD50" s="197"/>
      <c r="AE50" s="197"/>
      <c r="AF50" s="197"/>
      <c r="AG50" s="197"/>
      <c r="AH50" s="197"/>
    </row>
    <row r="51">
      <c r="A51" s="192">
        <v>20.0</v>
      </c>
      <c r="B51" s="86" t="str">
        <f t="array" ref="B51">IFerror(INDEX(Papers!D$2:D$998,MATCH($A51, Papers!$A$2:$A$998,0)),"")</f>
        <v>Charles Lau, Ansie Lombaard, Melissa Baker, Joe Eyerman, and Lisa Thalji</v>
      </c>
      <c r="C51" s="59">
        <f t="array" ref="C51">IFerror(INDEX(Papers!F$2:F$998,MATCH($A51, Papers!$A$2:$A$998,0)),"")</f>
        <v>2019</v>
      </c>
      <c r="D51" s="86" t="str">
        <f t="array" ref="D51">IFerror(INDEX(Papers!C$2:C$998,MATCH($A51, Papers!$A$2:$A$998,0)),"")</f>
        <v>How Representative Are SMS Surveys in Africa? Experimental Evidence From Four Countries</v>
      </c>
      <c r="E51" s="59">
        <f t="array" ref="E51">IFerror(INDEX(Papers!G$2:G$998,MATCH($A51, Papers!$A$2:$A$998,0)),"")</f>
        <v>2015</v>
      </c>
      <c r="F51" s="67" t="s">
        <v>243</v>
      </c>
      <c r="G51" s="67" t="s">
        <v>10</v>
      </c>
      <c r="H51" s="86" t="s">
        <v>369</v>
      </c>
      <c r="I51" s="68">
        <v>0.0</v>
      </c>
      <c r="J51" s="68">
        <v>16.0</v>
      </c>
      <c r="K51" s="86"/>
      <c r="L51" s="207"/>
      <c r="M51" s="68">
        <v>16.0</v>
      </c>
      <c r="N51" s="240"/>
      <c r="O51" s="194">
        <f t="shared" si="2"/>
        <v>0.00577653413</v>
      </c>
      <c r="P51" s="134">
        <v>394181.0</v>
      </c>
      <c r="Q51" s="211">
        <f t="shared" ref="Q51:Q54" si="7">P51-AH51</f>
        <v>367455.5282</v>
      </c>
      <c r="R51" s="134">
        <v>2277.0</v>
      </c>
      <c r="S51" s="134"/>
      <c r="T51" s="211">
        <f>0.0005*394181</f>
        <v>197.0905</v>
      </c>
      <c r="U51" s="211">
        <f>0.0036*394181</f>
        <v>1419.0516</v>
      </c>
      <c r="V51" s="134"/>
      <c r="W51" s="211"/>
      <c r="X51" s="207"/>
      <c r="Y51" s="134"/>
      <c r="Z51" s="134"/>
      <c r="AA51" s="192"/>
      <c r="AB51" s="192"/>
      <c r="AC51" s="192">
        <v>363159.0</v>
      </c>
      <c r="AD51" s="212">
        <f>0.0008*394181</f>
        <v>315.3448</v>
      </c>
      <c r="AE51" s="192"/>
      <c r="AF51" s="212">
        <f>0.0002*394181</f>
        <v>78.8362</v>
      </c>
      <c r="AG51" s="192"/>
      <c r="AH51" s="212">
        <f>0.0678*394181</f>
        <v>26725.4718</v>
      </c>
    </row>
    <row r="52">
      <c r="A52" s="197">
        <v>20.0</v>
      </c>
      <c r="B52" s="198" t="str">
        <f t="array" ref="B52">IFerror(INDEX(Papers!D$2:D$998,MATCH($A52, Papers!$A$2:$A$998,0)),"")</f>
        <v>Charles Lau, Ansie Lombaard, Melissa Baker, Joe Eyerman, and Lisa Thalji</v>
      </c>
      <c r="C52" s="53">
        <f t="array" ref="C52">IFerror(INDEX(Papers!F$2:F$998,MATCH($A52, Papers!$A$2:$A$998,0)),"")</f>
        <v>2019</v>
      </c>
      <c r="D52" s="198" t="str">
        <f t="array" ref="D52">IFerror(INDEX(Papers!C$2:C$998,MATCH($A52, Papers!$A$2:$A$998,0)),"")</f>
        <v>How Representative Are SMS Surveys in Africa? Experimental Evidence From Four Countries</v>
      </c>
      <c r="E52" s="53">
        <f t="array" ref="E52">IFerror(INDEX(Papers!G$2:G$998,MATCH($A52, Papers!$A$2:$A$998,0)),"")</f>
        <v>2015</v>
      </c>
      <c r="F52" s="69" t="s">
        <v>245</v>
      </c>
      <c r="G52" s="69" t="s">
        <v>10</v>
      </c>
      <c r="H52" s="198" t="s">
        <v>369</v>
      </c>
      <c r="I52" s="66">
        <v>0.0</v>
      </c>
      <c r="J52" s="66">
        <v>16.0</v>
      </c>
      <c r="K52" s="198"/>
      <c r="L52" s="201"/>
      <c r="M52" s="66">
        <v>8.0</v>
      </c>
      <c r="N52" s="241"/>
      <c r="O52" s="210">
        <f t="shared" si="2"/>
        <v>0.1186182576</v>
      </c>
      <c r="P52" s="140">
        <v>24954.0</v>
      </c>
      <c r="Q52" s="213">
        <f t="shared" si="7"/>
        <v>24669.5244</v>
      </c>
      <c r="R52" s="140">
        <v>2960.0</v>
      </c>
      <c r="S52" s="140"/>
      <c r="T52" s="221">
        <f>0.0048*24954</f>
        <v>119.7792</v>
      </c>
      <c r="U52" s="221">
        <f>0.0175*24954</f>
        <v>436.695</v>
      </c>
      <c r="V52" s="140"/>
      <c r="W52" s="221"/>
      <c r="X52" s="201"/>
      <c r="Y52" s="140"/>
      <c r="Z52" s="140"/>
      <c r="AA52" s="197"/>
      <c r="AB52" s="197"/>
      <c r="AC52" s="197">
        <v>20956.0</v>
      </c>
      <c r="AD52" s="242">
        <f>0.0053*24954</f>
        <v>132.2562</v>
      </c>
      <c r="AE52" s="197"/>
      <c r="AF52" s="242">
        <f>0.0036*24954</f>
        <v>89.8344</v>
      </c>
      <c r="AG52" s="197"/>
      <c r="AH52" s="242">
        <f>0.0114*24954</f>
        <v>284.4756</v>
      </c>
    </row>
    <row r="53">
      <c r="A53" s="192">
        <v>20.0</v>
      </c>
      <c r="B53" s="86" t="str">
        <f t="array" ref="B53">IFerror(INDEX(Papers!D$2:D$998,MATCH($A53, Papers!$A$2:$A$998,0)),"")</f>
        <v>Charles Lau, Ansie Lombaard, Melissa Baker, Joe Eyerman, and Lisa Thalji</v>
      </c>
      <c r="C53" s="59">
        <f t="array" ref="C53">IFerror(INDEX(Papers!F$2:F$998,MATCH($A53, Papers!$A$2:$A$998,0)),"")</f>
        <v>2019</v>
      </c>
      <c r="D53" s="86" t="str">
        <f t="array" ref="D53">IFerror(INDEX(Papers!C$2:C$998,MATCH($A53, Papers!$A$2:$A$998,0)),"")</f>
        <v>How Representative Are SMS Surveys in Africa? Experimental Evidence From Four Countries</v>
      </c>
      <c r="E53" s="59">
        <f t="array" ref="E53">IFerror(INDEX(Papers!G$2:G$998,MATCH($A53, Papers!$A$2:$A$998,0)),"")</f>
        <v>2015</v>
      </c>
      <c r="F53" s="67" t="s">
        <v>251</v>
      </c>
      <c r="G53" s="67" t="s">
        <v>10</v>
      </c>
      <c r="H53" s="86" t="s">
        <v>369</v>
      </c>
      <c r="I53" s="68">
        <v>0.0</v>
      </c>
      <c r="J53" s="68">
        <v>16.0</v>
      </c>
      <c r="K53" s="86"/>
      <c r="L53" s="207"/>
      <c r="M53" s="68">
        <v>16.0</v>
      </c>
      <c r="N53" s="240"/>
      <c r="O53" s="208">
        <f t="shared" si="2"/>
        <v>0.002126677804</v>
      </c>
      <c r="P53" s="134">
        <v>1124759.0</v>
      </c>
      <c r="Q53" s="211">
        <f t="shared" si="7"/>
        <v>853017.2256</v>
      </c>
      <c r="R53" s="134">
        <v>2392.0</v>
      </c>
      <c r="S53" s="134"/>
      <c r="T53" s="218">
        <f>0.0002*1124759</f>
        <v>224.9518</v>
      </c>
      <c r="U53" s="218">
        <f>0.0019*1124759</f>
        <v>2137.0421</v>
      </c>
      <c r="V53" s="134"/>
      <c r="W53" s="218"/>
      <c r="X53" s="207"/>
      <c r="Y53" s="134"/>
      <c r="Z53" s="134"/>
      <c r="AA53" s="192"/>
      <c r="AB53" s="192"/>
      <c r="AC53" s="192">
        <v>847618.0</v>
      </c>
      <c r="AD53" s="243">
        <f>0.0005*1124759</f>
        <v>562.3795</v>
      </c>
      <c r="AE53" s="192"/>
      <c r="AF53" s="243">
        <f>0.0001*1124759</f>
        <v>112.4759</v>
      </c>
      <c r="AG53" s="192"/>
      <c r="AH53" s="243">
        <f>0.2416*1124759</f>
        <v>271741.7744</v>
      </c>
    </row>
    <row r="54">
      <c r="A54" s="197">
        <v>20.0</v>
      </c>
      <c r="B54" s="198" t="str">
        <f t="array" ref="B54">IFerror(INDEX(Papers!D$2:D$998,MATCH($A54, Papers!$A$2:$A$998,0)),"")</f>
        <v>Charles Lau, Ansie Lombaard, Melissa Baker, Joe Eyerman, and Lisa Thalji</v>
      </c>
      <c r="C54" s="53">
        <f t="array" ref="C54">IFerror(INDEX(Papers!F$2:F$998,MATCH($A54, Papers!$A$2:$A$998,0)),"")</f>
        <v>2019</v>
      </c>
      <c r="D54" s="198" t="str">
        <f t="array" ref="D54">IFerror(INDEX(Papers!C$2:C$998,MATCH($A54, Papers!$A$2:$A$998,0)),"")</f>
        <v>How Representative Are SMS Surveys in Africa? Experimental Evidence From Four Countries</v>
      </c>
      <c r="E54" s="53">
        <f t="array" ref="E54">IFerror(INDEX(Papers!G$2:G$998,MATCH($A54, Papers!$A$2:$A$998,0)),"")</f>
        <v>2015</v>
      </c>
      <c r="F54" s="69" t="s">
        <v>258</v>
      </c>
      <c r="G54" s="69" t="s">
        <v>10</v>
      </c>
      <c r="H54" s="198" t="s">
        <v>369</v>
      </c>
      <c r="I54" s="66">
        <v>0.0</v>
      </c>
      <c r="J54" s="66">
        <v>16.0</v>
      </c>
      <c r="K54" s="198"/>
      <c r="L54" s="201"/>
      <c r="M54" s="66">
        <v>16.0</v>
      </c>
      <c r="N54" s="241"/>
      <c r="O54" s="202">
        <f t="shared" si="2"/>
        <v>0.140814381</v>
      </c>
      <c r="P54" s="140">
        <v>14686.0</v>
      </c>
      <c r="Q54" s="140">
        <f t="shared" si="7"/>
        <v>14686</v>
      </c>
      <c r="R54" s="140">
        <v>2068.0</v>
      </c>
      <c r="S54" s="140"/>
      <c r="T54" s="213">
        <f>0.0025*14686</f>
        <v>36.715</v>
      </c>
      <c r="U54" s="213">
        <f>0.0362*14686</f>
        <v>531.6332</v>
      </c>
      <c r="V54" s="140"/>
      <c r="W54" s="213"/>
      <c r="X54" s="201"/>
      <c r="Y54" s="140"/>
      <c r="Z54" s="140"/>
      <c r="AA54" s="197"/>
      <c r="AB54" s="197"/>
      <c r="AC54" s="197">
        <v>11904.0</v>
      </c>
      <c r="AD54" s="214">
        <f>0.0078*14686</f>
        <v>114.5508</v>
      </c>
      <c r="AE54" s="197"/>
      <c r="AF54" s="214">
        <f>0.0022*14686</f>
        <v>32.3092</v>
      </c>
      <c r="AG54" s="197"/>
      <c r="AH54" s="197">
        <v>0.0</v>
      </c>
    </row>
    <row r="55">
      <c r="A55" s="192">
        <v>25.0</v>
      </c>
      <c r="B55" s="86" t="str">
        <f t="array" ref="B55">IFerror(INDEX(Papers!D$2:D$998,MATCH($A55, Papers!$A$2:$A$998,0)),"")</f>
        <v>George Pariyo, Abigail Greenleaf, Dustin Gibson, Joseph Ali, Hannah Selig, Alain Labrique, Ghlam Muhammed Al Kibria, Iqbal Ansary Khan, Honorati Masanja,Meerjady Sabrina Flora, Saifuddin Ahmed, Adnan Hyder</v>
      </c>
      <c r="C55" s="59">
        <f t="array" ref="C55">IFerror(INDEX(Papers!F$2:F$998,MATCH($A55, Papers!$A$2:$A$998,0)),"")</f>
        <v>2019</v>
      </c>
      <c r="D55" s="86" t="str">
        <f t="array" ref="D55">IFerror(INDEX(Papers!C$2:C$998,MATCH($A55, Papers!$A$2:$A$998,0)),"")</f>
        <v>Does mobile phone survey method matter? Reliability of computer-assisted telephone interviews and interactive voice response non-communicable diseases risk factor surveys in low and middle income countries</v>
      </c>
      <c r="E55" s="59">
        <f t="array" ref="E55">IFerror(INDEX(Papers!G$2:G$998,MATCH($A55, Papers!$A$2:$A$998,0)),"")</f>
        <v>2017</v>
      </c>
      <c r="F55" s="57" t="s">
        <v>238</v>
      </c>
      <c r="G55" s="67" t="s">
        <v>9</v>
      </c>
      <c r="H55" s="57" t="s">
        <v>293</v>
      </c>
      <c r="I55" s="68">
        <v>0.0</v>
      </c>
      <c r="J55" s="68">
        <v>30.0</v>
      </c>
      <c r="K55" s="216" t="s">
        <v>372</v>
      </c>
      <c r="L55" s="193"/>
      <c r="M55" s="59"/>
      <c r="N55" s="194">
        <f t="shared" ref="N55:N77" si="8">iferror(R55/Q55,"")</f>
        <v>0.4268656716</v>
      </c>
      <c r="O55" s="194">
        <f t="shared" si="2"/>
        <v>0.06077348066</v>
      </c>
      <c r="P55" s="244">
        <v>7059.0</v>
      </c>
      <c r="Q55" s="134">
        <f t="shared" ref="Q55:Q62" si="9">if(AND(W55&lt;&gt;0,P55&lt;&gt;0),P55-W55,"")</f>
        <v>1005</v>
      </c>
      <c r="R55" s="244">
        <v>429.0</v>
      </c>
      <c r="S55" s="134"/>
      <c r="T55" s="244">
        <v>576.0</v>
      </c>
      <c r="U55" s="134"/>
      <c r="V55" s="134"/>
      <c r="W55" s="244">
        <v>6054.0</v>
      </c>
      <c r="X55" s="193" t="s">
        <v>373</v>
      </c>
      <c r="Y55" s="195">
        <v>0.061</v>
      </c>
      <c r="Z55" s="196">
        <v>7059.0</v>
      </c>
      <c r="AA55" s="192"/>
      <c r="AB55" s="192"/>
      <c r="AC55" s="192"/>
      <c r="AD55" s="192"/>
      <c r="AE55" s="192"/>
      <c r="AF55" s="192"/>
      <c r="AG55" s="192"/>
      <c r="AH55" s="192"/>
    </row>
    <row r="56" hidden="1">
      <c r="A56" s="197">
        <v>25.0</v>
      </c>
      <c r="B56" s="198" t="str">
        <f t="array" ref="B56">IFerror(INDEX(Papers!D$2:D$998,MATCH($A56, Papers!$A$2:$A$998,0)),"")</f>
        <v>George Pariyo, Abigail Greenleaf, Dustin Gibson, Joseph Ali, Hannah Selig, Alain Labrique, Ghlam Muhammed Al Kibria, Iqbal Ansary Khan, Honorati Masanja,Meerjady Sabrina Flora, Saifuddin Ahmed, Adnan Hyder</v>
      </c>
      <c r="C56" s="53">
        <f t="array" ref="C56">IFerror(INDEX(Papers!F$2:F$998,MATCH($A56, Papers!$A$2:$A$998,0)),"")</f>
        <v>2019</v>
      </c>
      <c r="D56" s="198" t="str">
        <f t="array" ref="D56">IFerror(INDEX(Papers!C$2:C$998,MATCH($A56, Papers!$A$2:$A$998,0)),"")</f>
        <v>Does mobile phone survey method matter? Reliability of computer-assisted telephone interviews and interactive voice response non-communicable diseases risk factor surveys in low and middle income countries</v>
      </c>
      <c r="E56" s="53">
        <f t="array" ref="E56">IFerror(INDEX(Papers!G$2:G$998,MATCH($A56, Papers!$A$2:$A$998,0)),"")</f>
        <v>2017</v>
      </c>
      <c r="F56" s="69" t="s">
        <v>238</v>
      </c>
      <c r="G56" s="69" t="s">
        <v>11</v>
      </c>
      <c r="H56" s="199" t="s">
        <v>300</v>
      </c>
      <c r="I56" s="53">
        <v>0.0</v>
      </c>
      <c r="J56" s="66">
        <v>30.0</v>
      </c>
      <c r="K56" s="219" t="s">
        <v>374</v>
      </c>
      <c r="L56" s="209"/>
      <c r="M56" s="53"/>
      <c r="N56" s="202">
        <f t="shared" si="8"/>
        <v>0.5398773006</v>
      </c>
      <c r="O56" s="210">
        <f t="shared" si="2"/>
        <v>0.2603550296</v>
      </c>
      <c r="P56" s="140">
        <v>338.0</v>
      </c>
      <c r="Q56" s="140">
        <f t="shared" si="9"/>
        <v>163</v>
      </c>
      <c r="R56" s="140">
        <v>88.0</v>
      </c>
      <c r="S56" s="140"/>
      <c r="T56" s="140">
        <v>75.0</v>
      </c>
      <c r="U56" s="140"/>
      <c r="V56" s="140"/>
      <c r="W56" s="140">
        <v>175.0</v>
      </c>
      <c r="X56" s="209" t="s">
        <v>373</v>
      </c>
      <c r="Y56" s="233">
        <v>0.26</v>
      </c>
      <c r="Z56" s="204">
        <v>338.0</v>
      </c>
      <c r="AA56" s="197"/>
      <c r="AB56" s="197"/>
      <c r="AC56" s="197"/>
      <c r="AD56" s="197"/>
      <c r="AE56" s="197"/>
      <c r="AF56" s="197"/>
      <c r="AG56" s="197"/>
      <c r="AH56" s="197"/>
    </row>
    <row r="57" hidden="1">
      <c r="A57" s="192">
        <v>25.0</v>
      </c>
      <c r="B57" s="86" t="str">
        <f t="array" ref="B57">IFerror(INDEX(Papers!D$2:D$998,MATCH($A57, Papers!$A$2:$A$998,0)),"")</f>
        <v>George Pariyo, Abigail Greenleaf, Dustin Gibson, Joseph Ali, Hannah Selig, Alain Labrique, Ghlam Muhammed Al Kibria, Iqbal Ansary Khan, Honorati Masanja,Meerjady Sabrina Flora, Saifuddin Ahmed, Adnan Hyder</v>
      </c>
      <c r="C57" s="59">
        <f t="array" ref="C57">IFerror(INDEX(Papers!F$2:F$998,MATCH($A57, Papers!$A$2:$A$998,0)),"")</f>
        <v>2019</v>
      </c>
      <c r="D57" s="86" t="str">
        <f t="array" ref="D57">IFerror(INDEX(Papers!C$2:C$998,MATCH($A57, Papers!$A$2:$A$998,0)),"")</f>
        <v>Does mobile phone survey method matter? Reliability of computer-assisted telephone interviews and interactive voice response non-communicable diseases risk factor surveys in low and middle income countries</v>
      </c>
      <c r="E57" s="59">
        <f t="array" ref="E57">IFerror(INDEX(Papers!G$2:G$998,MATCH($A57, Papers!$A$2:$A$998,0)),"")</f>
        <v>2017</v>
      </c>
      <c r="F57" s="67" t="s">
        <v>375</v>
      </c>
      <c r="G57" s="67" t="s">
        <v>9</v>
      </c>
      <c r="H57" s="205" t="s">
        <v>300</v>
      </c>
      <c r="I57" s="59">
        <v>0.0</v>
      </c>
      <c r="J57" s="68">
        <v>30.0</v>
      </c>
      <c r="K57" s="206" t="s">
        <v>376</v>
      </c>
      <c r="L57" s="193"/>
      <c r="M57" s="59"/>
      <c r="N57" s="194">
        <f t="shared" si="8"/>
        <v>0.9725609756</v>
      </c>
      <c r="O57" s="208">
        <f t="shared" si="2"/>
        <v>0.7915632754</v>
      </c>
      <c r="P57" s="134">
        <v>403.0</v>
      </c>
      <c r="Q57" s="134">
        <f t="shared" si="9"/>
        <v>328</v>
      </c>
      <c r="R57" s="134">
        <v>319.0</v>
      </c>
      <c r="S57" s="134"/>
      <c r="T57" s="134">
        <v>9.0</v>
      </c>
      <c r="U57" s="134"/>
      <c r="V57" s="134"/>
      <c r="W57" s="134">
        <v>75.0</v>
      </c>
      <c r="X57" s="193" t="s">
        <v>373</v>
      </c>
      <c r="Y57" s="195">
        <v>0.792</v>
      </c>
      <c r="Z57" s="196">
        <v>403.0</v>
      </c>
      <c r="AA57" s="192"/>
      <c r="AB57" s="192"/>
      <c r="AC57" s="192"/>
      <c r="AD57" s="192"/>
      <c r="AE57" s="192"/>
      <c r="AF57" s="192"/>
      <c r="AG57" s="192"/>
      <c r="AH57" s="192"/>
    </row>
    <row r="58">
      <c r="A58" s="197">
        <v>25.0</v>
      </c>
      <c r="B58" s="198" t="str">
        <f t="array" ref="B58">IFerror(INDEX(Papers!D$2:D$998,MATCH($A58, Papers!$A$2:$A$998,0)),"")</f>
        <v>George Pariyo, Abigail Greenleaf, Dustin Gibson, Joseph Ali, Hannah Selig, Alain Labrique, Ghlam Muhammed Al Kibria, Iqbal Ansary Khan, Honorati Masanja,Meerjady Sabrina Flora, Saifuddin Ahmed, Adnan Hyder</v>
      </c>
      <c r="C58" s="53">
        <f t="array" ref="C58">IFerror(INDEX(Papers!F$2:F$998,MATCH($A58, Papers!$A$2:$A$998,0)),"")</f>
        <v>2019</v>
      </c>
      <c r="D58" s="198" t="str">
        <f t="array" ref="D58">IFerror(INDEX(Papers!C$2:C$998,MATCH($A58, Papers!$A$2:$A$998,0)),"")</f>
        <v>Does mobile phone survey method matter? Reliability of computer-assisted telephone interviews and interactive voice response non-communicable diseases risk factor surveys in low and middle income countries</v>
      </c>
      <c r="E58" s="53">
        <f t="array" ref="E58">IFerror(INDEX(Papers!G$2:G$998,MATCH($A58, Papers!$A$2:$A$998,0)),"")</f>
        <v>2017</v>
      </c>
      <c r="F58" s="69" t="s">
        <v>375</v>
      </c>
      <c r="G58" s="69" t="s">
        <v>11</v>
      </c>
      <c r="H58" s="69" t="s">
        <v>293</v>
      </c>
      <c r="I58" s="53">
        <v>0.0</v>
      </c>
      <c r="J58" s="66">
        <v>30.0</v>
      </c>
      <c r="K58" s="219" t="s">
        <v>377</v>
      </c>
      <c r="L58" s="209"/>
      <c r="M58" s="53"/>
      <c r="N58" s="202">
        <f t="shared" si="8"/>
        <v>0.6731001206</v>
      </c>
      <c r="O58" s="202">
        <f t="shared" si="2"/>
        <v>0.009128237007</v>
      </c>
      <c r="P58" s="245">
        <v>61129.0</v>
      </c>
      <c r="Q58" s="140">
        <f t="shared" si="9"/>
        <v>829</v>
      </c>
      <c r="R58" s="245">
        <v>558.0</v>
      </c>
      <c r="S58" s="140"/>
      <c r="T58" s="245">
        <v>271.0</v>
      </c>
      <c r="U58" s="140"/>
      <c r="V58" s="140"/>
      <c r="W58" s="245">
        <v>60300.0</v>
      </c>
      <c r="X58" s="209" t="s">
        <v>373</v>
      </c>
      <c r="Y58" s="203">
        <v>0.009</v>
      </c>
      <c r="Z58" s="204">
        <v>61129.0</v>
      </c>
      <c r="AA58" s="197"/>
      <c r="AB58" s="197"/>
      <c r="AC58" s="197"/>
      <c r="AD58" s="197"/>
      <c r="AE58" s="197"/>
      <c r="AF58" s="197"/>
      <c r="AG58" s="197"/>
      <c r="AH58" s="197"/>
    </row>
    <row r="59">
      <c r="A59" s="192">
        <v>25.0</v>
      </c>
      <c r="B59" s="86" t="str">
        <f t="array" ref="B59">IFerror(INDEX(Papers!D$2:D$998,MATCH($A59, Papers!$A$2:$A$998,0)),"")</f>
        <v>George Pariyo, Abigail Greenleaf, Dustin Gibson, Joseph Ali, Hannah Selig, Alain Labrique, Ghlam Muhammed Al Kibria, Iqbal Ansary Khan, Honorati Masanja,Meerjady Sabrina Flora, Saifuddin Ahmed, Adnan Hyder</v>
      </c>
      <c r="C59" s="59">
        <f t="array" ref="C59">IFerror(INDEX(Papers!F$2:F$998,MATCH($A59, Papers!$A$2:$A$998,0)),"")</f>
        <v>2019</v>
      </c>
      <c r="D59" s="86" t="str">
        <f t="array" ref="D59">IFerror(INDEX(Papers!C$2:C$998,MATCH($A59, Papers!$A$2:$A$998,0)),"")</f>
        <v>Does mobile phone survey method matter? Reliability of computer-assisted telephone interviews and interactive voice response non-communicable diseases risk factor surveys in low and middle income countries</v>
      </c>
      <c r="E59" s="59">
        <f t="array" ref="E59">IFerror(INDEX(Papers!G$2:G$998,MATCH($A59, Papers!$A$2:$A$998,0)),"")</f>
        <v>2017</v>
      </c>
      <c r="F59" s="57" t="s">
        <v>257</v>
      </c>
      <c r="G59" s="67" t="s">
        <v>9</v>
      </c>
      <c r="H59" s="57" t="s">
        <v>293</v>
      </c>
      <c r="I59" s="68">
        <v>0.0</v>
      </c>
      <c r="J59" s="68">
        <v>28.0</v>
      </c>
      <c r="K59" s="216" t="s">
        <v>372</v>
      </c>
      <c r="L59" s="193"/>
      <c r="M59" s="59"/>
      <c r="N59" s="194">
        <f t="shared" si="8"/>
        <v>0.843956044</v>
      </c>
      <c r="O59" s="194">
        <f t="shared" si="2"/>
        <v>0.08745160556</v>
      </c>
      <c r="P59" s="134">
        <v>4391.0</v>
      </c>
      <c r="Q59" s="134">
        <f t="shared" si="9"/>
        <v>455</v>
      </c>
      <c r="R59" s="134">
        <v>384.0</v>
      </c>
      <c r="S59" s="134"/>
      <c r="T59" s="134">
        <v>71.0</v>
      </c>
      <c r="U59" s="134"/>
      <c r="V59" s="134"/>
      <c r="W59" s="134">
        <v>3936.0</v>
      </c>
      <c r="X59" s="193" t="s">
        <v>373</v>
      </c>
      <c r="Y59" s="195">
        <v>0.087</v>
      </c>
      <c r="Z59" s="196">
        <v>4391.0</v>
      </c>
      <c r="AA59" s="192"/>
      <c r="AB59" s="192"/>
      <c r="AC59" s="192"/>
      <c r="AD59" s="192"/>
      <c r="AE59" s="192"/>
      <c r="AF59" s="192"/>
      <c r="AG59" s="192"/>
      <c r="AH59" s="192"/>
    </row>
    <row r="60" hidden="1">
      <c r="A60" s="197">
        <v>25.0</v>
      </c>
      <c r="B60" s="198" t="str">
        <f t="array" ref="B60">IFerror(INDEX(Papers!D$2:D$998,MATCH($A60, Papers!$A$2:$A$998,0)),"")</f>
        <v>George Pariyo, Abigail Greenleaf, Dustin Gibson, Joseph Ali, Hannah Selig, Alain Labrique, Ghlam Muhammed Al Kibria, Iqbal Ansary Khan, Honorati Masanja,Meerjady Sabrina Flora, Saifuddin Ahmed, Adnan Hyder</v>
      </c>
      <c r="C60" s="53">
        <f t="array" ref="C60">IFerror(INDEX(Papers!F$2:F$998,MATCH($A60, Papers!$A$2:$A$998,0)),"")</f>
        <v>2019</v>
      </c>
      <c r="D60" s="198" t="str">
        <f t="array" ref="D60">IFerror(INDEX(Papers!C$2:C$998,MATCH($A60, Papers!$A$2:$A$998,0)),"")</f>
        <v>Does mobile phone survey method matter? Reliability of computer-assisted telephone interviews and interactive voice response non-communicable diseases risk factor surveys in low and middle income countries</v>
      </c>
      <c r="E60" s="53">
        <f t="array" ref="E60">IFerror(INDEX(Papers!G$2:G$998,MATCH($A60, Papers!$A$2:$A$998,0)),"")</f>
        <v>2017</v>
      </c>
      <c r="F60" s="69" t="s">
        <v>257</v>
      </c>
      <c r="G60" s="69" t="s">
        <v>9</v>
      </c>
      <c r="H60" s="246" t="s">
        <v>300</v>
      </c>
      <c r="I60" s="247">
        <v>0.0</v>
      </c>
      <c r="J60" s="247">
        <v>28.0</v>
      </c>
      <c r="K60" s="200" t="s">
        <v>376</v>
      </c>
      <c r="L60" s="209"/>
      <c r="M60" s="53"/>
      <c r="N60" s="202">
        <f t="shared" si="8"/>
        <v>0.941011236</v>
      </c>
      <c r="O60" s="210">
        <f t="shared" si="2"/>
        <v>0.845959596</v>
      </c>
      <c r="P60" s="140">
        <v>396.0</v>
      </c>
      <c r="Q60" s="140">
        <f t="shared" si="9"/>
        <v>356</v>
      </c>
      <c r="R60" s="140">
        <v>335.0</v>
      </c>
      <c r="S60" s="140"/>
      <c r="T60" s="140">
        <v>21.0</v>
      </c>
      <c r="U60" s="140"/>
      <c r="V60" s="140"/>
      <c r="W60" s="140">
        <v>40.0</v>
      </c>
      <c r="X60" s="209" t="s">
        <v>373</v>
      </c>
      <c r="Y60" s="203">
        <v>0.846</v>
      </c>
      <c r="Z60" s="204">
        <v>396.0</v>
      </c>
      <c r="AA60" s="197"/>
      <c r="AB60" s="197"/>
      <c r="AC60" s="197"/>
      <c r="AD60" s="197"/>
      <c r="AE60" s="197"/>
      <c r="AF60" s="197"/>
      <c r="AG60" s="197"/>
      <c r="AH60" s="197"/>
    </row>
    <row r="61">
      <c r="A61" s="192">
        <v>25.0</v>
      </c>
      <c r="B61" s="86" t="str">
        <f t="array" ref="B61">IFerror(INDEX(Papers!D$2:D$998,MATCH($A61, Papers!$A$2:$A$998,0)),"")</f>
        <v>George Pariyo, Abigail Greenleaf, Dustin Gibson, Joseph Ali, Hannah Selig, Alain Labrique, Ghlam Muhammed Al Kibria, Iqbal Ansary Khan, Honorati Masanja,Meerjady Sabrina Flora, Saifuddin Ahmed, Adnan Hyder</v>
      </c>
      <c r="C61" s="59">
        <f t="array" ref="C61">IFerror(INDEX(Papers!F$2:F$998,MATCH($A61, Papers!$A$2:$A$998,0)),"")</f>
        <v>2019</v>
      </c>
      <c r="D61" s="86" t="str">
        <f t="array" ref="D61">IFerror(INDEX(Papers!C$2:C$998,MATCH($A61, Papers!$A$2:$A$998,0)),"")</f>
        <v>Does mobile phone survey method matter? Reliability of computer-assisted telephone interviews and interactive voice response non-communicable diseases risk factor surveys in low and middle income countries</v>
      </c>
      <c r="E61" s="59">
        <f t="array" ref="E61">IFerror(INDEX(Papers!G$2:G$998,MATCH($A61, Papers!$A$2:$A$998,0)),"")</f>
        <v>2017</v>
      </c>
      <c r="F61" s="57" t="s">
        <v>257</v>
      </c>
      <c r="G61" s="67" t="s">
        <v>11</v>
      </c>
      <c r="H61" s="248" t="s">
        <v>293</v>
      </c>
      <c r="I61" s="91">
        <v>0.0</v>
      </c>
      <c r="J61" s="91">
        <v>28.0</v>
      </c>
      <c r="K61" s="216" t="s">
        <v>377</v>
      </c>
      <c r="L61" s="193"/>
      <c r="M61" s="91"/>
      <c r="N61" s="194">
        <f t="shared" si="8"/>
        <v>0.7630136986</v>
      </c>
      <c r="O61" s="194">
        <f t="shared" si="2"/>
        <v>0.01076141347</v>
      </c>
      <c r="P61" s="84">
        <v>51759.0</v>
      </c>
      <c r="Q61" s="134">
        <f t="shared" si="9"/>
        <v>730</v>
      </c>
      <c r="R61" s="84">
        <v>557.0</v>
      </c>
      <c r="S61" s="134"/>
      <c r="T61" s="84">
        <v>173.0</v>
      </c>
      <c r="U61" s="134"/>
      <c r="V61" s="134"/>
      <c r="W61" s="84">
        <v>51029.0</v>
      </c>
      <c r="X61" s="193" t="s">
        <v>373</v>
      </c>
      <c r="Y61" s="195">
        <v>0.011</v>
      </c>
      <c r="Z61" s="196">
        <v>51759.0</v>
      </c>
      <c r="AA61" s="192"/>
      <c r="AB61" s="192"/>
      <c r="AC61" s="192"/>
      <c r="AD61" s="192"/>
      <c r="AE61" s="192"/>
      <c r="AF61" s="192"/>
      <c r="AG61" s="192"/>
      <c r="AH61" s="192"/>
    </row>
    <row r="62" hidden="1">
      <c r="A62" s="197">
        <v>25.0</v>
      </c>
      <c r="B62" s="198" t="str">
        <f t="array" ref="B62">IFerror(INDEX(Papers!D$2:D$998,MATCH($A62, Papers!$A$2:$A$998,0)),"")</f>
        <v>George Pariyo, Abigail Greenleaf, Dustin Gibson, Joseph Ali, Hannah Selig, Alain Labrique, Ghlam Muhammed Al Kibria, Iqbal Ansary Khan, Honorati Masanja,Meerjady Sabrina Flora, Saifuddin Ahmed, Adnan Hyder</v>
      </c>
      <c r="C62" s="53">
        <f t="array" ref="C62">IFerror(INDEX(Papers!F$2:F$998,MATCH($A62, Papers!$A$2:$A$998,0)),"")</f>
        <v>2019</v>
      </c>
      <c r="D62" s="198" t="str">
        <f t="array" ref="D62">IFerror(INDEX(Papers!C$2:C$998,MATCH($A62, Papers!$A$2:$A$998,0)),"")</f>
        <v>Does mobile phone survey method matter? Reliability of computer-assisted telephone interviews and interactive voice response non-communicable diseases risk factor surveys in low and middle income countries</v>
      </c>
      <c r="E62" s="53">
        <f t="array" ref="E62">IFerror(INDEX(Papers!G$2:G$998,MATCH($A62, Papers!$A$2:$A$998,0)),"")</f>
        <v>2017</v>
      </c>
      <c r="F62" s="69" t="s">
        <v>257</v>
      </c>
      <c r="G62" s="69" t="s">
        <v>11</v>
      </c>
      <c r="H62" s="199" t="s">
        <v>300</v>
      </c>
      <c r="I62" s="247">
        <v>0.0</v>
      </c>
      <c r="J62" s="247">
        <v>28.0</v>
      </c>
      <c r="K62" s="219" t="s">
        <v>374</v>
      </c>
      <c r="L62" s="209"/>
      <c r="M62" s="53"/>
      <c r="N62" s="202">
        <f t="shared" si="8"/>
        <v>0.6642335766</v>
      </c>
      <c r="O62" s="210">
        <f t="shared" si="2"/>
        <v>0.2401055409</v>
      </c>
      <c r="P62" s="140">
        <v>379.0</v>
      </c>
      <c r="Q62" s="140">
        <f t="shared" si="9"/>
        <v>137</v>
      </c>
      <c r="R62" s="140">
        <v>91.0</v>
      </c>
      <c r="S62" s="140"/>
      <c r="T62" s="140">
        <v>46.0</v>
      </c>
      <c r="U62" s="140"/>
      <c r="V62" s="140"/>
      <c r="W62" s="140">
        <v>242.0</v>
      </c>
      <c r="X62" s="209" t="s">
        <v>373</v>
      </c>
      <c r="Y62" s="233">
        <v>0.24</v>
      </c>
      <c r="Z62" s="204">
        <v>379.0</v>
      </c>
      <c r="AA62" s="197"/>
      <c r="AB62" s="197"/>
      <c r="AC62" s="197"/>
      <c r="AD62" s="197"/>
      <c r="AE62" s="197"/>
      <c r="AF62" s="197"/>
      <c r="AG62" s="197"/>
      <c r="AH62" s="197"/>
    </row>
    <row r="63">
      <c r="A63" s="192">
        <v>26.0</v>
      </c>
      <c r="B63" s="86" t="str">
        <f t="array" ref="B63">IFerror(INDEX(Papers!D$2:D$998,MATCH($A63, Papers!$A$2:$A$998,0)),"")</f>
        <v>Dustin Gibson, Adaeze Wosu, George Pariyo, Saifuddin Ahmed, Joseph Ali, Alain Labrique, Iqbal Khan, Elizeus Rutebemberwa, Meerjady Flora, and Adnan Hyder. </v>
      </c>
      <c r="C63" s="59">
        <f t="array" ref="C63">IFerror(INDEX(Papers!F$2:F$998,MATCH($A63, Papers!$A$2:$A$998,0)),"")</f>
        <v>2019</v>
      </c>
      <c r="D63" s="86" t="str">
        <f t="array" ref="D63">IFerror(INDEX(Papers!C$2:C$998,MATCH($A63, Papers!$A$2:$A$998,0)),"")</f>
        <v>Effect of airtime incentives on response and cooperation rates in non-communicable disease interactive voice response surveys: randomised controlled trials in Bangladesh and Uganda</v>
      </c>
      <c r="E63" s="59">
        <f t="array" ref="E63">IFerror(INDEX(Papers!G$2:G$998,MATCH($A63, Papers!$A$2:$A$998,0)),"")</f>
        <v>2017</v>
      </c>
      <c r="F63" s="67" t="s">
        <v>238</v>
      </c>
      <c r="G63" s="67" t="s">
        <v>11</v>
      </c>
      <c r="H63" s="67" t="s">
        <v>293</v>
      </c>
      <c r="I63" s="68">
        <v>0.0</v>
      </c>
      <c r="J63" s="59"/>
      <c r="K63" s="216" t="s">
        <v>378</v>
      </c>
      <c r="L63" s="207"/>
      <c r="M63" s="59"/>
      <c r="N63" s="194">
        <f t="shared" si="8"/>
        <v>0.01399845321</v>
      </c>
      <c r="O63" s="208">
        <f t="shared" si="2"/>
        <v>0.002466713003</v>
      </c>
      <c r="P63" s="134">
        <v>146754.0</v>
      </c>
      <c r="Q63" s="134">
        <f t="shared" ref="Q63:Q68" si="10">P63-W63</f>
        <v>25860</v>
      </c>
      <c r="R63" s="134">
        <v>362.0</v>
      </c>
      <c r="S63" s="134">
        <v>170.0</v>
      </c>
      <c r="T63" s="134">
        <v>220.0</v>
      </c>
      <c r="U63" s="134">
        <v>154.0</v>
      </c>
      <c r="V63" s="134"/>
      <c r="W63" s="134">
        <v>120894.0</v>
      </c>
      <c r="X63" s="193" t="s">
        <v>365</v>
      </c>
      <c r="Y63" s="195">
        <v>0.248</v>
      </c>
      <c r="Z63" s="196"/>
      <c r="AA63" s="192"/>
      <c r="AB63" s="192">
        <v>1765.0</v>
      </c>
      <c r="AC63" s="192"/>
      <c r="AD63" s="192">
        <v>348.0</v>
      </c>
      <c r="AE63" s="192">
        <v>22412.0</v>
      </c>
      <c r="AF63" s="192"/>
      <c r="AG63" s="192"/>
      <c r="AH63" s="192"/>
    </row>
    <row r="64">
      <c r="A64" s="197">
        <v>26.0</v>
      </c>
      <c r="B64" s="198" t="str">
        <f t="array" ref="B64">IFerror(INDEX(Papers!D$2:D$998,MATCH($A64, Papers!$A$2:$A$998,0)),"")</f>
        <v>Dustin Gibson, Adaeze Wosu, George Pariyo, Saifuddin Ahmed, Joseph Ali, Alain Labrique, Iqbal Khan, Elizeus Rutebemberwa, Meerjady Flora, and Adnan Hyder. </v>
      </c>
      <c r="C64" s="53">
        <f t="array" ref="C64">IFerror(INDEX(Papers!F$2:F$998,MATCH($A64, Papers!$A$2:$A$998,0)),"")</f>
        <v>2019</v>
      </c>
      <c r="D64" s="198" t="str">
        <f t="array" ref="D64">IFerror(INDEX(Papers!C$2:C$998,MATCH($A64, Papers!$A$2:$A$998,0)),"")</f>
        <v>Effect of airtime incentives on response and cooperation rates in non-communicable disease interactive voice response surveys: randomised controlled trials in Bangladesh and Uganda</v>
      </c>
      <c r="E64" s="53">
        <f t="array" ref="E64">IFerror(INDEX(Papers!G$2:G$998,MATCH($A64, Papers!$A$2:$A$998,0)),"")</f>
        <v>2017</v>
      </c>
      <c r="F64" s="69" t="s">
        <v>238</v>
      </c>
      <c r="G64" s="69" t="s">
        <v>11</v>
      </c>
      <c r="H64" s="69" t="s">
        <v>293</v>
      </c>
      <c r="I64" s="66">
        <v>0.0</v>
      </c>
      <c r="J64" s="53"/>
      <c r="K64" s="219" t="s">
        <v>379</v>
      </c>
      <c r="L64" s="201"/>
      <c r="M64" s="53"/>
      <c r="N64" s="202">
        <f t="shared" si="8"/>
        <v>0.01430781129</v>
      </c>
      <c r="O64" s="202">
        <f t="shared" si="2"/>
        <v>0.002521225997</v>
      </c>
      <c r="P64" s="140">
        <v>146754.0</v>
      </c>
      <c r="Q64" s="140">
        <f t="shared" si="10"/>
        <v>25860</v>
      </c>
      <c r="R64" s="140">
        <v>370.0</v>
      </c>
      <c r="S64" s="140">
        <v>137.0</v>
      </c>
      <c r="T64" s="140">
        <v>254.0</v>
      </c>
      <c r="U64" s="140">
        <v>184.0</v>
      </c>
      <c r="V64" s="140"/>
      <c r="W64" s="140">
        <v>120894.0</v>
      </c>
      <c r="X64" s="209" t="s">
        <v>365</v>
      </c>
      <c r="Y64" s="203">
        <v>0.239</v>
      </c>
      <c r="Z64" s="204"/>
      <c r="AA64" s="197"/>
      <c r="AB64" s="197">
        <v>1670.0</v>
      </c>
      <c r="AC64" s="197"/>
      <c r="AD64" s="197">
        <v>367.0</v>
      </c>
      <c r="AE64" s="197">
        <v>22411.0</v>
      </c>
      <c r="AF64" s="197"/>
      <c r="AG64" s="197"/>
      <c r="AH64" s="197"/>
    </row>
    <row r="65">
      <c r="A65" s="192">
        <v>26.0</v>
      </c>
      <c r="B65" s="86" t="str">
        <f t="array" ref="B65">IFerror(INDEX(Papers!D$2:D$998,MATCH($A65, Papers!$A$2:$A$998,0)),"")</f>
        <v>Dustin Gibson, Adaeze Wosu, George Pariyo, Saifuddin Ahmed, Joseph Ali, Alain Labrique, Iqbal Khan, Elizeus Rutebemberwa, Meerjady Flora, and Adnan Hyder. </v>
      </c>
      <c r="C65" s="59">
        <f t="array" ref="C65">IFerror(INDEX(Papers!F$2:F$998,MATCH($A65, Papers!$A$2:$A$998,0)),"")</f>
        <v>2019</v>
      </c>
      <c r="D65" s="86" t="str">
        <f t="array" ref="D65">IFerror(INDEX(Papers!C$2:C$998,MATCH($A65, Papers!$A$2:$A$998,0)),"")</f>
        <v>Effect of airtime incentives on response and cooperation rates in non-communicable disease interactive voice response surveys: randomised controlled trials in Bangladesh and Uganda</v>
      </c>
      <c r="E65" s="59">
        <f t="array" ref="E65">IFerror(INDEX(Papers!G$2:G$998,MATCH($A65, Papers!$A$2:$A$998,0)),"")</f>
        <v>2017</v>
      </c>
      <c r="F65" s="67" t="s">
        <v>238</v>
      </c>
      <c r="G65" s="67" t="s">
        <v>11</v>
      </c>
      <c r="H65" s="67" t="s">
        <v>293</v>
      </c>
      <c r="I65" s="68">
        <v>0.0</v>
      </c>
      <c r="J65" s="59"/>
      <c r="K65" s="86" t="s">
        <v>366</v>
      </c>
      <c r="L65" s="207"/>
      <c r="M65" s="59"/>
      <c r="N65" s="194">
        <f t="shared" si="8"/>
        <v>0.01364989753</v>
      </c>
      <c r="O65" s="208">
        <f t="shared" si="2"/>
        <v>0.002405385884</v>
      </c>
      <c r="P65" s="134">
        <v>146754.0</v>
      </c>
      <c r="Q65" s="134">
        <f t="shared" si="10"/>
        <v>25861</v>
      </c>
      <c r="R65" s="134">
        <v>353.0</v>
      </c>
      <c r="S65" s="134">
        <v>227.0</v>
      </c>
      <c r="T65" s="134">
        <v>341.0</v>
      </c>
      <c r="U65" s="134">
        <v>306.0</v>
      </c>
      <c r="V65" s="134"/>
      <c r="W65" s="134">
        <v>120893.0</v>
      </c>
      <c r="X65" s="193" t="s">
        <v>365</v>
      </c>
      <c r="Y65" s="195">
        <v>0.192</v>
      </c>
      <c r="Z65" s="196"/>
      <c r="AA65" s="192"/>
      <c r="AB65" s="192">
        <v>2542.0</v>
      </c>
      <c r="AC65" s="192"/>
      <c r="AD65" s="192">
        <v>577.0</v>
      </c>
      <c r="AE65" s="192">
        <v>22411.0</v>
      </c>
      <c r="AF65" s="192"/>
      <c r="AG65" s="192"/>
      <c r="AH65" s="192"/>
    </row>
    <row r="66">
      <c r="A66" s="197">
        <v>26.0</v>
      </c>
      <c r="B66" s="198" t="str">
        <f t="array" ref="B66">IFerror(INDEX(Papers!D$2:D$998,MATCH($A66, Papers!$A$2:$A$998,0)),"")</f>
        <v>Dustin Gibson, Adaeze Wosu, George Pariyo, Saifuddin Ahmed, Joseph Ali, Alain Labrique, Iqbal Khan, Elizeus Rutebemberwa, Meerjady Flora, and Adnan Hyder. </v>
      </c>
      <c r="C66" s="53">
        <f t="array" ref="C66">IFerror(INDEX(Papers!F$2:F$998,MATCH($A66, Papers!$A$2:$A$998,0)),"")</f>
        <v>2019</v>
      </c>
      <c r="D66" s="198" t="str">
        <f t="array" ref="D66">IFerror(INDEX(Papers!C$2:C$998,MATCH($A66, Papers!$A$2:$A$998,0)),"")</f>
        <v>Effect of airtime incentives on response and cooperation rates in non-communicable disease interactive voice response surveys: randomised controlled trials in Bangladesh and Uganda</v>
      </c>
      <c r="E66" s="53">
        <f t="array" ref="E66">IFerror(INDEX(Papers!G$2:G$998,MATCH($A66, Papers!$A$2:$A$998,0)),"")</f>
        <v>2017</v>
      </c>
      <c r="F66" s="51" t="s">
        <v>258</v>
      </c>
      <c r="G66" s="69" t="s">
        <v>11</v>
      </c>
      <c r="H66" s="51" t="s">
        <v>293</v>
      </c>
      <c r="I66" s="66">
        <v>0.0</v>
      </c>
      <c r="J66" s="53"/>
      <c r="K66" s="219" t="s">
        <v>380</v>
      </c>
      <c r="L66" s="201"/>
      <c r="M66" s="53"/>
      <c r="N66" s="202">
        <f t="shared" si="8"/>
        <v>0.03849318826</v>
      </c>
      <c r="O66" s="202">
        <f t="shared" si="2"/>
        <v>0.007510748756</v>
      </c>
      <c r="P66" s="231">
        <v>56053.0</v>
      </c>
      <c r="Q66" s="140">
        <f t="shared" si="10"/>
        <v>10937</v>
      </c>
      <c r="R66" s="231">
        <v>421.0</v>
      </c>
      <c r="S66" s="231">
        <v>114.0</v>
      </c>
      <c r="T66" s="231">
        <v>85.0</v>
      </c>
      <c r="U66" s="231">
        <v>96.0</v>
      </c>
      <c r="V66" s="231"/>
      <c r="W66" s="231">
        <v>45116.0</v>
      </c>
      <c r="X66" s="209" t="s">
        <v>365</v>
      </c>
      <c r="Y66" s="203">
        <v>0.403</v>
      </c>
      <c r="Z66" s="204"/>
      <c r="AA66" s="229"/>
      <c r="AB66" s="229">
        <v>674.0</v>
      </c>
      <c r="AC66" s="229"/>
      <c r="AD66" s="229">
        <v>63.0</v>
      </c>
      <c r="AE66" s="229">
        <v>9399.0</v>
      </c>
      <c r="AF66" s="197"/>
      <c r="AG66" s="229"/>
      <c r="AH66" s="229"/>
    </row>
    <row r="67">
      <c r="A67" s="192">
        <v>26.0</v>
      </c>
      <c r="B67" s="86" t="str">
        <f t="array" ref="B67">IFerror(INDEX(Papers!D$2:D$998,MATCH($A67, Papers!$A$2:$A$998,0)),"")</f>
        <v>Dustin Gibson, Adaeze Wosu, George Pariyo, Saifuddin Ahmed, Joseph Ali, Alain Labrique, Iqbal Khan, Elizeus Rutebemberwa, Meerjady Flora, and Adnan Hyder. </v>
      </c>
      <c r="C67" s="59">
        <f t="array" ref="C67">IFerror(INDEX(Papers!F$2:F$998,MATCH($A67, Papers!$A$2:$A$998,0)),"")</f>
        <v>2019</v>
      </c>
      <c r="D67" s="86" t="str">
        <f t="array" ref="D67">IFerror(INDEX(Papers!C$2:C$998,MATCH($A67, Papers!$A$2:$A$998,0)),"")</f>
        <v>Effect of airtime incentives on response and cooperation rates in non-communicable disease interactive voice response surveys: randomised controlled trials in Bangladesh and Uganda</v>
      </c>
      <c r="E67" s="59">
        <f t="array" ref="E67">IFerror(INDEX(Papers!G$2:G$998,MATCH($A67, Papers!$A$2:$A$998,0)),"")</f>
        <v>2017</v>
      </c>
      <c r="F67" s="67" t="s">
        <v>258</v>
      </c>
      <c r="G67" s="67" t="s">
        <v>11</v>
      </c>
      <c r="H67" s="67" t="s">
        <v>293</v>
      </c>
      <c r="I67" s="68">
        <v>0.0</v>
      </c>
      <c r="J67" s="59"/>
      <c r="K67" s="216" t="s">
        <v>381</v>
      </c>
      <c r="L67" s="207"/>
      <c r="M67" s="59"/>
      <c r="N67" s="194">
        <f t="shared" si="8"/>
        <v>0.03693883149</v>
      </c>
      <c r="O67" s="208">
        <f t="shared" si="2"/>
        <v>0.007207592949</v>
      </c>
      <c r="P67" s="134">
        <v>56052.0</v>
      </c>
      <c r="Q67" s="134">
        <f t="shared" si="10"/>
        <v>10937</v>
      </c>
      <c r="R67" s="134">
        <v>404.0</v>
      </c>
      <c r="S67" s="134">
        <v>104.0</v>
      </c>
      <c r="T67" s="134">
        <v>84.0</v>
      </c>
      <c r="U67" s="134">
        <v>109.0</v>
      </c>
      <c r="V67" s="134"/>
      <c r="W67" s="134">
        <v>45115.0</v>
      </c>
      <c r="X67" s="193" t="s">
        <v>365</v>
      </c>
      <c r="Y67" s="195">
        <v>0.393</v>
      </c>
      <c r="Z67" s="196"/>
      <c r="AA67" s="192"/>
      <c r="AB67" s="192">
        <v>652.0</v>
      </c>
      <c r="AC67" s="192"/>
      <c r="AD67" s="192">
        <v>75.0</v>
      </c>
      <c r="AE67" s="192">
        <v>9399.0</v>
      </c>
      <c r="AF67" s="192"/>
      <c r="AG67" s="192"/>
      <c r="AH67" s="192"/>
    </row>
    <row r="68">
      <c r="A68" s="197">
        <v>26.0</v>
      </c>
      <c r="B68" s="198" t="str">
        <f t="array" ref="B68">IFerror(INDEX(Papers!D$2:D$998,MATCH($A68, Papers!$A$2:$A$998,0)),"")</f>
        <v>Dustin Gibson, Adaeze Wosu, George Pariyo, Saifuddin Ahmed, Joseph Ali, Alain Labrique, Iqbal Khan, Elizeus Rutebemberwa, Meerjady Flora, and Adnan Hyder. </v>
      </c>
      <c r="C68" s="53">
        <f t="array" ref="C68">IFerror(INDEX(Papers!F$2:F$998,MATCH($A68, Papers!$A$2:$A$998,0)),"")</f>
        <v>2019</v>
      </c>
      <c r="D68" s="198" t="str">
        <f t="array" ref="D68">IFerror(INDEX(Papers!C$2:C$998,MATCH($A68, Papers!$A$2:$A$998,0)),"")</f>
        <v>Effect of airtime incentives on response and cooperation rates in non-communicable disease interactive voice response surveys: randomised controlled trials in Bangladesh and Uganda</v>
      </c>
      <c r="E68" s="53">
        <f t="array" ref="E68">IFerror(INDEX(Papers!G$2:G$998,MATCH($A68, Papers!$A$2:$A$998,0)),"")</f>
        <v>2017</v>
      </c>
      <c r="F68" s="51" t="s">
        <v>258</v>
      </c>
      <c r="G68" s="69" t="s">
        <v>11</v>
      </c>
      <c r="H68" s="51" t="s">
        <v>293</v>
      </c>
      <c r="I68" s="66">
        <v>0.0</v>
      </c>
      <c r="J68" s="53"/>
      <c r="K68" s="198" t="s">
        <v>366</v>
      </c>
      <c r="L68" s="201"/>
      <c r="M68" s="53"/>
      <c r="N68" s="202">
        <f t="shared" si="8"/>
        <v>0.03447014721</v>
      </c>
      <c r="O68" s="202">
        <f t="shared" si="2"/>
        <v>0.006725897381</v>
      </c>
      <c r="P68" s="231">
        <v>56052.0</v>
      </c>
      <c r="Q68" s="140">
        <f t="shared" si="10"/>
        <v>10937</v>
      </c>
      <c r="R68" s="231">
        <v>377.0</v>
      </c>
      <c r="S68" s="231">
        <v>175.0</v>
      </c>
      <c r="T68" s="231">
        <v>122.0</v>
      </c>
      <c r="U68" s="231">
        <v>170.0</v>
      </c>
      <c r="V68" s="231"/>
      <c r="W68" s="231">
        <v>45115.0</v>
      </c>
      <c r="X68" s="209" t="s">
        <v>365</v>
      </c>
      <c r="Y68" s="203">
        <v>0.352</v>
      </c>
      <c r="Z68" s="204"/>
      <c r="AA68" s="229"/>
      <c r="AB68" s="229">
        <v>799.0</v>
      </c>
      <c r="AC68" s="229"/>
      <c r="AD68" s="229">
        <v>89.0</v>
      </c>
      <c r="AE68" s="229">
        <v>9400.0</v>
      </c>
      <c r="AF68" s="197"/>
      <c r="AG68" s="229"/>
      <c r="AH68" s="229"/>
    </row>
    <row r="69" hidden="1">
      <c r="A69" s="192">
        <v>39.0</v>
      </c>
      <c r="B69" s="86" t="str">
        <f t="array" ref="B69">IFerror(INDEX(Papers!D$2:D$998,MATCH($A69, Papers!$A$2:$A$998,0)),"")</f>
        <v>Berk Ozler &amp; P. Facundo Cuevas</v>
      </c>
      <c r="C69" s="59">
        <f t="array" ref="C69">IFerror(INDEX(Papers!F$2:F$998,MATCH($A69, Papers!$A$2:$A$998,0)),"")</f>
        <v>2019</v>
      </c>
      <c r="D69" s="86" t="str">
        <f t="array" ref="D69">IFerror(INDEX(Papers!C$2:C$998,MATCH($A69, Papers!$A$2:$A$998,0)),"")</f>
        <v>Reducing Attrition in Phone Surveys</v>
      </c>
      <c r="E69" s="59">
        <f t="array" ref="E69">IFerror(INDEX(Papers!G$2:G$998,MATCH($A69, Papers!$A$2:$A$998,0)),"")</f>
        <v>2017</v>
      </c>
      <c r="F69" s="249" t="s">
        <v>274</v>
      </c>
      <c r="G69" s="250" t="s">
        <v>9</v>
      </c>
      <c r="H69" s="67" t="s">
        <v>300</v>
      </c>
      <c r="I69" s="59">
        <v>0.0</v>
      </c>
      <c r="J69" s="59"/>
      <c r="K69" s="86"/>
      <c r="L69" s="193" t="s">
        <v>353</v>
      </c>
      <c r="M69" s="59"/>
      <c r="N69" s="194" t="str">
        <f t="shared" si="8"/>
        <v/>
      </c>
      <c r="O69" s="208">
        <f t="shared" si="2"/>
        <v>0.752589183</v>
      </c>
      <c r="P69" s="134">
        <v>8690.0</v>
      </c>
      <c r="Q69" s="134"/>
      <c r="R69" s="134">
        <v>6540.0</v>
      </c>
      <c r="S69" s="134"/>
      <c r="T69" s="218"/>
      <c r="U69" s="218"/>
      <c r="V69" s="134"/>
      <c r="W69" s="218"/>
      <c r="X69" s="193" t="s">
        <v>348</v>
      </c>
      <c r="Y69" s="195">
        <v>0.7524</v>
      </c>
      <c r="Z69" s="134"/>
      <c r="AA69" s="192"/>
      <c r="AB69" s="192"/>
      <c r="AC69" s="192"/>
      <c r="AD69" s="243"/>
      <c r="AE69" s="192"/>
      <c r="AF69" s="243"/>
      <c r="AG69" s="192"/>
      <c r="AH69" s="192"/>
    </row>
    <row r="70" hidden="1">
      <c r="A70" s="197">
        <v>39.0</v>
      </c>
      <c r="B70" s="198" t="str">
        <f t="array" ref="B70">IFerror(INDEX(Papers!D$2:D$998,MATCH($A70, Papers!$A$2:$A$998,0)),"")</f>
        <v>Berk Ozler &amp; P. Facundo Cuevas</v>
      </c>
      <c r="C70" s="53">
        <f t="array" ref="C70">IFerror(INDEX(Papers!F$2:F$998,MATCH($A70, Papers!$A$2:$A$998,0)),"")</f>
        <v>2019</v>
      </c>
      <c r="D70" s="198" t="str">
        <f t="array" ref="D70">IFerror(INDEX(Papers!C$2:C$998,MATCH($A70, Papers!$A$2:$A$998,0)),"")</f>
        <v>Reducing Attrition in Phone Surveys</v>
      </c>
      <c r="E70" s="53">
        <f t="array" ref="E70">IFerror(INDEX(Papers!G$2:G$998,MATCH($A70, Papers!$A$2:$A$998,0)),"")</f>
        <v>2017</v>
      </c>
      <c r="F70" s="251" t="s">
        <v>274</v>
      </c>
      <c r="G70" s="252" t="s">
        <v>9</v>
      </c>
      <c r="H70" s="69" t="s">
        <v>300</v>
      </c>
      <c r="I70" s="53">
        <v>0.0</v>
      </c>
      <c r="J70" s="53"/>
      <c r="K70" s="198"/>
      <c r="L70" s="209" t="s">
        <v>354</v>
      </c>
      <c r="M70" s="53"/>
      <c r="N70" s="202" t="str">
        <f t="shared" si="8"/>
        <v/>
      </c>
      <c r="O70" s="202">
        <f t="shared" si="2"/>
        <v>0.7113924051</v>
      </c>
      <c r="P70" s="140">
        <v>8690.0</v>
      </c>
      <c r="Q70" s="140"/>
      <c r="R70" s="140">
        <v>6182.0</v>
      </c>
      <c r="S70" s="140"/>
      <c r="T70" s="213"/>
      <c r="U70" s="213"/>
      <c r="V70" s="140"/>
      <c r="W70" s="213"/>
      <c r="X70" s="209" t="s">
        <v>348</v>
      </c>
      <c r="Y70" s="203">
        <v>0.7114</v>
      </c>
      <c r="Z70" s="140"/>
      <c r="AA70" s="197"/>
      <c r="AB70" s="197"/>
      <c r="AC70" s="197"/>
      <c r="AD70" s="214"/>
      <c r="AE70" s="197"/>
      <c r="AF70" s="214"/>
      <c r="AG70" s="197"/>
      <c r="AH70" s="197"/>
    </row>
    <row r="71" hidden="1">
      <c r="A71" s="192">
        <v>39.0</v>
      </c>
      <c r="B71" s="86" t="str">
        <f t="array" ref="B71">IFerror(INDEX(Papers!D$2:D$998,MATCH($A71, Papers!$A$2:$A$998,0)),"")</f>
        <v>Berk Ozler &amp; P. Facundo Cuevas</v>
      </c>
      <c r="C71" s="59">
        <f t="array" ref="C71">IFerror(INDEX(Papers!F$2:F$998,MATCH($A71, Papers!$A$2:$A$998,0)),"")</f>
        <v>2019</v>
      </c>
      <c r="D71" s="86" t="str">
        <f t="array" ref="D71">IFerror(INDEX(Papers!C$2:C$998,MATCH($A71, Papers!$A$2:$A$998,0)),"")</f>
        <v>Reducing Attrition in Phone Surveys</v>
      </c>
      <c r="E71" s="59">
        <f t="array" ref="E71">IFerror(INDEX(Papers!G$2:G$998,MATCH($A71, Papers!$A$2:$A$998,0)),"")</f>
        <v>2017</v>
      </c>
      <c r="F71" s="249" t="s">
        <v>274</v>
      </c>
      <c r="G71" s="250" t="s">
        <v>9</v>
      </c>
      <c r="H71" s="67" t="s">
        <v>300</v>
      </c>
      <c r="I71" s="59">
        <v>0.0</v>
      </c>
      <c r="J71" s="59"/>
      <c r="K71" s="86"/>
      <c r="L71" s="193" t="s">
        <v>355</v>
      </c>
      <c r="M71" s="59"/>
      <c r="N71" s="194" t="str">
        <f t="shared" si="8"/>
        <v/>
      </c>
      <c r="O71" s="208">
        <f t="shared" si="2"/>
        <v>0.5719217491</v>
      </c>
      <c r="P71" s="134">
        <v>8690.0</v>
      </c>
      <c r="Q71" s="134"/>
      <c r="R71" s="134">
        <v>4970.0</v>
      </c>
      <c r="S71" s="134"/>
      <c r="T71" s="218"/>
      <c r="U71" s="218"/>
      <c r="V71" s="134"/>
      <c r="W71" s="218"/>
      <c r="X71" s="193" t="s">
        <v>348</v>
      </c>
      <c r="Y71" s="195">
        <v>0.5719</v>
      </c>
      <c r="Z71" s="134"/>
      <c r="AA71" s="192"/>
      <c r="AB71" s="192"/>
      <c r="AC71" s="192"/>
      <c r="AD71" s="243"/>
      <c r="AE71" s="192"/>
      <c r="AF71" s="243"/>
      <c r="AG71" s="192"/>
      <c r="AH71" s="192"/>
    </row>
    <row r="72" hidden="1">
      <c r="A72" s="197">
        <v>43.0</v>
      </c>
      <c r="B72" s="198" t="str">
        <f t="array" ref="B72">IFerror(INDEX(Papers!D$2:D$998,MATCH($A72, Papers!$A$2:$A$998,0)),"")</f>
        <v>Christine Lamanna, Kusum Hachhethu, Sabrina Chesterman, Gaurav Singhal, Beatrice Mwongela, Mary Ng’endo, Silvia Passeri et al.</v>
      </c>
      <c r="C72" s="53">
        <f t="array" ref="C72">IFerror(INDEX(Papers!F$2:F$998,MATCH($A72, Papers!$A$2:$A$998,0)),"")</f>
        <v>2019</v>
      </c>
      <c r="D72" s="198" t="str">
        <f t="array" ref="D72">IFerror(INDEX(Papers!C$2:C$998,MATCH($A72, Papers!$A$2:$A$998,0)),"")</f>
        <v>Strengths and limitations of computer assisted telephone interviews (CATI) for nutrition data collection in rural Kenya</v>
      </c>
      <c r="E72" s="53">
        <f t="array" ref="E72">IFerror(INDEX(Papers!G$2:G$998,MATCH($A72, Papers!$A$2:$A$998,0)),"")</f>
        <v>2016</v>
      </c>
      <c r="F72" s="69" t="s">
        <v>245</v>
      </c>
      <c r="G72" s="69" t="s">
        <v>9</v>
      </c>
      <c r="H72" s="198" t="s">
        <v>347</v>
      </c>
      <c r="I72" s="66">
        <v>0.0</v>
      </c>
      <c r="J72" s="66">
        <v>20.0</v>
      </c>
      <c r="K72" s="219" t="s">
        <v>382</v>
      </c>
      <c r="L72" s="209"/>
      <c r="M72" s="66">
        <v>20.0</v>
      </c>
      <c r="N72" s="202" t="str">
        <f t="shared" si="8"/>
        <v/>
      </c>
      <c r="O72" s="210">
        <f t="shared" si="2"/>
        <v>0.8170974155</v>
      </c>
      <c r="P72" s="140">
        <v>503.0</v>
      </c>
      <c r="Q72" s="140" t="str">
        <f t="shared" ref="Q72:Q77" si="11">if(AND(W72&lt;&gt;0,P72&lt;&gt;0),P72-W72,"")</f>
        <v/>
      </c>
      <c r="R72" s="140">
        <v>411.0</v>
      </c>
      <c r="S72" s="140"/>
      <c r="T72" s="140">
        <v>92.0</v>
      </c>
      <c r="U72" s="140"/>
      <c r="V72" s="140"/>
      <c r="W72" s="140"/>
      <c r="X72" s="209" t="s">
        <v>348</v>
      </c>
      <c r="Y72" s="203">
        <v>0.817</v>
      </c>
      <c r="Z72" s="204">
        <v>503.0</v>
      </c>
      <c r="AA72" s="197"/>
      <c r="AB72" s="197"/>
      <c r="AC72" s="197"/>
      <c r="AD72" s="197"/>
      <c r="AE72" s="197"/>
      <c r="AF72" s="197"/>
      <c r="AG72" s="197"/>
      <c r="AH72" s="197"/>
    </row>
    <row r="73" hidden="1">
      <c r="A73" s="192">
        <v>43.0</v>
      </c>
      <c r="B73" s="86" t="str">
        <f t="array" ref="B73">IFerror(INDEX(Papers!D$2:D$998,MATCH($A73, Papers!$A$2:$A$998,0)),"")</f>
        <v>Christine Lamanna, Kusum Hachhethu, Sabrina Chesterman, Gaurav Singhal, Beatrice Mwongela, Mary Ng’endo, Silvia Passeri et al.</v>
      </c>
      <c r="C73" s="59">
        <f t="array" ref="C73">IFerror(INDEX(Papers!F$2:F$998,MATCH($A73, Papers!$A$2:$A$998,0)),"")</f>
        <v>2019</v>
      </c>
      <c r="D73" s="86" t="str">
        <f t="array" ref="D73">IFerror(INDEX(Papers!C$2:C$998,MATCH($A73, Papers!$A$2:$A$998,0)),"")</f>
        <v>Strengths and limitations of computer assisted telephone interviews (CATI) for nutrition data collection in rural Kenya</v>
      </c>
      <c r="E73" s="59">
        <f t="array" ref="E73">IFerror(INDEX(Papers!G$2:G$998,MATCH($A73, Papers!$A$2:$A$998,0)),"")</f>
        <v>2016</v>
      </c>
      <c r="F73" s="67" t="s">
        <v>245</v>
      </c>
      <c r="G73" s="67" t="s">
        <v>9</v>
      </c>
      <c r="H73" s="86" t="s">
        <v>347</v>
      </c>
      <c r="I73" s="68">
        <v>0.0</v>
      </c>
      <c r="J73" s="68">
        <v>25.0</v>
      </c>
      <c r="K73" s="216" t="s">
        <v>383</v>
      </c>
      <c r="L73" s="193"/>
      <c r="M73" s="68">
        <v>25.0</v>
      </c>
      <c r="N73" s="194" t="str">
        <f t="shared" si="8"/>
        <v/>
      </c>
      <c r="O73" s="208">
        <f t="shared" si="2"/>
        <v>0.785</v>
      </c>
      <c r="P73" s="134">
        <v>400.0</v>
      </c>
      <c r="Q73" s="134" t="str">
        <f t="shared" si="11"/>
        <v/>
      </c>
      <c r="R73" s="134">
        <v>314.0</v>
      </c>
      <c r="S73" s="134"/>
      <c r="T73" s="134">
        <v>86.0</v>
      </c>
      <c r="U73" s="134"/>
      <c r="V73" s="134"/>
      <c r="W73" s="134"/>
      <c r="X73" s="193" t="s">
        <v>348</v>
      </c>
      <c r="Y73" s="195">
        <v>0.785</v>
      </c>
      <c r="Z73" s="196">
        <v>400.0</v>
      </c>
      <c r="AA73" s="192"/>
      <c r="AB73" s="192"/>
      <c r="AC73" s="192"/>
      <c r="AD73" s="192"/>
      <c r="AE73" s="192"/>
      <c r="AF73" s="192"/>
      <c r="AG73" s="192"/>
      <c r="AH73" s="192"/>
    </row>
    <row r="74" hidden="1">
      <c r="A74" s="197">
        <v>43.0</v>
      </c>
      <c r="B74" s="198" t="str">
        <f t="array" ref="B74">IFerror(INDEX(Papers!D$2:D$998,MATCH($A74, Papers!$A$2:$A$998,0)),"")</f>
        <v>Christine Lamanna, Kusum Hachhethu, Sabrina Chesterman, Gaurav Singhal, Beatrice Mwongela, Mary Ng’endo, Silvia Passeri et al.</v>
      </c>
      <c r="C74" s="53">
        <f t="array" ref="C74">IFerror(INDEX(Papers!F$2:F$998,MATCH($A74, Papers!$A$2:$A$998,0)),"")</f>
        <v>2019</v>
      </c>
      <c r="D74" s="198" t="str">
        <f t="array" ref="D74">IFerror(INDEX(Papers!C$2:C$998,MATCH($A74, Papers!$A$2:$A$998,0)),"")</f>
        <v>Strengths and limitations of computer assisted telephone interviews (CATI) for nutrition data collection in rural Kenya</v>
      </c>
      <c r="E74" s="53">
        <f t="array" ref="E74">IFerror(INDEX(Papers!G$2:G$998,MATCH($A74, Papers!$A$2:$A$998,0)),"")</f>
        <v>2016</v>
      </c>
      <c r="F74" s="51" t="s">
        <v>245</v>
      </c>
      <c r="G74" s="69" t="s">
        <v>9</v>
      </c>
      <c r="H74" s="37" t="s">
        <v>347</v>
      </c>
      <c r="I74" s="66">
        <v>0.0</v>
      </c>
      <c r="J74" s="66">
        <v>20.0</v>
      </c>
      <c r="K74" s="219" t="s">
        <v>384</v>
      </c>
      <c r="L74" s="209"/>
      <c r="M74" s="66">
        <v>20.0</v>
      </c>
      <c r="N74" s="202" t="str">
        <f t="shared" si="8"/>
        <v/>
      </c>
      <c r="O74" s="202">
        <f t="shared" si="2"/>
        <v>0.8422053232</v>
      </c>
      <c r="P74" s="231">
        <v>526.0</v>
      </c>
      <c r="Q74" s="140" t="str">
        <f t="shared" si="11"/>
        <v/>
      </c>
      <c r="R74" s="231">
        <v>443.0</v>
      </c>
      <c r="S74" s="140"/>
      <c r="T74" s="231">
        <v>83.0</v>
      </c>
      <c r="U74" s="140"/>
      <c r="V74" s="140"/>
      <c r="W74" s="140"/>
      <c r="X74" s="209" t="s">
        <v>348</v>
      </c>
      <c r="Y74" s="203">
        <v>0.842</v>
      </c>
      <c r="Z74" s="204">
        <v>526.0</v>
      </c>
      <c r="AA74" s="197"/>
      <c r="AB74" s="197"/>
      <c r="AC74" s="197"/>
      <c r="AD74" s="197"/>
      <c r="AE74" s="197"/>
      <c r="AF74" s="197"/>
      <c r="AG74" s="197"/>
      <c r="AH74" s="197"/>
    </row>
    <row r="75" hidden="1">
      <c r="A75" s="192">
        <v>43.0</v>
      </c>
      <c r="B75" s="86" t="str">
        <f t="array" ref="B75">IFerror(INDEX(Papers!D$2:D$998,MATCH($A75, Papers!$A$2:$A$998,0)),"")</f>
        <v>Christine Lamanna, Kusum Hachhethu, Sabrina Chesterman, Gaurav Singhal, Beatrice Mwongela, Mary Ng’endo, Silvia Passeri et al.</v>
      </c>
      <c r="C75" s="59">
        <f t="array" ref="C75">IFerror(INDEX(Papers!F$2:F$998,MATCH($A75, Papers!$A$2:$A$998,0)),"")</f>
        <v>2019</v>
      </c>
      <c r="D75" s="86" t="str">
        <f t="array" ref="D75">IFerror(INDEX(Papers!C$2:C$998,MATCH($A75, Papers!$A$2:$A$998,0)),"")</f>
        <v>Strengths and limitations of computer assisted telephone interviews (CATI) for nutrition data collection in rural Kenya</v>
      </c>
      <c r="E75" s="59">
        <f t="array" ref="E75">IFerror(INDEX(Papers!G$2:G$998,MATCH($A75, Papers!$A$2:$A$998,0)),"")</f>
        <v>2016</v>
      </c>
      <c r="F75" s="67" t="s">
        <v>245</v>
      </c>
      <c r="G75" s="67" t="s">
        <v>9</v>
      </c>
      <c r="H75" s="86" t="s">
        <v>347</v>
      </c>
      <c r="I75" s="68">
        <v>0.0</v>
      </c>
      <c r="J75" s="68">
        <v>25.0</v>
      </c>
      <c r="K75" s="216" t="s">
        <v>385</v>
      </c>
      <c r="L75" s="193"/>
      <c r="M75" s="68">
        <v>25.0</v>
      </c>
      <c r="N75" s="194" t="str">
        <f t="shared" si="8"/>
        <v/>
      </c>
      <c r="O75" s="194">
        <f t="shared" si="2"/>
        <v>0.7882653061</v>
      </c>
      <c r="P75" s="134">
        <v>392.0</v>
      </c>
      <c r="Q75" s="134" t="str">
        <f t="shared" si="11"/>
        <v/>
      </c>
      <c r="R75" s="134">
        <v>309.0</v>
      </c>
      <c r="S75" s="134"/>
      <c r="T75" s="134">
        <v>83.0</v>
      </c>
      <c r="U75" s="134"/>
      <c r="V75" s="134"/>
      <c r="W75" s="134"/>
      <c r="X75" s="193" t="s">
        <v>348</v>
      </c>
      <c r="Y75" s="195">
        <v>0.788</v>
      </c>
      <c r="Z75" s="196">
        <v>392.0</v>
      </c>
      <c r="AA75" s="192"/>
      <c r="AB75" s="192"/>
      <c r="AC75" s="192"/>
      <c r="AD75" s="192"/>
      <c r="AE75" s="192"/>
      <c r="AF75" s="192"/>
      <c r="AG75" s="192"/>
      <c r="AH75" s="192"/>
    </row>
    <row r="76">
      <c r="A76" s="197">
        <v>44.0</v>
      </c>
      <c r="B76" s="198" t="str">
        <f t="array" ref="B76">IFerror(INDEX(Papers!D$2:D$998,MATCH($A76, Papers!$A$2:$A$998,0)),"")</f>
        <v>Bloomberg Philanthropies Data for Health Initiative: NCD Mobile Phone Survey</v>
      </c>
      <c r="C76" s="53">
        <f t="array" ref="C76">IFerror(INDEX(Papers!F$2:F$998,MATCH($A76, Papers!$A$2:$A$998,0)),"")</f>
        <v>2020</v>
      </c>
      <c r="D76" s="198" t="str">
        <f t="array" ref="D76">IFerror(INDEX(Papers!C$2:C$998,MATCH($A76, Papers!$A$2:$A$998,0)),"")</f>
        <v>NCD Mobile Phone Survey in the Philippines</v>
      </c>
      <c r="E76" s="53">
        <f t="array" ref="E76">IFerror(INDEX(Papers!G$2:G$998,MATCH($A76, Papers!$A$2:$A$998,0)),"")</f>
        <v>2018</v>
      </c>
      <c r="F76" s="69" t="s">
        <v>254</v>
      </c>
      <c r="G76" s="69" t="s">
        <v>10</v>
      </c>
      <c r="H76" s="69" t="s">
        <v>293</v>
      </c>
      <c r="I76" s="66">
        <v>0.0</v>
      </c>
      <c r="J76" s="66">
        <v>20.0</v>
      </c>
      <c r="K76" s="198"/>
      <c r="L76" s="209"/>
      <c r="M76" s="66">
        <v>18.0</v>
      </c>
      <c r="N76" s="202">
        <f t="shared" si="8"/>
        <v>0.2566017605</v>
      </c>
      <c r="O76" s="210">
        <f t="shared" si="2"/>
        <v>0.002950932315</v>
      </c>
      <c r="P76" s="140">
        <v>977996.0</v>
      </c>
      <c r="Q76" s="140">
        <f t="shared" si="11"/>
        <v>11247</v>
      </c>
      <c r="R76" s="140">
        <v>2886.0</v>
      </c>
      <c r="S76" s="140">
        <v>787.0</v>
      </c>
      <c r="T76" s="140">
        <v>2685.0</v>
      </c>
      <c r="U76" s="140">
        <v>117.0</v>
      </c>
      <c r="V76" s="140"/>
      <c r="W76" s="140">
        <v>966749.0</v>
      </c>
      <c r="X76" s="209" t="s">
        <v>348</v>
      </c>
      <c r="Y76" s="203">
        <v>0.003</v>
      </c>
      <c r="Z76" s="204">
        <v>977996.0</v>
      </c>
      <c r="AA76" s="197"/>
      <c r="AB76" s="197">
        <v>968.0</v>
      </c>
      <c r="AC76" s="197"/>
      <c r="AD76" s="197">
        <v>1463.0</v>
      </c>
      <c r="AE76" s="197"/>
      <c r="AF76" s="197">
        <v>2302.0</v>
      </c>
      <c r="AG76" s="197"/>
      <c r="AH76" s="197"/>
    </row>
    <row r="77" hidden="1">
      <c r="A77" s="192">
        <v>45.0</v>
      </c>
      <c r="B77" s="86" t="str">
        <f t="array" ref="B77">IFerror(INDEX(Papers!D$2:D$998,MATCH($A77, Papers!$A$2:$A$998,0)),"")</f>
        <v>Lara Vogel, Levi Goertz, Suhuyini Shani, Mark Boots, Louis Dorval, and N. Ewen Wang</v>
      </c>
      <c r="C77" s="59">
        <f t="array" ref="C77">IFerror(INDEX(Papers!F$2:F$998,MATCH($A77, Papers!$A$2:$A$998,0)),"")</f>
        <v>2016</v>
      </c>
      <c r="D77" s="86" t="str">
        <f t="array" ref="D77">IFerror(INDEX(Papers!C$2:C$998,MATCH($A77, Papers!$A$2:$A$998,0)),"")</f>
        <v>A mobile-based healthcare utilization assessment in rural Ghana</v>
      </c>
      <c r="E77" s="59">
        <f t="array" ref="E77">IFerror(INDEX(Papers!G$2:G$998,MATCH($A77, Papers!$A$2:$A$998,0)),"")</f>
        <v>2014</v>
      </c>
      <c r="F77" s="67" t="s">
        <v>243</v>
      </c>
      <c r="G77" s="67" t="s">
        <v>11</v>
      </c>
      <c r="H77" s="67" t="s">
        <v>308</v>
      </c>
      <c r="I77" s="68">
        <v>0.0</v>
      </c>
      <c r="J77" s="68">
        <v>19.0</v>
      </c>
      <c r="K77" s="86"/>
      <c r="L77" s="193"/>
      <c r="M77" s="68">
        <v>19.0</v>
      </c>
      <c r="N77" s="194" t="str">
        <f t="shared" si="8"/>
        <v/>
      </c>
      <c r="O77" s="194">
        <f t="shared" si="2"/>
        <v>0.01290111227</v>
      </c>
      <c r="P77" s="134">
        <v>64103.0</v>
      </c>
      <c r="Q77" s="134" t="str">
        <f t="shared" si="11"/>
        <v/>
      </c>
      <c r="R77" s="134">
        <v>827.0</v>
      </c>
      <c r="S77" s="134"/>
      <c r="T77" s="134"/>
      <c r="U77" s="134">
        <v>4084.0</v>
      </c>
      <c r="V77" s="134"/>
      <c r="W77" s="134"/>
      <c r="X77" s="193" t="s">
        <v>348</v>
      </c>
      <c r="Y77" s="195">
        <v>0.0129</v>
      </c>
      <c r="Z77" s="196">
        <v>64103.0</v>
      </c>
      <c r="AA77" s="192"/>
      <c r="AB77" s="253">
        <v>55502.0</v>
      </c>
      <c r="AC77" s="192"/>
      <c r="AD77" s="192">
        <v>1366.0</v>
      </c>
      <c r="AE77" s="192"/>
      <c r="AF77" s="192">
        <v>3804.0</v>
      </c>
      <c r="AG77" s="192"/>
      <c r="AH77" s="192"/>
    </row>
    <row r="78" hidden="1">
      <c r="A78" s="197">
        <v>47.0</v>
      </c>
      <c r="B78" s="198" t="str">
        <f t="array" ref="B78">IFerror(INDEX(Papers!D$2:D$998,MATCH($A78, Papers!$A$2:$A$998,0)),"")</f>
        <v>Chiara Broccolini, William Seitz, and Joao Pedro Azevedo</v>
      </c>
      <c r="C78" s="53">
        <f t="array" ref="C78">IFerror(INDEX(Papers!F$2:F$998,MATCH($A78, Papers!$A$2:$A$998,0)),"")</f>
        <v>2017</v>
      </c>
      <c r="D78" s="198" t="str">
        <f t="array" ref="D78">IFerror(INDEX(Papers!C$2:C$998,MATCH($A78, Papers!$A$2:$A$998,0)),"")</f>
        <v>Listening to Tajikistan</v>
      </c>
      <c r="E78" s="53">
        <f t="array" ref="E78">IFerror(INDEX(Papers!G$2:G$998,MATCH($A78, Papers!$A$2:$A$998,0)),"")</f>
        <v>2015</v>
      </c>
      <c r="F78" s="69" t="s">
        <v>272</v>
      </c>
      <c r="G78" s="69" t="s">
        <v>9</v>
      </c>
      <c r="H78" s="198" t="s">
        <v>347</v>
      </c>
      <c r="I78" s="66">
        <v>1.0</v>
      </c>
      <c r="J78" s="53"/>
      <c r="K78" s="198"/>
      <c r="L78" s="209"/>
      <c r="M78" s="53"/>
      <c r="N78" s="241"/>
      <c r="O78" s="202"/>
      <c r="P78" s="140"/>
      <c r="Q78" s="140"/>
      <c r="R78" s="140"/>
      <c r="S78" s="140"/>
      <c r="T78" s="140"/>
      <c r="U78" s="140"/>
      <c r="V78" s="140"/>
      <c r="W78" s="140"/>
      <c r="X78" s="209" t="s">
        <v>348</v>
      </c>
      <c r="Y78" s="140"/>
      <c r="Z78" s="140"/>
      <c r="AA78" s="197"/>
      <c r="AB78" s="197"/>
      <c r="AC78" s="197"/>
      <c r="AD78" s="197"/>
      <c r="AE78" s="197"/>
      <c r="AF78" s="197"/>
      <c r="AG78" s="197"/>
      <c r="AH78" s="197"/>
    </row>
    <row r="79">
      <c r="A79" s="192">
        <v>48.0</v>
      </c>
      <c r="B79" s="86" t="str">
        <f t="array" ref="B79">IFerror(INDEX(Papers!D$2:D$998,MATCH($A79, Papers!$A$2:$A$998,0)),"")</f>
        <v>Eleanora Dal Grande, Catherine Chittleborough, Stefano Campostrini, Maureen Dollard, and Anne Taylor</v>
      </c>
      <c r="C79" s="59">
        <f t="array" ref="C79">IFerror(INDEX(Papers!F$2:F$998,MATCH($A79, Papers!$A$2:$A$998,0)),"")</f>
        <v>2016</v>
      </c>
      <c r="D79" s="86" t="str">
        <f t="array" ref="D79">IFerror(INDEX(Papers!C$2:C$998,MATCH($A79, Papers!$A$2:$A$998,0)),"")</f>
        <v>Pre-Survey Text Messages (SMS) Improve Participation Rate in an Australian Mobile Telephone Survey: An Experimental Study.</v>
      </c>
      <c r="E79" s="59">
        <f t="array" ref="E79">IFerror(INDEX(Papers!G$2:G$998,MATCH($A79, Papers!$A$2:$A$998,0)),"")</f>
        <v>2014</v>
      </c>
      <c r="F79" s="67" t="s">
        <v>261</v>
      </c>
      <c r="G79" s="67" t="s">
        <v>9</v>
      </c>
      <c r="H79" s="67" t="s">
        <v>293</v>
      </c>
      <c r="I79" s="68">
        <v>0.0</v>
      </c>
      <c r="J79" s="59"/>
      <c r="K79" s="216" t="s">
        <v>366</v>
      </c>
      <c r="L79" s="193"/>
      <c r="M79" s="59"/>
      <c r="N79" s="240"/>
      <c r="O79" s="194">
        <f t="shared" ref="O79:O80" si="12">iferror(R79/P79,"")</f>
        <v>0.04511111111</v>
      </c>
      <c r="P79" s="134">
        <v>4500.0</v>
      </c>
      <c r="Q79" s="134"/>
      <c r="R79" s="134">
        <v>203.0</v>
      </c>
      <c r="S79" s="134"/>
      <c r="T79" s="134">
        <v>928.0</v>
      </c>
      <c r="U79" s="134">
        <v>15.0</v>
      </c>
      <c r="V79" s="134">
        <v>28.0</v>
      </c>
      <c r="W79" s="134">
        <v>891.0</v>
      </c>
      <c r="X79" s="193" t="s">
        <v>386</v>
      </c>
      <c r="Y79" s="195">
        <v>0.077</v>
      </c>
      <c r="Z79" s="134"/>
      <c r="AA79" s="192">
        <f>10+113</f>
        <v>123</v>
      </c>
      <c r="AB79" s="192"/>
      <c r="AC79" s="192">
        <v>1328.0</v>
      </c>
      <c r="AD79" s="192">
        <v>820.0</v>
      </c>
      <c r="AE79" s="192"/>
      <c r="AF79" s="192">
        <v>60.0</v>
      </c>
      <c r="AG79" s="192"/>
      <c r="AH79" s="192">
        <f>9+95</f>
        <v>104</v>
      </c>
    </row>
    <row r="80">
      <c r="A80" s="197">
        <v>48.0</v>
      </c>
      <c r="B80" s="198" t="str">
        <f t="array" ref="B80">IFerror(INDEX(Papers!D$2:D$998,MATCH($A80, Papers!$A$2:$A$998,0)),"")</f>
        <v>Eleanora Dal Grande, Catherine Chittleborough, Stefano Campostrini, Maureen Dollard, and Anne Taylor</v>
      </c>
      <c r="C80" s="53">
        <f t="array" ref="C80">IFerror(INDEX(Papers!F$2:F$998,MATCH($A80, Papers!$A$2:$A$998,0)),"")</f>
        <v>2016</v>
      </c>
      <c r="D80" s="198" t="str">
        <f t="array" ref="D80">IFerror(INDEX(Papers!C$2:C$998,MATCH($A80, Papers!$A$2:$A$998,0)),"")</f>
        <v>Pre-Survey Text Messages (SMS) Improve Participation Rate in an Australian Mobile Telephone Survey: An Experimental Study.</v>
      </c>
      <c r="E80" s="53">
        <f t="array" ref="E80">IFerror(INDEX(Papers!G$2:G$998,MATCH($A80, Papers!$A$2:$A$998,0)),"")</f>
        <v>2014</v>
      </c>
      <c r="F80" s="69" t="s">
        <v>261</v>
      </c>
      <c r="G80" s="69" t="s">
        <v>9</v>
      </c>
      <c r="H80" s="69" t="s">
        <v>293</v>
      </c>
      <c r="I80" s="66">
        <v>0.0</v>
      </c>
      <c r="J80" s="53"/>
      <c r="K80" s="198" t="s">
        <v>387</v>
      </c>
      <c r="L80" s="209"/>
      <c r="M80" s="53"/>
      <c r="N80" s="241"/>
      <c r="O80" s="210">
        <f t="shared" si="12"/>
        <v>0.07044444444</v>
      </c>
      <c r="P80" s="140">
        <v>4500.0</v>
      </c>
      <c r="Q80" s="140"/>
      <c r="R80" s="140">
        <v>317.0</v>
      </c>
      <c r="S80" s="140"/>
      <c r="T80" s="140">
        <v>685.0</v>
      </c>
      <c r="U80" s="140">
        <v>15.0</v>
      </c>
      <c r="V80" s="140">
        <v>11.0</v>
      </c>
      <c r="W80" s="140">
        <v>864.0</v>
      </c>
      <c r="X80" s="209" t="s">
        <v>386</v>
      </c>
      <c r="Y80" s="203">
        <v>0.124</v>
      </c>
      <c r="Z80" s="140"/>
      <c r="AA80" s="197">
        <f>9+84</f>
        <v>93</v>
      </c>
      <c r="AB80" s="197"/>
      <c r="AC80" s="197">
        <v>1445.0</v>
      </c>
      <c r="AD80" s="197">
        <v>918.0</v>
      </c>
      <c r="AE80" s="197"/>
      <c r="AF80" s="197">
        <v>42.0</v>
      </c>
      <c r="AG80" s="197"/>
      <c r="AH80" s="197">
        <f>14+96</f>
        <v>110</v>
      </c>
    </row>
    <row r="81">
      <c r="A81" s="192">
        <v>49.0</v>
      </c>
      <c r="B81" s="86" t="str">
        <f t="array" ref="B81">IFerror(INDEX(Papers!D$2:D$998,MATCH($A81, Papers!$A$2:$A$998,0)),"")</f>
        <v>Ashley Amaya, Charles Lau, Yaa Owusu-Amoah &amp; Jocelyn Light</v>
      </c>
      <c r="C81" s="59">
        <f t="array" ref="C81">IFerror(INDEX(Papers!F$2:F$998,MATCH($A81, Papers!$A$2:$A$998,0)),"")</f>
        <v>2018</v>
      </c>
      <c r="D81" s="86" t="str">
        <f t="array" ref="D81">IFerror(INDEX(Papers!C$2:C$998,MATCH($A81, Papers!$A$2:$A$998,0)),"")</f>
        <v>Evaluation of Gaining Cooperation Methods for IVR Surveys in Low- and Middle-income Countries</v>
      </c>
      <c r="E81" s="59">
        <f t="array" ref="E81">IFerror(INDEX(Papers!G$2:G$998,MATCH($A81, Papers!$A$2:$A$998,0)),"")</f>
        <v>2015</v>
      </c>
      <c r="F81" s="67" t="s">
        <v>243</v>
      </c>
      <c r="G81" s="67" t="s">
        <v>11</v>
      </c>
      <c r="H81" s="67" t="s">
        <v>293</v>
      </c>
      <c r="I81" s="68">
        <v>0.0</v>
      </c>
      <c r="J81" s="59"/>
      <c r="K81" s="86" t="s">
        <v>388</v>
      </c>
      <c r="L81" s="207"/>
      <c r="M81" s="59"/>
      <c r="N81" s="194"/>
      <c r="O81" s="194"/>
      <c r="P81" s="134">
        <v>6816.0</v>
      </c>
      <c r="Q81" s="134"/>
      <c r="R81" s="134"/>
      <c r="S81" s="134"/>
      <c r="T81" s="134"/>
      <c r="U81" s="134"/>
      <c r="V81" s="134"/>
      <c r="W81" s="134"/>
      <c r="X81" s="193" t="s">
        <v>348</v>
      </c>
      <c r="Y81" s="195">
        <v>0.715</v>
      </c>
      <c r="Z81" s="196"/>
      <c r="AA81" s="192"/>
      <c r="AB81" s="192"/>
      <c r="AC81" s="192"/>
      <c r="AD81" s="192"/>
      <c r="AE81" s="192"/>
      <c r="AF81" s="192"/>
      <c r="AG81" s="192"/>
      <c r="AH81" s="192"/>
    </row>
    <row r="82">
      <c r="A82" s="197">
        <v>49.0</v>
      </c>
      <c r="B82" s="198" t="str">
        <f t="array" ref="B82">IFerror(INDEX(Papers!D$2:D$998,MATCH($A82, Papers!$A$2:$A$998,0)),"")</f>
        <v>Ashley Amaya, Charles Lau, Yaa Owusu-Amoah &amp; Jocelyn Light</v>
      </c>
      <c r="C82" s="53">
        <f t="array" ref="C82">IFerror(INDEX(Papers!F$2:F$998,MATCH($A82, Papers!$A$2:$A$998,0)),"")</f>
        <v>2018</v>
      </c>
      <c r="D82" s="198" t="str">
        <f t="array" ref="D82">IFerror(INDEX(Papers!C$2:C$998,MATCH($A82, Papers!$A$2:$A$998,0)),"")</f>
        <v>Evaluation of Gaining Cooperation Methods for IVR Surveys in Low- and Middle-income Countries</v>
      </c>
      <c r="E82" s="53">
        <v>2015.0</v>
      </c>
      <c r="F82" s="69" t="s">
        <v>243</v>
      </c>
      <c r="G82" s="69" t="s">
        <v>11</v>
      </c>
      <c r="H82" s="69" t="s">
        <v>293</v>
      </c>
      <c r="I82" s="66">
        <v>0.0</v>
      </c>
      <c r="J82" s="53"/>
      <c r="K82" s="198" t="s">
        <v>389</v>
      </c>
      <c r="L82" s="201"/>
      <c r="M82" s="53"/>
      <c r="N82" s="202"/>
      <c r="O82" s="210"/>
      <c r="P82" s="140">
        <v>6808.0</v>
      </c>
      <c r="Q82" s="140"/>
      <c r="R82" s="140"/>
      <c r="S82" s="140"/>
      <c r="T82" s="140"/>
      <c r="U82" s="140"/>
      <c r="V82" s="140"/>
      <c r="W82" s="140"/>
      <c r="X82" s="209" t="s">
        <v>348</v>
      </c>
      <c r="Y82" s="210">
        <v>0.696</v>
      </c>
      <c r="Z82" s="204"/>
      <c r="AA82" s="197"/>
      <c r="AB82" s="197"/>
      <c r="AC82" s="197"/>
      <c r="AD82" s="197"/>
      <c r="AE82" s="197"/>
      <c r="AF82" s="197"/>
      <c r="AG82" s="197"/>
      <c r="AH82" s="197"/>
    </row>
    <row r="83">
      <c r="A83" s="192">
        <v>49.0</v>
      </c>
      <c r="B83" s="86" t="str">
        <f t="array" ref="B83">IFerror(INDEX(Papers!D$2:D$998,MATCH($A83, Papers!$A$2:$A$998,0)),"")</f>
        <v>Ashley Amaya, Charles Lau, Yaa Owusu-Amoah &amp; Jocelyn Light</v>
      </c>
      <c r="C83" s="59">
        <f t="array" ref="C83">IFerror(INDEX(Papers!F$2:F$998,MATCH($A83, Papers!$A$2:$A$998,0)),"")</f>
        <v>2018</v>
      </c>
      <c r="D83" s="86" t="str">
        <f t="array" ref="D83">IFerror(INDEX(Papers!C$2:C$998,MATCH($A83, Papers!$A$2:$A$998,0)),"")</f>
        <v>Evaluation of Gaining Cooperation Methods for IVR Surveys in Low- and Middle-income Countries</v>
      </c>
      <c r="E83" s="59">
        <v>2015.0</v>
      </c>
      <c r="F83" s="67" t="s">
        <v>243</v>
      </c>
      <c r="G83" s="67" t="s">
        <v>11</v>
      </c>
      <c r="H83" s="67" t="s">
        <v>293</v>
      </c>
      <c r="I83" s="68">
        <v>0.0</v>
      </c>
      <c r="J83" s="59"/>
      <c r="K83" s="86" t="s">
        <v>390</v>
      </c>
      <c r="L83" s="207"/>
      <c r="M83" s="59"/>
      <c r="N83" s="194"/>
      <c r="O83" s="194"/>
      <c r="P83" s="134">
        <v>6774.0</v>
      </c>
      <c r="Q83" s="134"/>
      <c r="R83" s="134"/>
      <c r="S83" s="134"/>
      <c r="T83" s="134"/>
      <c r="U83" s="134"/>
      <c r="V83" s="134"/>
      <c r="W83" s="134"/>
      <c r="X83" s="193" t="s">
        <v>348</v>
      </c>
      <c r="Y83" s="195">
        <v>0.715</v>
      </c>
      <c r="Z83" s="196"/>
      <c r="AA83" s="192"/>
      <c r="AB83" s="192"/>
      <c r="AC83" s="192"/>
      <c r="AD83" s="192"/>
      <c r="AE83" s="192"/>
      <c r="AF83" s="192"/>
      <c r="AG83" s="192"/>
      <c r="AH83" s="192"/>
    </row>
    <row r="84">
      <c r="A84" s="197">
        <v>49.0</v>
      </c>
      <c r="B84" s="198" t="str">
        <f t="array" ref="B84">IFerror(INDEX(Papers!D$2:D$998,MATCH($A84, Papers!$A$2:$A$998,0)),"")</f>
        <v>Ashley Amaya, Charles Lau, Yaa Owusu-Amoah &amp; Jocelyn Light</v>
      </c>
      <c r="C84" s="53">
        <f t="array" ref="C84">IFerror(INDEX(Papers!F$2:F$998,MATCH($A84, Papers!$A$2:$A$998,0)),"")</f>
        <v>2018</v>
      </c>
      <c r="D84" s="198" t="str">
        <f t="array" ref="D84">IFerror(INDEX(Papers!C$2:C$998,MATCH($A84, Papers!$A$2:$A$998,0)),"")</f>
        <v>Evaluation of Gaining Cooperation Methods for IVR Surveys in Low- and Middle-income Countries</v>
      </c>
      <c r="E84" s="53">
        <f t="array" ref="E84">IFerror(INDEX(Papers!G$2:G$998,MATCH($A84, Papers!$A$2:$A$998,0)),"")</f>
        <v>2015</v>
      </c>
      <c r="F84" s="69" t="s">
        <v>243</v>
      </c>
      <c r="G84" s="69" t="s">
        <v>11</v>
      </c>
      <c r="H84" s="69" t="s">
        <v>293</v>
      </c>
      <c r="I84" s="66">
        <v>0.0</v>
      </c>
      <c r="J84" s="66">
        <v>28.0</v>
      </c>
      <c r="K84" s="219" t="s">
        <v>366</v>
      </c>
      <c r="L84" s="209"/>
      <c r="M84" s="66">
        <v>28.0</v>
      </c>
      <c r="N84" s="202"/>
      <c r="O84" s="210">
        <f t="shared" ref="O84:O85" si="13">iferror(R84/P84,"")</f>
        <v>0.096</v>
      </c>
      <c r="P84" s="140">
        <v>70489.0</v>
      </c>
      <c r="Q84" s="221">
        <f>P84*0.161</f>
        <v>11348.729</v>
      </c>
      <c r="R84" s="221">
        <f>P84*0.096</f>
        <v>6766.944</v>
      </c>
      <c r="S84" s="140"/>
      <c r="T84" s="140"/>
      <c r="U84" s="140"/>
      <c r="V84" s="140"/>
      <c r="W84" s="140"/>
      <c r="X84" s="209" t="s">
        <v>348</v>
      </c>
      <c r="Y84" s="254">
        <v>0.096</v>
      </c>
      <c r="Z84" s="204"/>
      <c r="AA84" s="197"/>
      <c r="AB84" s="197"/>
      <c r="AC84" s="197"/>
      <c r="AD84" s="197"/>
      <c r="AE84" s="197"/>
      <c r="AF84" s="197"/>
      <c r="AG84" s="197"/>
      <c r="AH84" s="197"/>
    </row>
    <row r="85">
      <c r="A85" s="192">
        <v>49.0</v>
      </c>
      <c r="B85" s="86" t="str">
        <f t="array" ref="B85">IFerror(INDEX(Papers!D$2:D$998,MATCH($A85, Papers!$A$2:$A$998,0)),"")</f>
        <v>Ashley Amaya, Charles Lau, Yaa Owusu-Amoah &amp; Jocelyn Light</v>
      </c>
      <c r="C85" s="59">
        <f t="array" ref="C85">IFerror(INDEX(Papers!F$2:F$998,MATCH($A85, Papers!$A$2:$A$998,0)),"")</f>
        <v>2018</v>
      </c>
      <c r="D85" s="86" t="str">
        <f t="array" ref="D85">IFerror(INDEX(Papers!C$2:C$998,MATCH($A85, Papers!$A$2:$A$998,0)),"")</f>
        <v>Evaluation of Gaining Cooperation Methods for IVR Surveys in Low- and Middle-income Countries</v>
      </c>
      <c r="E85" s="59">
        <f t="array" ref="E85">IFerror(INDEX(Papers!G$2:G$998,MATCH($A85, Papers!$A$2:$A$998,0)),"")</f>
        <v>2015</v>
      </c>
      <c r="F85" s="67" t="s">
        <v>243</v>
      </c>
      <c r="G85" s="67" t="s">
        <v>11</v>
      </c>
      <c r="H85" s="67" t="s">
        <v>293</v>
      </c>
      <c r="I85" s="68">
        <v>0.0</v>
      </c>
      <c r="J85" s="68">
        <v>28.0</v>
      </c>
      <c r="K85" s="86" t="s">
        <v>387</v>
      </c>
      <c r="L85" s="193"/>
      <c r="M85" s="68">
        <v>28.0</v>
      </c>
      <c r="N85" s="194"/>
      <c r="O85" s="194">
        <f t="shared" si="13"/>
        <v>0.112</v>
      </c>
      <c r="P85" s="134">
        <v>70645.0</v>
      </c>
      <c r="Q85" s="218">
        <f>P85*0.158</f>
        <v>11161.91</v>
      </c>
      <c r="R85" s="218">
        <f>P85*0.112</f>
        <v>7912.24</v>
      </c>
      <c r="S85" s="134"/>
      <c r="T85" s="134"/>
      <c r="U85" s="134"/>
      <c r="V85" s="134"/>
      <c r="W85" s="134"/>
      <c r="X85" s="193" t="s">
        <v>348</v>
      </c>
      <c r="Y85" s="255">
        <v>0.112</v>
      </c>
      <c r="Z85" s="196"/>
      <c r="AA85" s="192"/>
      <c r="AB85" s="192"/>
      <c r="AC85" s="192"/>
      <c r="AD85" s="192"/>
      <c r="AE85" s="192"/>
      <c r="AF85" s="192"/>
      <c r="AG85" s="192"/>
      <c r="AH85" s="192"/>
    </row>
    <row r="86">
      <c r="A86" s="197">
        <v>49.0</v>
      </c>
      <c r="B86" s="198" t="str">
        <f t="array" ref="B86">IFerror(INDEX(Papers!D$2:D$998,MATCH($A86, Papers!$A$2:$A$998,0)),"")</f>
        <v>Ashley Amaya, Charles Lau, Yaa Owusu-Amoah &amp; Jocelyn Light</v>
      </c>
      <c r="C86" s="53">
        <f t="array" ref="C86">IFerror(INDEX(Papers!F$2:F$998,MATCH($A86, Papers!$A$2:$A$998,0)),"")</f>
        <v>2018</v>
      </c>
      <c r="D86" s="198" t="str">
        <f t="array" ref="D86">IFerror(INDEX(Papers!C$2:C$998,MATCH($A86, Papers!$A$2:$A$998,0)),"")</f>
        <v>Evaluation of Gaining Cooperation Methods for IVR Surveys in Low- and Middle-income Countries</v>
      </c>
      <c r="E86" s="53">
        <v>2015.0</v>
      </c>
      <c r="F86" s="69" t="s">
        <v>243</v>
      </c>
      <c r="G86" s="69" t="s">
        <v>11</v>
      </c>
      <c r="H86" s="69" t="s">
        <v>293</v>
      </c>
      <c r="I86" s="66">
        <v>0.0</v>
      </c>
      <c r="J86" s="53"/>
      <c r="K86" s="198" t="s">
        <v>391</v>
      </c>
      <c r="L86" s="201"/>
      <c r="M86" s="53"/>
      <c r="N86" s="202"/>
      <c r="O86" s="210"/>
      <c r="P86" s="140">
        <v>6850.0</v>
      </c>
      <c r="Q86" s="140"/>
      <c r="R86" s="140"/>
      <c r="S86" s="140"/>
      <c r="T86" s="140"/>
      <c r="U86" s="140"/>
      <c r="V86" s="140"/>
      <c r="W86" s="140"/>
      <c r="X86" s="209" t="s">
        <v>348</v>
      </c>
      <c r="Y86" s="203">
        <v>0.697</v>
      </c>
      <c r="Z86" s="204"/>
      <c r="AA86" s="197"/>
      <c r="AB86" s="197"/>
      <c r="AC86" s="197"/>
      <c r="AD86" s="197"/>
      <c r="AE86" s="197"/>
      <c r="AF86" s="197"/>
      <c r="AG86" s="197"/>
      <c r="AH86" s="197"/>
    </row>
    <row r="87" hidden="1">
      <c r="A87" s="192">
        <v>49.0</v>
      </c>
      <c r="B87" s="86" t="str">
        <f t="array" ref="B87">IFerror(INDEX(Papers!D$2:D$998,MATCH($A87, Papers!$A$2:$A$998,0)),"")</f>
        <v>Ashley Amaya, Charles Lau, Yaa Owusu-Amoah &amp; Jocelyn Light</v>
      </c>
      <c r="C87" s="59">
        <f t="array" ref="C87">IFerror(INDEX(Papers!F$2:F$998,MATCH($A87, Papers!$A$2:$A$998,0)),"")</f>
        <v>2018</v>
      </c>
      <c r="D87" s="86" t="str">
        <f t="array" ref="D87">IFerror(INDEX(Papers!C$2:C$998,MATCH($A87, Papers!$A$2:$A$998,0)),"")</f>
        <v>Evaluation of Gaining Cooperation Methods for IVR Surveys in Low- and Middle-income Countries</v>
      </c>
      <c r="E87" s="59">
        <v>2016.0</v>
      </c>
      <c r="F87" s="67" t="s">
        <v>247</v>
      </c>
      <c r="G87" s="67" t="s">
        <v>11</v>
      </c>
      <c r="H87" s="67" t="s">
        <v>300</v>
      </c>
      <c r="I87" s="68">
        <v>0.0</v>
      </c>
      <c r="J87" s="68">
        <v>20.0</v>
      </c>
      <c r="K87" s="216" t="s">
        <v>366</v>
      </c>
      <c r="L87" s="193"/>
      <c r="M87" s="68">
        <v>20.0</v>
      </c>
      <c r="N87" s="194"/>
      <c r="O87" s="208">
        <f t="shared" ref="O87:O90" si="14">iferror(R87/P87,"")</f>
        <v>0.219</v>
      </c>
      <c r="P87" s="134">
        <v>1130.0</v>
      </c>
      <c r="Q87" s="218">
        <f>P87*0.432</f>
        <v>488.16</v>
      </c>
      <c r="R87" s="218">
        <f>P87*0.219</f>
        <v>247.47</v>
      </c>
      <c r="S87" s="134"/>
      <c r="T87" s="134"/>
      <c r="U87" s="134"/>
      <c r="V87" s="134"/>
      <c r="W87" s="134"/>
      <c r="X87" s="193" t="s">
        <v>348</v>
      </c>
      <c r="Y87" s="255">
        <v>0.219</v>
      </c>
      <c r="Z87" s="196"/>
      <c r="AA87" s="192"/>
      <c r="AB87" s="192"/>
      <c r="AC87" s="192"/>
      <c r="AD87" s="192"/>
      <c r="AE87" s="192"/>
      <c r="AF87" s="192"/>
      <c r="AG87" s="192"/>
      <c r="AH87" s="192"/>
    </row>
    <row r="88" hidden="1">
      <c r="A88" s="197">
        <v>49.0</v>
      </c>
      <c r="B88" s="198" t="str">
        <f t="array" ref="B88">IFerror(INDEX(Papers!D$2:D$998,MATCH($A88, Papers!$A$2:$A$998,0)),"")</f>
        <v>Ashley Amaya, Charles Lau, Yaa Owusu-Amoah &amp; Jocelyn Light</v>
      </c>
      <c r="C88" s="53">
        <f t="array" ref="C88">IFerror(INDEX(Papers!F$2:F$998,MATCH($A88, Papers!$A$2:$A$998,0)),"")</f>
        <v>2018</v>
      </c>
      <c r="D88" s="198" t="str">
        <f t="array" ref="D88">IFerror(INDEX(Papers!C$2:C$998,MATCH($A88, Papers!$A$2:$A$998,0)),"")</f>
        <v>Evaluation of Gaining Cooperation Methods for IVR Surveys in Low- and Middle-income Countries</v>
      </c>
      <c r="E88" s="53">
        <v>2016.0</v>
      </c>
      <c r="F88" s="69" t="s">
        <v>247</v>
      </c>
      <c r="G88" s="69" t="s">
        <v>11</v>
      </c>
      <c r="H88" s="69" t="s">
        <v>300</v>
      </c>
      <c r="I88" s="66">
        <v>0.0</v>
      </c>
      <c r="J88" s="66">
        <v>20.0</v>
      </c>
      <c r="K88" s="198" t="s">
        <v>387</v>
      </c>
      <c r="L88" s="209"/>
      <c r="M88" s="66">
        <v>20.0</v>
      </c>
      <c r="N88" s="202"/>
      <c r="O88" s="202">
        <f t="shared" si="14"/>
        <v>0.24</v>
      </c>
      <c r="P88" s="140">
        <v>1111.0</v>
      </c>
      <c r="Q88" s="221">
        <f>P88*0.417</f>
        <v>463.287</v>
      </c>
      <c r="R88" s="221">
        <f>P88*0.24</f>
        <v>266.64</v>
      </c>
      <c r="S88" s="140"/>
      <c r="T88" s="140"/>
      <c r="U88" s="140"/>
      <c r="V88" s="140"/>
      <c r="W88" s="140"/>
      <c r="X88" s="209" t="s">
        <v>348</v>
      </c>
      <c r="Y88" s="254">
        <v>0.24</v>
      </c>
      <c r="Z88" s="204"/>
      <c r="AA88" s="197"/>
      <c r="AB88" s="197"/>
      <c r="AC88" s="197"/>
      <c r="AD88" s="197"/>
      <c r="AE88" s="197"/>
      <c r="AF88" s="197"/>
      <c r="AG88" s="197"/>
      <c r="AH88" s="197"/>
    </row>
    <row r="89" hidden="1">
      <c r="A89" s="192">
        <v>49.0</v>
      </c>
      <c r="B89" s="86" t="str">
        <f t="array" ref="B89">IFerror(INDEX(Papers!D$2:D$998,MATCH($A89, Papers!$A$2:$A$998,0)),"")</f>
        <v>Ashley Amaya, Charles Lau, Yaa Owusu-Amoah &amp; Jocelyn Light</v>
      </c>
      <c r="C89" s="59">
        <f t="array" ref="C89">IFerror(INDEX(Papers!F$2:F$998,MATCH($A89, Papers!$A$2:$A$998,0)),"")</f>
        <v>2018</v>
      </c>
      <c r="D89" s="86" t="str">
        <f t="array" ref="D89">IFerror(INDEX(Papers!C$2:C$998,MATCH($A89, Papers!$A$2:$A$998,0)),"")</f>
        <v>Evaluation of Gaining Cooperation Methods for IVR Surveys in Low- and Middle-income Countries</v>
      </c>
      <c r="E89" s="59">
        <v>2015.0</v>
      </c>
      <c r="F89" s="67" t="s">
        <v>251</v>
      </c>
      <c r="G89" s="67" t="s">
        <v>11</v>
      </c>
      <c r="H89" s="67" t="s">
        <v>300</v>
      </c>
      <c r="I89" s="68">
        <v>0.0</v>
      </c>
      <c r="J89" s="68">
        <v>4.0</v>
      </c>
      <c r="K89" s="216" t="s">
        <v>366</v>
      </c>
      <c r="L89" s="193"/>
      <c r="M89" s="68">
        <v>4.0</v>
      </c>
      <c r="N89" s="194"/>
      <c r="O89" s="208">
        <f t="shared" si="14"/>
        <v>0.12</v>
      </c>
      <c r="P89" s="134">
        <v>5000.0</v>
      </c>
      <c r="Q89" s="218">
        <f>P89*0.167</f>
        <v>835</v>
      </c>
      <c r="R89" s="134">
        <f>P89*0.12</f>
        <v>600</v>
      </c>
      <c r="S89" s="134"/>
      <c r="T89" s="134"/>
      <c r="U89" s="134"/>
      <c r="V89" s="134"/>
      <c r="W89" s="134"/>
      <c r="X89" s="193" t="s">
        <v>348</v>
      </c>
      <c r="Y89" s="255">
        <v>0.12</v>
      </c>
      <c r="Z89" s="196"/>
      <c r="AA89" s="192"/>
      <c r="AB89" s="192"/>
      <c r="AC89" s="192"/>
      <c r="AD89" s="192"/>
      <c r="AE89" s="192"/>
      <c r="AF89" s="192"/>
      <c r="AG89" s="192"/>
      <c r="AH89" s="192"/>
    </row>
    <row r="90" hidden="1">
      <c r="A90" s="197">
        <v>49.0</v>
      </c>
      <c r="B90" s="198" t="str">
        <f t="array" ref="B90">IFerror(INDEX(Papers!D$2:D$998,MATCH($A90, Papers!$A$2:$A$998,0)),"")</f>
        <v>Ashley Amaya, Charles Lau, Yaa Owusu-Amoah &amp; Jocelyn Light</v>
      </c>
      <c r="C90" s="53">
        <f t="array" ref="C90">IFerror(INDEX(Papers!F$2:F$998,MATCH($A90, Papers!$A$2:$A$998,0)),"")</f>
        <v>2018</v>
      </c>
      <c r="D90" s="198" t="str">
        <f t="array" ref="D90">IFerror(INDEX(Papers!C$2:C$998,MATCH($A90, Papers!$A$2:$A$998,0)),"")</f>
        <v>Evaluation of Gaining Cooperation Methods for IVR Surveys in Low- and Middle-income Countries</v>
      </c>
      <c r="E90" s="53">
        <v>2015.0</v>
      </c>
      <c r="F90" s="69" t="s">
        <v>251</v>
      </c>
      <c r="G90" s="69" t="s">
        <v>11</v>
      </c>
      <c r="H90" s="69" t="s">
        <v>300</v>
      </c>
      <c r="I90" s="66">
        <v>0.0</v>
      </c>
      <c r="J90" s="66">
        <v>4.0</v>
      </c>
      <c r="K90" s="198" t="s">
        <v>387</v>
      </c>
      <c r="L90" s="209"/>
      <c r="M90" s="66">
        <v>4.0</v>
      </c>
      <c r="N90" s="202"/>
      <c r="O90" s="202">
        <f t="shared" si="14"/>
        <v>0.144</v>
      </c>
      <c r="P90" s="140">
        <v>5000.0</v>
      </c>
      <c r="Q90" s="221">
        <f>P90*0.235</f>
        <v>1175</v>
      </c>
      <c r="R90" s="140">
        <f>P90*0.144</f>
        <v>720</v>
      </c>
      <c r="S90" s="140"/>
      <c r="T90" s="140"/>
      <c r="U90" s="140"/>
      <c r="V90" s="140"/>
      <c r="W90" s="140"/>
      <c r="X90" s="209" t="s">
        <v>348</v>
      </c>
      <c r="Y90" s="254">
        <v>0.144</v>
      </c>
      <c r="Z90" s="204"/>
      <c r="AA90" s="197"/>
      <c r="AB90" s="197"/>
      <c r="AC90" s="197"/>
      <c r="AD90" s="197"/>
      <c r="AE90" s="197"/>
      <c r="AF90" s="197"/>
      <c r="AG90" s="197"/>
      <c r="AH90" s="197"/>
    </row>
    <row r="91" hidden="1">
      <c r="A91" s="192">
        <v>50.0</v>
      </c>
      <c r="B91" s="86" t="str">
        <f t="array" ref="B91">IFerror(INDEX(Papers!D$2:D$998,MATCH($A91, Papers!$A$2:$A$998,0)),"")</f>
        <v>Brady West, Dirgha Ghimire, and William Axinn</v>
      </c>
      <c r="C91" s="59">
        <f t="array" ref="C91">IFerror(INDEX(Papers!F$2:F$998,MATCH($A91, Papers!$A$2:$A$998,0)),"")</f>
        <v>2015</v>
      </c>
      <c r="D91" s="86" t="str">
        <f t="array" ref="D91">IFerror(INDEX(Papers!C$2:C$998,MATCH($A91, Papers!$A$2:$A$998,0)),"")</f>
        <v>Evaluating a Modular Design Approach to Collecting Survey Data Using Text Messages</v>
      </c>
      <c r="E91" s="59">
        <f t="array" ref="E91">IFerror(INDEX(Papers!G$2:G$998,MATCH($A91, Papers!$A$2:$A$998,0)),"")</f>
        <v>2014</v>
      </c>
      <c r="F91" s="67" t="s">
        <v>392</v>
      </c>
      <c r="G91" s="67" t="s">
        <v>9</v>
      </c>
      <c r="H91" s="67" t="s">
        <v>300</v>
      </c>
      <c r="I91" s="68">
        <v>0.0</v>
      </c>
      <c r="J91" s="68">
        <v>15.0</v>
      </c>
      <c r="K91" s="86"/>
      <c r="L91" s="207"/>
      <c r="M91" s="59"/>
      <c r="N91" s="194"/>
      <c r="O91" s="208"/>
      <c r="P91" s="134"/>
      <c r="Q91" s="134"/>
      <c r="R91" s="134"/>
      <c r="S91" s="134"/>
      <c r="T91" s="134"/>
      <c r="U91" s="134"/>
      <c r="V91" s="134"/>
      <c r="W91" s="134"/>
      <c r="X91" s="207"/>
      <c r="Y91" s="134"/>
      <c r="Z91" s="196"/>
      <c r="AA91" s="192"/>
      <c r="AB91" s="192"/>
      <c r="AC91" s="192"/>
      <c r="AD91" s="192"/>
      <c r="AE91" s="192"/>
      <c r="AF91" s="192"/>
      <c r="AG91" s="192"/>
      <c r="AH91" s="192"/>
    </row>
    <row r="92" hidden="1">
      <c r="A92" s="197">
        <v>50.0</v>
      </c>
      <c r="B92" s="198" t="str">
        <f t="array" ref="B92">IFerror(INDEX(Papers!D$2:D$998,MATCH($A92, Papers!$A$2:$A$998,0)),"")</f>
        <v>Brady West, Dirgha Ghimire, and William Axinn</v>
      </c>
      <c r="C92" s="53">
        <f t="array" ref="C92">IFerror(INDEX(Papers!F$2:F$998,MATCH($A92, Papers!$A$2:$A$998,0)),"")</f>
        <v>2015</v>
      </c>
      <c r="D92" s="198" t="str">
        <f t="array" ref="D92">IFerror(INDEX(Papers!C$2:C$998,MATCH($A92, Papers!$A$2:$A$998,0)),"")</f>
        <v>Evaluating a Modular Design Approach to Collecting Survey Data Using Text Messages</v>
      </c>
      <c r="E92" s="53">
        <f t="array" ref="E92">IFerror(INDEX(Papers!G$2:G$998,MATCH($A92, Papers!$A$2:$A$998,0)),"")</f>
        <v>2014</v>
      </c>
      <c r="F92" s="69" t="s">
        <v>268</v>
      </c>
      <c r="G92" s="69" t="s">
        <v>10</v>
      </c>
      <c r="H92" s="69" t="s">
        <v>300</v>
      </c>
      <c r="I92" s="66">
        <v>0.0</v>
      </c>
      <c r="J92" s="66">
        <v>15.0</v>
      </c>
      <c r="K92" s="198" t="s">
        <v>393</v>
      </c>
      <c r="L92" s="201"/>
      <c r="M92" s="53"/>
      <c r="N92" s="202"/>
      <c r="O92" s="210"/>
      <c r="P92" s="140"/>
      <c r="Q92" s="140"/>
      <c r="R92" s="140"/>
      <c r="S92" s="140"/>
      <c r="T92" s="140"/>
      <c r="U92" s="140"/>
      <c r="V92" s="140"/>
      <c r="W92" s="140"/>
      <c r="X92" s="201"/>
      <c r="Y92" s="140"/>
      <c r="Z92" s="204"/>
      <c r="AA92" s="197"/>
      <c r="AB92" s="197"/>
      <c r="AC92" s="197"/>
      <c r="AD92" s="197"/>
      <c r="AE92" s="197"/>
      <c r="AF92" s="197"/>
      <c r="AG92" s="197"/>
      <c r="AH92" s="197"/>
    </row>
    <row r="93" hidden="1">
      <c r="A93" s="192">
        <v>50.0</v>
      </c>
      <c r="B93" s="86" t="str">
        <f t="array" ref="B93">IFerror(INDEX(Papers!D$2:D$998,MATCH($A93, Papers!$A$2:$A$998,0)),"")</f>
        <v>Brady West, Dirgha Ghimire, and William Axinn</v>
      </c>
      <c r="C93" s="59">
        <f t="array" ref="C93">IFerror(INDEX(Papers!F$2:F$998,MATCH($A93, Papers!$A$2:$A$998,0)),"")</f>
        <v>2015</v>
      </c>
      <c r="D93" s="86" t="str">
        <f t="array" ref="D93">IFerror(INDEX(Papers!C$2:C$998,MATCH($A93, Papers!$A$2:$A$998,0)),"")</f>
        <v>Evaluating a Modular Design Approach to Collecting Survey Data Using Text Messages</v>
      </c>
      <c r="E93" s="59">
        <f t="array" ref="E93">IFerror(INDEX(Papers!G$2:G$998,MATCH($A93, Papers!$A$2:$A$998,0)),"")</f>
        <v>2014</v>
      </c>
      <c r="F93" s="67" t="s">
        <v>268</v>
      </c>
      <c r="G93" s="67" t="s">
        <v>10</v>
      </c>
      <c r="H93" s="67" t="s">
        <v>300</v>
      </c>
      <c r="I93" s="68">
        <v>0.0</v>
      </c>
      <c r="J93" s="68">
        <v>15.0</v>
      </c>
      <c r="K93" s="86"/>
      <c r="L93" s="207"/>
      <c r="M93" s="59"/>
      <c r="N93" s="194"/>
      <c r="O93" s="194"/>
      <c r="P93" s="134"/>
      <c r="Q93" s="134"/>
      <c r="R93" s="134"/>
      <c r="S93" s="134"/>
      <c r="T93" s="134"/>
      <c r="U93" s="134"/>
      <c r="V93" s="134"/>
      <c r="W93" s="134"/>
      <c r="X93" s="207"/>
      <c r="Y93" s="134"/>
      <c r="Z93" s="196"/>
      <c r="AA93" s="192"/>
      <c r="AB93" s="192"/>
      <c r="AC93" s="192"/>
      <c r="AD93" s="192"/>
      <c r="AE93" s="192"/>
      <c r="AF93" s="192"/>
      <c r="AG93" s="192"/>
      <c r="AH93" s="192"/>
    </row>
    <row r="94">
      <c r="A94" s="197">
        <v>51.0</v>
      </c>
      <c r="B94" s="198" t="str">
        <f t="array" ref="B94">IFerror(INDEX(Papers!D$2:D$998,MATCH($A94, Papers!$A$2:$A$998,0)),"")</f>
        <v>Bloomberg Philanthropies Data for Health Initiative: NCD Mobile Phone Survey</v>
      </c>
      <c r="C94" s="53">
        <f t="array" ref="C94">IFerror(INDEX(Papers!F$2:F$998,MATCH($A94, Papers!$A$2:$A$998,0)),"")</f>
        <v>2020</v>
      </c>
      <c r="D94" s="198" t="str">
        <f t="array" ref="D94">IFerror(INDEX(Papers!C$2:C$998,MATCH($A94, Papers!$A$2:$A$998,0)),"")</f>
        <v>Executive Summary: Zambia NCD Mobile Phone Survey 2017</v>
      </c>
      <c r="E94" s="53">
        <f t="array" ref="E94">IFerror(INDEX(Papers!G$2:G$998,MATCH($A94, Papers!$A$2:$A$998,0)),"")</f>
        <v>2017</v>
      </c>
      <c r="F94" s="69" t="s">
        <v>259</v>
      </c>
      <c r="G94" s="69" t="s">
        <v>11</v>
      </c>
      <c r="H94" s="69" t="s">
        <v>293</v>
      </c>
      <c r="I94" s="66">
        <v>0.0</v>
      </c>
      <c r="J94" s="66">
        <v>20.0</v>
      </c>
      <c r="K94" s="219" t="s">
        <v>394</v>
      </c>
      <c r="L94" s="209"/>
      <c r="M94" s="53"/>
      <c r="N94" s="202">
        <f t="shared" ref="N94:N167" si="15">iferror(R94/Q94,"")</f>
        <v>0.1048910023</v>
      </c>
      <c r="O94" s="202">
        <f t="shared" ref="O94:O167" si="16">iferror(R94/P94,"")</f>
        <v>0.01001849159</v>
      </c>
      <c r="P94" s="140">
        <v>339073.0</v>
      </c>
      <c r="Q94" s="140">
        <f t="shared" ref="Q94:Q98" si="17">if(AND(W94&lt;&gt;0,P94&lt;&gt;0),P94-W94,"")</f>
        <v>32386</v>
      </c>
      <c r="R94" s="140">
        <v>3397.0</v>
      </c>
      <c r="S94" s="140">
        <v>2659.0</v>
      </c>
      <c r="T94" s="140">
        <v>7341.0</v>
      </c>
      <c r="U94" s="140">
        <v>450.0</v>
      </c>
      <c r="V94" s="140"/>
      <c r="W94" s="140">
        <v>306687.0</v>
      </c>
      <c r="X94" s="209" t="s">
        <v>348</v>
      </c>
      <c r="Y94" s="203">
        <v>0.0089</v>
      </c>
      <c r="Z94" s="204">
        <v>339073.0</v>
      </c>
      <c r="AA94" s="197"/>
      <c r="AB94" s="197">
        <v>12035.0</v>
      </c>
      <c r="AC94" s="197"/>
      <c r="AD94" s="197">
        <v>1816.0</v>
      </c>
      <c r="AE94" s="197"/>
      <c r="AF94" s="197">
        <v>4688.0</v>
      </c>
      <c r="AG94" s="197"/>
      <c r="AH94" s="197"/>
    </row>
    <row r="95" hidden="1">
      <c r="A95" s="192">
        <v>52.0</v>
      </c>
      <c r="B95" s="86" t="str">
        <f t="array" ref="B95">IFerror(INDEX(Papers!D$2:D$998,MATCH($A95, Papers!$A$2:$A$998,0)),"")</f>
        <v>Elisa Maffioli</v>
      </c>
      <c r="C95" s="59">
        <f t="array" ref="C95">IFerror(INDEX(Papers!F$2:F$998,MATCH($A95, Papers!$A$2:$A$998,0)),"")</f>
        <v>2019</v>
      </c>
      <c r="D95" s="86" t="str">
        <f t="array" ref="D95">IFerror(INDEX(Papers!C$2:C$998,MATCH($A95, Papers!$A$2:$A$998,0)),"")</f>
        <v>Relying Solely On Mobile Phone Technology: Sampling And Gathering Survey Data In Challenging Settings</v>
      </c>
      <c r="E95" s="59">
        <f t="array" ref="E95">IFerror(INDEX(Papers!G$2:G$998,MATCH($A95, Papers!$A$2:$A$998,0)),"")</f>
        <v>2015</v>
      </c>
      <c r="F95" s="67" t="s">
        <v>246</v>
      </c>
      <c r="G95" s="67" t="s">
        <v>9</v>
      </c>
      <c r="H95" s="205" t="s">
        <v>300</v>
      </c>
      <c r="I95" s="68">
        <v>0.0</v>
      </c>
      <c r="J95" s="68">
        <v>100.0</v>
      </c>
      <c r="K95" s="86"/>
      <c r="L95" s="207"/>
      <c r="M95" s="59"/>
      <c r="N95" s="194">
        <f t="shared" si="15"/>
        <v>0.7148253069</v>
      </c>
      <c r="O95" s="194">
        <f t="shared" si="16"/>
        <v>0.600952633</v>
      </c>
      <c r="P95" s="134">
        <v>3779.0</v>
      </c>
      <c r="Q95" s="134">
        <f t="shared" si="17"/>
        <v>3177</v>
      </c>
      <c r="R95" s="134">
        <v>2271.0</v>
      </c>
      <c r="S95" s="134">
        <v>0.0</v>
      </c>
      <c r="T95" s="134">
        <v>113.0</v>
      </c>
      <c r="U95" s="134">
        <v>94.0</v>
      </c>
      <c r="V95" s="134"/>
      <c r="W95" s="134">
        <v>602.0</v>
      </c>
      <c r="X95" s="207" t="s">
        <v>386</v>
      </c>
      <c r="Y95" s="195">
        <v>0.911</v>
      </c>
      <c r="Z95" s="196"/>
      <c r="AA95" s="192"/>
      <c r="AB95" s="192"/>
      <c r="AC95" s="192"/>
      <c r="AD95" s="192">
        <v>50.0</v>
      </c>
      <c r="AE95" s="192"/>
      <c r="AF95" s="192"/>
      <c r="AG95" s="192">
        <v>634.0</v>
      </c>
      <c r="AH95" s="192">
        <v>0.0</v>
      </c>
    </row>
    <row r="96">
      <c r="A96" s="197">
        <v>52.0</v>
      </c>
      <c r="B96" s="198" t="str">
        <f t="array" ref="B96">IFerror(INDEX(Papers!D$2:D$998,MATCH($A96, Papers!$A$2:$A$998,0)),"")</f>
        <v>Elisa Maffioli</v>
      </c>
      <c r="C96" s="53">
        <f t="array" ref="C96">IFerror(INDEX(Papers!F$2:F$998,MATCH($A96, Papers!$A$2:$A$998,0)),"")</f>
        <v>2019</v>
      </c>
      <c r="D96" s="198" t="str">
        <f t="array" ref="D96">IFerror(INDEX(Papers!C$2:C$998,MATCH($A96, Papers!$A$2:$A$998,0)),"")</f>
        <v>Relying Solely On Mobile Phone Technology: Sampling And Gathering Survey Data In Challenging Settings</v>
      </c>
      <c r="E96" s="53">
        <f t="array" ref="E96">IFerror(INDEX(Papers!G$2:G$998,MATCH($A96, Papers!$A$2:$A$998,0)),"")</f>
        <v>2015</v>
      </c>
      <c r="F96" s="69" t="s">
        <v>246</v>
      </c>
      <c r="G96" s="69" t="s">
        <v>11</v>
      </c>
      <c r="H96" s="69" t="s">
        <v>293</v>
      </c>
      <c r="I96" s="66">
        <v>0.0</v>
      </c>
      <c r="J96" s="66">
        <v>3.0</v>
      </c>
      <c r="K96" s="198"/>
      <c r="L96" s="201"/>
      <c r="M96" s="66">
        <v>3.0</v>
      </c>
      <c r="N96" s="202">
        <f t="shared" si="15"/>
        <v>0.1194224002</v>
      </c>
      <c r="O96" s="210">
        <f t="shared" si="16"/>
        <v>0.05940239174</v>
      </c>
      <c r="P96" s="256">
        <v>214823.0</v>
      </c>
      <c r="Q96" s="204">
        <f t="shared" si="17"/>
        <v>106856</v>
      </c>
      <c r="R96" s="140">
        <v>12761.0</v>
      </c>
      <c r="S96" s="140">
        <v>1216.0</v>
      </c>
      <c r="T96" s="140">
        <v>10276.0</v>
      </c>
      <c r="U96" s="140"/>
      <c r="V96" s="140"/>
      <c r="W96" s="140">
        <v>107967.0</v>
      </c>
      <c r="X96" s="201" t="s">
        <v>386</v>
      </c>
      <c r="Y96" s="203">
        <v>0.5197</v>
      </c>
      <c r="Z96" s="204"/>
      <c r="AA96" s="197"/>
      <c r="AB96" s="197">
        <v>302.0</v>
      </c>
      <c r="AC96" s="197"/>
      <c r="AD96" s="197"/>
      <c r="AE96" s="197">
        <v>30021.0</v>
      </c>
      <c r="AF96" s="197"/>
      <c r="AG96" s="197">
        <v>52249.0</v>
      </c>
      <c r="AH96" s="197">
        <v>31.0</v>
      </c>
    </row>
    <row r="97">
      <c r="A97" s="192">
        <v>53.0</v>
      </c>
      <c r="B97" s="86" t="str">
        <f t="array" ref="B97">IFerror(INDEX(Papers!D$2:D$998,MATCH($A97, Papers!$A$2:$A$998,0)),"")</f>
        <v>Daan Velthausz, Rotafina Donco, Hannah Skelly and Marga Eichleay</v>
      </c>
      <c r="C97" s="59">
        <f t="array" ref="C97">IFerror(INDEX(Papers!F$2:F$998,MATCH($A97, Papers!$A$2:$A$998,0)),"")</f>
        <v>2016</v>
      </c>
      <c r="D97" s="86" t="str">
        <f t="array" ref="D97">IFerror(INDEX(Papers!C$2:C$998,MATCH($A97, Papers!$A$2:$A$998,0)),"")</f>
        <v>Mozambique Mobile Access and Usage Study Computer-Assisted Telephone Interview (CATI) Survey Results</v>
      </c>
      <c r="E97" s="59">
        <f t="array" ref="E97">IFerror(INDEX(Papers!G$2:G$998,MATCH($A97, Papers!$A$2:$A$998,0)),"")</f>
        <v>2016</v>
      </c>
      <c r="F97" s="67" t="s">
        <v>267</v>
      </c>
      <c r="G97" s="67" t="s">
        <v>9</v>
      </c>
      <c r="H97" s="86" t="s">
        <v>369</v>
      </c>
      <c r="I97" s="68">
        <v>0.0</v>
      </c>
      <c r="J97" s="59"/>
      <c r="K97" s="86"/>
      <c r="L97" s="193" t="s">
        <v>352</v>
      </c>
      <c r="M97" s="59"/>
      <c r="N97" s="194">
        <f t="shared" si="15"/>
        <v>0.6892406938</v>
      </c>
      <c r="O97" s="208">
        <f t="shared" si="16"/>
        <v>0.2012582826</v>
      </c>
      <c r="P97" s="134">
        <v>14941.0</v>
      </c>
      <c r="Q97" s="211">
        <f t="shared" si="17"/>
        <v>4362.772</v>
      </c>
      <c r="R97" s="134">
        <v>3007.0</v>
      </c>
      <c r="S97" s="134"/>
      <c r="T97" s="218">
        <f>0.02*14941</f>
        <v>298.82</v>
      </c>
      <c r="U97" s="218">
        <f>0.045*14941</f>
        <v>672.345</v>
      </c>
      <c r="V97" s="134"/>
      <c r="W97" s="218">
        <f>0.708*14941</f>
        <v>10578.228</v>
      </c>
      <c r="X97" s="207"/>
      <c r="Y97" s="134"/>
      <c r="Z97" s="134"/>
      <c r="AA97" s="192"/>
      <c r="AB97" s="192"/>
      <c r="AC97" s="192"/>
      <c r="AD97" s="192"/>
      <c r="AE97" s="192"/>
      <c r="AF97" s="243">
        <f>0.026*14941</f>
        <v>388.466</v>
      </c>
      <c r="AG97" s="192"/>
      <c r="AH97" s="192"/>
    </row>
    <row r="98" hidden="1">
      <c r="A98" s="197">
        <v>53.0</v>
      </c>
      <c r="B98" s="198" t="str">
        <f t="array" ref="B98">IFerror(INDEX(Papers!D$2:D$998,MATCH($A98, Papers!$A$2:$A$998,0)),"")</f>
        <v>Daan Velthausz, Rotafina Donco, Hannah Skelly and Marga Eichleay</v>
      </c>
      <c r="C98" s="53">
        <f t="array" ref="C98">IFerror(INDEX(Papers!F$2:F$998,MATCH($A98, Papers!$A$2:$A$998,0)),"")</f>
        <v>2016</v>
      </c>
      <c r="D98" s="198" t="str">
        <f t="array" ref="D98">IFerror(INDEX(Papers!C$2:C$998,MATCH($A98, Papers!$A$2:$A$998,0)),"")</f>
        <v>Mozambique Mobile Access and Usage Study Computer-Assisted Telephone Interview (CATI) Survey Results</v>
      </c>
      <c r="E98" s="53">
        <f t="array" ref="E98">IFerror(INDEX(Papers!G$2:G$998,MATCH($A98, Papers!$A$2:$A$998,0)),"")</f>
        <v>2016</v>
      </c>
      <c r="F98" s="69" t="s">
        <v>267</v>
      </c>
      <c r="G98" s="69" t="s">
        <v>9</v>
      </c>
      <c r="H98" s="198" t="s">
        <v>369</v>
      </c>
      <c r="I98" s="66">
        <v>0.0</v>
      </c>
      <c r="J98" s="53"/>
      <c r="K98" s="198"/>
      <c r="L98" s="209" t="s">
        <v>353</v>
      </c>
      <c r="M98" s="53"/>
      <c r="N98" s="202">
        <f t="shared" si="15"/>
        <v>0.8161727414</v>
      </c>
      <c r="O98" s="202">
        <f t="shared" si="16"/>
        <v>0.4725640173</v>
      </c>
      <c r="P98" s="140">
        <v>3007.0</v>
      </c>
      <c r="Q98" s="213">
        <f t="shared" si="17"/>
        <v>1741.053</v>
      </c>
      <c r="R98" s="140">
        <v>1421.0</v>
      </c>
      <c r="S98" s="140"/>
      <c r="T98" s="213">
        <f>0.031*3007</f>
        <v>93.217</v>
      </c>
      <c r="U98" s="213">
        <f>0.053*3007</f>
        <v>159.371</v>
      </c>
      <c r="V98" s="140"/>
      <c r="W98" s="213">
        <f>0.421*3007</f>
        <v>1265.947</v>
      </c>
      <c r="X98" s="201"/>
      <c r="Y98" s="140"/>
      <c r="Z98" s="140"/>
      <c r="AA98" s="197"/>
      <c r="AB98" s="197"/>
      <c r="AC98" s="197"/>
      <c r="AD98" s="197"/>
      <c r="AE98" s="197"/>
      <c r="AF98" s="214">
        <f>0.022*3007</f>
        <v>66.154</v>
      </c>
      <c r="AG98" s="197"/>
      <c r="AH98" s="197"/>
    </row>
    <row r="99" hidden="1">
      <c r="A99" s="192">
        <v>55.0</v>
      </c>
      <c r="B99" s="86" t="str">
        <f t="array" ref="B99">IFerror(INDEX(Papers!D$2:D$998,MATCH($A99, Papers!$A$2:$A$998,0)),"")</f>
        <v>Mary Janevic, Amparo Aruquipa Yujra, Nicolle Marinec, Juvenal Aguilar, James Aikens, Rosa Tarrazona and John Piette</v>
      </c>
      <c r="C99" s="59">
        <f t="array" ref="C99">IFerror(INDEX(Papers!F$2:F$998,MATCH($A99, Papers!$A$2:$A$998,0)),"")</f>
        <v>2016</v>
      </c>
      <c r="D99" s="86" t="str">
        <f t="array" ref="D99">IFerror(INDEX(Papers!C$2:C$998,MATCH($A99, Papers!$A$2:$A$998,0)),"")</f>
        <v>Feasibility of an interactive voice response system for monitoring depressive symptoms in a lower‑middle income Latin American country</v>
      </c>
      <c r="E99" s="59">
        <f t="array" ref="E99">IFerror(INDEX(Papers!G$2:G$998,MATCH($A99, Papers!$A$2:$A$998,0)),"")</f>
        <v>2014</v>
      </c>
      <c r="F99" s="67" t="s">
        <v>239</v>
      </c>
      <c r="G99" s="67" t="s">
        <v>11</v>
      </c>
      <c r="H99" s="216" t="s">
        <v>347</v>
      </c>
      <c r="I99" s="257">
        <v>0.0</v>
      </c>
      <c r="J99" s="59"/>
      <c r="K99" s="86"/>
      <c r="L99" s="193"/>
      <c r="M99" s="59"/>
      <c r="N99" s="194" t="str">
        <f t="shared" si="15"/>
        <v/>
      </c>
      <c r="O99" s="208" t="str">
        <f t="shared" si="16"/>
        <v/>
      </c>
      <c r="P99" s="134"/>
      <c r="Q99" s="134"/>
      <c r="R99" s="134"/>
      <c r="S99" s="134"/>
      <c r="T99" s="134"/>
      <c r="U99" s="134"/>
      <c r="V99" s="134"/>
      <c r="W99" s="134"/>
      <c r="X99" s="193" t="s">
        <v>348</v>
      </c>
      <c r="Y99" s="258">
        <v>0.54</v>
      </c>
      <c r="Z99" s="134">
        <v>32.0</v>
      </c>
      <c r="AA99" s="192"/>
      <c r="AB99" s="192"/>
      <c r="AC99" s="192"/>
      <c r="AD99" s="192"/>
      <c r="AE99" s="192"/>
      <c r="AF99" s="192"/>
      <c r="AG99" s="192"/>
      <c r="AH99" s="192"/>
    </row>
    <row r="100" hidden="1">
      <c r="A100" s="197">
        <v>56.0</v>
      </c>
      <c r="B100" s="198" t="str">
        <f t="array" ref="B100">IFerror(INDEX(Papers!D$2:D$998,MATCH($A100, Papers!$A$2:$A$998,0)),"")</f>
        <v>Bart Meuleman, Arnim Langer, Annelies Blom</v>
      </c>
      <c r="C100" s="53">
        <f t="array" ref="C100">IFerror(INDEX(Papers!F$2:F$998,MATCH($A100, Papers!$A$2:$A$998,0)),"")</f>
        <v>2018</v>
      </c>
      <c r="D100" s="198" t="str">
        <f t="array" ref="D100">IFerror(INDEX(Papers!C$2:C$998,MATCH($A100, Papers!$A$2:$A$998,0)),"")</f>
        <v>Can Incentive Effects in Web Surveys be Generalized to Non-Western Countries? Conditional and Unconditional Cash Incentives in a Web Survey of Ghanaian University Students</v>
      </c>
      <c r="E100" s="53">
        <f t="array" ref="E100">IFerror(INDEX(Papers!G$2:G$998,MATCH($A100, Papers!$A$2:$A$998,0)),"")</f>
        <v>2014</v>
      </c>
      <c r="F100" s="69" t="s">
        <v>243</v>
      </c>
      <c r="G100" s="69" t="s">
        <v>12</v>
      </c>
      <c r="H100" s="69" t="s">
        <v>300</v>
      </c>
      <c r="I100" s="66">
        <v>0.0</v>
      </c>
      <c r="J100" s="53"/>
      <c r="K100" s="198" t="s">
        <v>395</v>
      </c>
      <c r="L100" s="209"/>
      <c r="M100" s="53"/>
      <c r="N100" s="202">
        <f t="shared" si="15"/>
        <v>0.6563071298</v>
      </c>
      <c r="O100" s="210" t="str">
        <f t="shared" si="16"/>
        <v/>
      </c>
      <c r="P100" s="140"/>
      <c r="Q100" s="140">
        <v>547.0</v>
      </c>
      <c r="R100" s="140">
        <v>359.0</v>
      </c>
      <c r="S100" s="231">
        <v>43.0</v>
      </c>
      <c r="T100" s="140"/>
      <c r="U100" s="140"/>
      <c r="V100" s="140"/>
      <c r="W100" s="140"/>
      <c r="X100" s="209" t="s">
        <v>348</v>
      </c>
      <c r="Y100" s="203">
        <v>0.6563</v>
      </c>
      <c r="Z100" s="140">
        <v>547.0</v>
      </c>
      <c r="AA100" s="197"/>
      <c r="AB100" s="197"/>
      <c r="AC100" s="197"/>
      <c r="AD100" s="197"/>
      <c r="AE100" s="197"/>
      <c r="AF100" s="197"/>
      <c r="AG100" s="197"/>
      <c r="AH100" s="197"/>
    </row>
    <row r="101" hidden="1">
      <c r="A101" s="192">
        <v>56.0</v>
      </c>
      <c r="B101" s="86" t="str">
        <f t="array" ref="B101">IFerror(INDEX(Papers!D$2:D$998,MATCH($A101, Papers!$A$2:$A$998,0)),"")</f>
        <v>Bart Meuleman, Arnim Langer, Annelies Blom</v>
      </c>
      <c r="C101" s="59">
        <f t="array" ref="C101">IFerror(INDEX(Papers!F$2:F$998,MATCH($A101, Papers!$A$2:$A$998,0)),"")</f>
        <v>2018</v>
      </c>
      <c r="D101" s="86" t="str">
        <f t="array" ref="D101">IFerror(INDEX(Papers!C$2:C$998,MATCH($A101, Papers!$A$2:$A$998,0)),"")</f>
        <v>Can Incentive Effects in Web Surveys be Generalized to Non-Western Countries? Conditional and Unconditional Cash Incentives in a Web Survey of Ghanaian University Students</v>
      </c>
      <c r="E101" s="59">
        <f t="array" ref="E101">IFerror(INDEX(Papers!G$2:G$998,MATCH($A101, Papers!$A$2:$A$998,0)),"")</f>
        <v>2014</v>
      </c>
      <c r="F101" s="67" t="s">
        <v>243</v>
      </c>
      <c r="G101" s="67" t="s">
        <v>12</v>
      </c>
      <c r="H101" s="67" t="s">
        <v>300</v>
      </c>
      <c r="I101" s="68">
        <v>0.0</v>
      </c>
      <c r="J101" s="59"/>
      <c r="K101" s="86" t="s">
        <v>396</v>
      </c>
      <c r="L101" s="193"/>
      <c r="M101" s="59"/>
      <c r="N101" s="194">
        <f t="shared" si="15"/>
        <v>0.6447811448</v>
      </c>
      <c r="O101" s="194" t="str">
        <f t="shared" si="16"/>
        <v/>
      </c>
      <c r="P101" s="134"/>
      <c r="Q101" s="134">
        <v>594.0</v>
      </c>
      <c r="R101" s="134">
        <v>383.0</v>
      </c>
      <c r="S101" s="84">
        <v>30.0</v>
      </c>
      <c r="T101" s="134"/>
      <c r="U101" s="134"/>
      <c r="V101" s="134"/>
      <c r="W101" s="134"/>
      <c r="X101" s="193" t="s">
        <v>348</v>
      </c>
      <c r="Y101" s="195">
        <v>0.6448</v>
      </c>
      <c r="Z101" s="134">
        <v>594.0</v>
      </c>
      <c r="AA101" s="192"/>
      <c r="AB101" s="192"/>
      <c r="AC101" s="192"/>
      <c r="AD101" s="192"/>
      <c r="AE101" s="192"/>
      <c r="AF101" s="192"/>
      <c r="AG101" s="192"/>
      <c r="AH101" s="192"/>
    </row>
    <row r="102" hidden="1">
      <c r="A102" s="197">
        <v>56.0</v>
      </c>
      <c r="B102" s="198" t="str">
        <f t="array" ref="B102">IFerror(INDEX(Papers!D$2:D$998,MATCH($A102, Papers!$A$2:$A$998,0)),"")</f>
        <v>Bart Meuleman, Arnim Langer, Annelies Blom</v>
      </c>
      <c r="C102" s="53">
        <f t="array" ref="C102">IFerror(INDEX(Papers!F$2:F$998,MATCH($A102, Papers!$A$2:$A$998,0)),"")</f>
        <v>2018</v>
      </c>
      <c r="D102" s="198" t="str">
        <f t="array" ref="D102">IFerror(INDEX(Papers!C$2:C$998,MATCH($A102, Papers!$A$2:$A$998,0)),"")</f>
        <v>Can Incentive Effects in Web Surveys be Generalized to Non-Western Countries? Conditional and Unconditional Cash Incentives in a Web Survey of Ghanaian University Students</v>
      </c>
      <c r="E102" s="53">
        <f t="array" ref="E102">IFerror(INDEX(Papers!G$2:G$998,MATCH($A102, Papers!$A$2:$A$998,0)),"")</f>
        <v>2014</v>
      </c>
      <c r="F102" s="69" t="s">
        <v>243</v>
      </c>
      <c r="G102" s="69" t="s">
        <v>12</v>
      </c>
      <c r="H102" s="69" t="s">
        <v>300</v>
      </c>
      <c r="I102" s="66">
        <v>0.0</v>
      </c>
      <c r="J102" s="53"/>
      <c r="K102" s="198" t="s">
        <v>397</v>
      </c>
      <c r="L102" s="209"/>
      <c r="M102" s="53"/>
      <c r="N102" s="202">
        <f t="shared" si="15"/>
        <v>0.5623742455</v>
      </c>
      <c r="O102" s="202" t="str">
        <f t="shared" si="16"/>
        <v/>
      </c>
      <c r="P102" s="140"/>
      <c r="Q102" s="140">
        <v>994.0</v>
      </c>
      <c r="R102" s="140">
        <v>559.0</v>
      </c>
      <c r="S102" s="231">
        <v>87.0</v>
      </c>
      <c r="T102" s="140"/>
      <c r="U102" s="140"/>
      <c r="V102" s="140"/>
      <c r="W102" s="140"/>
      <c r="X102" s="209" t="s">
        <v>348</v>
      </c>
      <c r="Y102" s="203">
        <v>0.5624</v>
      </c>
      <c r="Z102" s="140">
        <v>994.0</v>
      </c>
      <c r="AA102" s="197"/>
      <c r="AB102" s="197"/>
      <c r="AC102" s="197"/>
      <c r="AD102" s="197"/>
      <c r="AE102" s="197"/>
      <c r="AF102" s="197"/>
      <c r="AG102" s="197"/>
      <c r="AH102" s="197"/>
    </row>
    <row r="103" hidden="1">
      <c r="A103" s="192">
        <v>56.0</v>
      </c>
      <c r="B103" s="86" t="str">
        <f t="array" ref="B103">IFerror(INDEX(Papers!D$2:D$998,MATCH($A103, Papers!$A$2:$A$998,0)),"")</f>
        <v>Bart Meuleman, Arnim Langer, Annelies Blom</v>
      </c>
      <c r="C103" s="59">
        <f t="array" ref="C103">IFerror(INDEX(Papers!F$2:F$998,MATCH($A103, Papers!$A$2:$A$998,0)),"")</f>
        <v>2018</v>
      </c>
      <c r="D103" s="86" t="str">
        <f t="array" ref="D103">IFerror(INDEX(Papers!C$2:C$998,MATCH($A103, Papers!$A$2:$A$998,0)),"")</f>
        <v>Can Incentive Effects in Web Surveys be Generalized to Non-Western Countries? Conditional and Unconditional Cash Incentives in a Web Survey of Ghanaian University Students</v>
      </c>
      <c r="E103" s="59">
        <f t="array" ref="E103">IFerror(INDEX(Papers!G$2:G$998,MATCH($A103, Papers!$A$2:$A$998,0)),"")</f>
        <v>2014</v>
      </c>
      <c r="F103" s="67" t="s">
        <v>243</v>
      </c>
      <c r="G103" s="67" t="s">
        <v>12</v>
      </c>
      <c r="H103" s="67" t="s">
        <v>300</v>
      </c>
      <c r="I103" s="68">
        <v>0.0</v>
      </c>
      <c r="J103" s="59"/>
      <c r="K103" s="86" t="s">
        <v>398</v>
      </c>
      <c r="L103" s="193"/>
      <c r="M103" s="59"/>
      <c r="N103" s="194">
        <f t="shared" si="15"/>
        <v>0.5891181989</v>
      </c>
      <c r="O103" s="194" t="str">
        <f t="shared" si="16"/>
        <v/>
      </c>
      <c r="P103" s="134"/>
      <c r="Q103" s="134">
        <v>533.0</v>
      </c>
      <c r="R103" s="134">
        <v>314.0</v>
      </c>
      <c r="S103" s="84">
        <v>23.0</v>
      </c>
      <c r="T103" s="134"/>
      <c r="U103" s="134"/>
      <c r="V103" s="134"/>
      <c r="W103" s="134"/>
      <c r="X103" s="193" t="s">
        <v>348</v>
      </c>
      <c r="Y103" s="195">
        <v>0.5891</v>
      </c>
      <c r="Z103" s="134">
        <v>533.0</v>
      </c>
      <c r="AA103" s="192"/>
      <c r="AB103" s="192"/>
      <c r="AC103" s="192"/>
      <c r="AD103" s="192"/>
      <c r="AE103" s="192"/>
      <c r="AF103" s="192"/>
      <c r="AG103" s="192"/>
      <c r="AH103" s="192"/>
    </row>
    <row r="104" hidden="1">
      <c r="A104" s="197">
        <v>56.0</v>
      </c>
      <c r="B104" s="198" t="str">
        <f t="array" ref="B104">IFerror(INDEX(Papers!D$2:D$998,MATCH($A104, Papers!$A$2:$A$998,0)),"")</f>
        <v>Bart Meuleman, Arnim Langer, Annelies Blom</v>
      </c>
      <c r="C104" s="53">
        <f t="array" ref="C104">IFerror(INDEX(Papers!F$2:F$998,MATCH($A104, Papers!$A$2:$A$998,0)),"")</f>
        <v>2018</v>
      </c>
      <c r="D104" s="198" t="str">
        <f t="array" ref="D104">IFerror(INDEX(Papers!C$2:C$998,MATCH($A104, Papers!$A$2:$A$998,0)),"")</f>
        <v>Can Incentive Effects in Web Surveys be Generalized to Non-Western Countries? Conditional and Unconditional Cash Incentives in a Web Survey of Ghanaian University Students</v>
      </c>
      <c r="E104" s="53">
        <f t="array" ref="E104">IFerror(INDEX(Papers!G$2:G$998,MATCH($A104, Papers!$A$2:$A$998,0)),"")</f>
        <v>2014</v>
      </c>
      <c r="F104" s="69" t="s">
        <v>243</v>
      </c>
      <c r="G104" s="69" t="s">
        <v>12</v>
      </c>
      <c r="H104" s="69" t="s">
        <v>300</v>
      </c>
      <c r="I104" s="66">
        <v>0.0</v>
      </c>
      <c r="J104" s="53"/>
      <c r="K104" s="198" t="s">
        <v>399</v>
      </c>
      <c r="L104" s="209"/>
      <c r="M104" s="53"/>
      <c r="N104" s="202">
        <f t="shared" si="15"/>
        <v>0.646090535</v>
      </c>
      <c r="O104" s="210" t="str">
        <f t="shared" si="16"/>
        <v/>
      </c>
      <c r="P104" s="140"/>
      <c r="Q104" s="140">
        <v>486.0</v>
      </c>
      <c r="R104" s="140">
        <v>314.0</v>
      </c>
      <c r="S104" s="231">
        <v>18.0</v>
      </c>
      <c r="T104" s="140"/>
      <c r="U104" s="140"/>
      <c r="V104" s="140"/>
      <c r="W104" s="140"/>
      <c r="X104" s="209" t="s">
        <v>348</v>
      </c>
      <c r="Y104" s="203">
        <v>0.6461</v>
      </c>
      <c r="Z104" s="140">
        <v>486.0</v>
      </c>
      <c r="AA104" s="197"/>
      <c r="AB104" s="197"/>
      <c r="AC104" s="197"/>
      <c r="AD104" s="197"/>
      <c r="AE104" s="197"/>
      <c r="AF104" s="197"/>
      <c r="AG104" s="197"/>
      <c r="AH104" s="197"/>
    </row>
    <row r="105" hidden="1">
      <c r="A105" s="192">
        <v>56.0</v>
      </c>
      <c r="B105" s="86" t="str">
        <f t="array" ref="B105">IFerror(INDEX(Papers!D$2:D$998,MATCH($A105, Papers!$A$2:$A$998,0)),"")</f>
        <v>Bart Meuleman, Arnim Langer, Annelies Blom</v>
      </c>
      <c r="C105" s="59">
        <f t="array" ref="C105">IFerror(INDEX(Papers!F$2:F$998,MATCH($A105, Papers!$A$2:$A$998,0)),"")</f>
        <v>2018</v>
      </c>
      <c r="D105" s="86" t="str">
        <f t="array" ref="D105">IFerror(INDEX(Papers!C$2:C$998,MATCH($A105, Papers!$A$2:$A$998,0)),"")</f>
        <v>Can Incentive Effects in Web Surveys be Generalized to Non-Western Countries? Conditional and Unconditional Cash Incentives in a Web Survey of Ghanaian University Students</v>
      </c>
      <c r="E105" s="59">
        <f t="array" ref="E105">IFerror(INDEX(Papers!G$2:G$998,MATCH($A105, Papers!$A$2:$A$998,0)),"")</f>
        <v>2014</v>
      </c>
      <c r="F105" s="67" t="s">
        <v>243</v>
      </c>
      <c r="G105" s="67" t="s">
        <v>12</v>
      </c>
      <c r="H105" s="67" t="s">
        <v>300</v>
      </c>
      <c r="I105" s="68">
        <v>0.0</v>
      </c>
      <c r="J105" s="59"/>
      <c r="K105" s="86" t="s">
        <v>400</v>
      </c>
      <c r="L105" s="193"/>
      <c r="M105" s="59"/>
      <c r="N105" s="194">
        <f t="shared" si="15"/>
        <v>0.5264385692</v>
      </c>
      <c r="O105" s="208" t="str">
        <f t="shared" si="16"/>
        <v/>
      </c>
      <c r="P105" s="134"/>
      <c r="Q105" s="134">
        <v>1286.0</v>
      </c>
      <c r="R105" s="134">
        <v>677.0</v>
      </c>
      <c r="S105" s="84">
        <v>85.0</v>
      </c>
      <c r="T105" s="134"/>
      <c r="U105" s="134"/>
      <c r="V105" s="134"/>
      <c r="W105" s="134"/>
      <c r="X105" s="193" t="s">
        <v>348</v>
      </c>
      <c r="Y105" s="195">
        <v>0.5264</v>
      </c>
      <c r="Z105" s="134">
        <v>1286.0</v>
      </c>
      <c r="AA105" s="192"/>
      <c r="AB105" s="192"/>
      <c r="AC105" s="192"/>
      <c r="AD105" s="192"/>
      <c r="AE105" s="192"/>
      <c r="AF105" s="192"/>
      <c r="AG105" s="192"/>
      <c r="AH105" s="192"/>
    </row>
    <row r="106" hidden="1">
      <c r="A106" s="197">
        <v>57.0</v>
      </c>
      <c r="B106" s="198" t="str">
        <f t="array" ref="B106">IFerror(INDEX(Papers!D$2:D$998,MATCH($A106, Papers!$A$2:$A$998,0)),"")</f>
        <v>Nii Heward-Mills and Yaa Ama Owusu-Amoah</v>
      </c>
      <c r="C106" s="53">
        <f t="array" ref="C106">IFerror(INDEX(Papers!F$2:F$998,MATCH($A106, Papers!$A$2:$A$998,0)),"")</f>
        <v>2018</v>
      </c>
      <c r="D106" s="198" t="str">
        <f t="array" ref="D106">IFerror(INDEX(Papers!C$2:C$998,MATCH($A106, Papers!$A$2:$A$998,0)),"")</f>
        <v>USAID Communicate for Health Mobile Cohort Study - Follow-up Survey 2018</v>
      </c>
      <c r="E106" s="53">
        <f t="array" ref="E106">IFerror(INDEX(Papers!G$2:G$998,MATCH($A106, Papers!$A$2:$A$998,0)),"")</f>
        <v>2017</v>
      </c>
      <c r="F106" s="69" t="s">
        <v>243</v>
      </c>
      <c r="G106" s="69" t="s">
        <v>11</v>
      </c>
      <c r="H106" s="199" t="s">
        <v>300</v>
      </c>
      <c r="I106" s="66">
        <v>0.0</v>
      </c>
      <c r="J106" s="66">
        <v>37.0</v>
      </c>
      <c r="K106" s="219" t="s">
        <v>401</v>
      </c>
      <c r="L106" s="201"/>
      <c r="M106" s="66">
        <v>30.0</v>
      </c>
      <c r="N106" s="202" t="str">
        <f t="shared" si="15"/>
        <v/>
      </c>
      <c r="O106" s="202">
        <f t="shared" si="16"/>
        <v>0.3142222222</v>
      </c>
      <c r="P106" s="140">
        <v>2250.0</v>
      </c>
      <c r="Q106" s="140" t="str">
        <f>if(AND(W106&lt;&gt;0,P106&lt;&gt;0),P106-W106,"")</f>
        <v/>
      </c>
      <c r="R106" s="140">
        <v>707.0</v>
      </c>
      <c r="S106" s="140">
        <v>210.0</v>
      </c>
      <c r="T106" s="140">
        <f>303+147+107+229+48</f>
        <v>834</v>
      </c>
      <c r="U106" s="140"/>
      <c r="V106" s="140">
        <v>499.0</v>
      </c>
      <c r="W106" s="140"/>
      <c r="X106" s="201"/>
      <c r="Y106" s="140"/>
      <c r="Z106" s="140"/>
      <c r="AA106" s="197"/>
      <c r="AB106" s="197"/>
      <c r="AC106" s="197"/>
      <c r="AD106" s="197"/>
      <c r="AE106" s="197"/>
      <c r="AF106" s="197"/>
      <c r="AG106" s="197"/>
      <c r="AH106" s="197"/>
    </row>
    <row r="107" hidden="1">
      <c r="A107" s="192">
        <v>58.0</v>
      </c>
      <c r="B107" s="86" t="str">
        <f t="array" ref="B107">IFerror(INDEX(Papers!D$2:D$998,MATCH($A107, Papers!$A$2:$A$998,0)),"")</f>
        <v>Anooj Pattnaik, Diwakar Mohan, Sam Chipokosa, Sautso Wachepa, Hans Katengeza, Amos Misomali &amp; Melissa A. Marx </v>
      </c>
      <c r="C107" s="59">
        <f t="array" ref="C107">IFerror(INDEX(Papers!F$2:F$998,MATCH($A107, Papers!$A$2:$A$998,0)),"")</f>
        <v>2020</v>
      </c>
      <c r="D107" s="86" t="str">
        <f t="array" ref="D107">IFerror(INDEX(Papers!C$2:C$998,MATCH($A107, Papers!$A$2:$A$998,0)),"")</f>
        <v>Testing the validity and feasibility of using a mobile phone-based method to assess the strength of implementation of family planning programs in Malawi</v>
      </c>
      <c r="E107" s="59">
        <f t="array" ref="E107">IFerror(INDEX(Papers!G$2:G$998,MATCH($A107, Papers!$A$2:$A$998,0)),"")</f>
        <v>2017</v>
      </c>
      <c r="F107" s="67" t="s">
        <v>247</v>
      </c>
      <c r="G107" s="67" t="s">
        <v>9</v>
      </c>
      <c r="H107" s="67" t="s">
        <v>300</v>
      </c>
      <c r="I107" s="257">
        <v>0.0</v>
      </c>
      <c r="J107" s="68">
        <v>7.0</v>
      </c>
      <c r="K107" s="86" t="s">
        <v>402</v>
      </c>
      <c r="L107" s="207"/>
      <c r="M107" s="59"/>
      <c r="N107" s="194" t="str">
        <f t="shared" si="15"/>
        <v/>
      </c>
      <c r="O107" s="208" t="str">
        <f t="shared" si="16"/>
        <v/>
      </c>
      <c r="P107" s="134"/>
      <c r="Q107" s="134"/>
      <c r="R107" s="134"/>
      <c r="S107" s="134"/>
      <c r="T107" s="134"/>
      <c r="U107" s="134"/>
      <c r="V107" s="134"/>
      <c r="W107" s="134"/>
      <c r="X107" s="193" t="s">
        <v>403</v>
      </c>
      <c r="Y107" s="208">
        <v>0.9741379310344828</v>
      </c>
      <c r="Z107" s="134">
        <v>116.0</v>
      </c>
      <c r="AA107" s="192"/>
      <c r="AB107" s="192"/>
      <c r="AC107" s="192"/>
      <c r="AD107" s="192"/>
      <c r="AE107" s="192"/>
      <c r="AF107" s="192"/>
      <c r="AG107" s="192"/>
      <c r="AH107" s="192"/>
    </row>
    <row r="108" hidden="1">
      <c r="A108" s="197">
        <v>58.0</v>
      </c>
      <c r="B108" s="198" t="str">
        <f t="array" ref="B108">IFerror(INDEX(Papers!D$2:D$998,MATCH($A108, Papers!$A$2:$A$998,0)),"")</f>
        <v>Anooj Pattnaik, Diwakar Mohan, Sam Chipokosa, Sautso Wachepa, Hans Katengeza, Amos Misomali &amp; Melissa A. Marx </v>
      </c>
      <c r="C108" s="53">
        <f t="array" ref="C108">IFerror(INDEX(Papers!F$2:F$998,MATCH($A108, Papers!$A$2:$A$998,0)),"")</f>
        <v>2020</v>
      </c>
      <c r="D108" s="198" t="str">
        <f t="array" ref="D108">IFerror(INDEX(Papers!C$2:C$998,MATCH($A108, Papers!$A$2:$A$998,0)),"")</f>
        <v>Testing the validity and feasibility of using a mobile phone-based method to assess the strength of implementation of family planning programs in Malawi</v>
      </c>
      <c r="E108" s="53">
        <f t="array" ref="E108">IFerror(INDEX(Papers!G$2:G$998,MATCH($A108, Papers!$A$2:$A$998,0)),"")</f>
        <v>2017</v>
      </c>
      <c r="F108" s="69" t="s">
        <v>247</v>
      </c>
      <c r="G108" s="69" t="s">
        <v>9</v>
      </c>
      <c r="H108" s="69" t="s">
        <v>300</v>
      </c>
      <c r="I108" s="237">
        <v>0.0</v>
      </c>
      <c r="J108" s="66">
        <v>10.0</v>
      </c>
      <c r="K108" s="219" t="s">
        <v>404</v>
      </c>
      <c r="L108" s="201"/>
      <c r="M108" s="53"/>
      <c r="N108" s="202" t="str">
        <f t="shared" si="15"/>
        <v/>
      </c>
      <c r="O108" s="202" t="str">
        <f t="shared" si="16"/>
        <v/>
      </c>
      <c r="P108" s="140"/>
      <c r="Q108" s="140"/>
      <c r="R108" s="140"/>
      <c r="S108" s="140"/>
      <c r="T108" s="140"/>
      <c r="U108" s="140"/>
      <c r="V108" s="140"/>
      <c r="W108" s="140"/>
      <c r="X108" s="209" t="s">
        <v>403</v>
      </c>
      <c r="Y108" s="210">
        <v>0.9600725952813067</v>
      </c>
      <c r="Z108" s="140">
        <v>551.0</v>
      </c>
      <c r="AA108" s="197"/>
      <c r="AB108" s="197"/>
      <c r="AC108" s="197"/>
      <c r="AD108" s="197"/>
      <c r="AE108" s="197"/>
      <c r="AF108" s="197"/>
      <c r="AG108" s="197"/>
      <c r="AH108" s="197"/>
    </row>
    <row r="109" hidden="1">
      <c r="A109" s="192">
        <v>58.0</v>
      </c>
      <c r="B109" s="86" t="str">
        <f t="array" ref="B109">IFerror(INDEX(Papers!D$2:D$998,MATCH($A109, Papers!$A$2:$A$998,0)),"")</f>
        <v>Anooj Pattnaik, Diwakar Mohan, Sam Chipokosa, Sautso Wachepa, Hans Katengeza, Amos Misomali &amp; Melissa A. Marx </v>
      </c>
      <c r="C109" s="59">
        <f t="array" ref="C109">IFerror(INDEX(Papers!F$2:F$998,MATCH($A109, Papers!$A$2:$A$998,0)),"")</f>
        <v>2020</v>
      </c>
      <c r="D109" s="86" t="str">
        <f t="array" ref="D109">IFerror(INDEX(Papers!C$2:C$998,MATCH($A109, Papers!$A$2:$A$998,0)),"")</f>
        <v>Testing the validity and feasibility of using a mobile phone-based method to assess the strength of implementation of family planning programs in Malawi</v>
      </c>
      <c r="E109" s="59">
        <f t="array" ref="E109">IFerror(INDEX(Papers!G$2:G$998,MATCH($A109, Papers!$A$2:$A$998,0)),"")</f>
        <v>2017</v>
      </c>
      <c r="F109" s="67" t="s">
        <v>247</v>
      </c>
      <c r="G109" s="67" t="s">
        <v>9</v>
      </c>
      <c r="H109" s="67" t="s">
        <v>300</v>
      </c>
      <c r="I109" s="257">
        <v>0.0</v>
      </c>
      <c r="J109" s="68">
        <v>15.0</v>
      </c>
      <c r="K109" s="216" t="s">
        <v>405</v>
      </c>
      <c r="L109" s="207"/>
      <c r="M109" s="59"/>
      <c r="N109" s="194" t="str">
        <f t="shared" si="15"/>
        <v/>
      </c>
      <c r="O109" s="208" t="str">
        <f t="shared" si="16"/>
        <v/>
      </c>
      <c r="P109" s="134"/>
      <c r="Q109" s="134"/>
      <c r="R109" s="134"/>
      <c r="S109" s="134"/>
      <c r="T109" s="134"/>
      <c r="U109" s="134"/>
      <c r="V109" s="134"/>
      <c r="W109" s="134"/>
      <c r="X109" s="193" t="s">
        <v>403</v>
      </c>
      <c r="Y109" s="208">
        <v>1.0</v>
      </c>
      <c r="Z109" s="134">
        <v>59.0</v>
      </c>
      <c r="AA109" s="192"/>
      <c r="AB109" s="192"/>
      <c r="AC109" s="192"/>
      <c r="AD109" s="192"/>
      <c r="AE109" s="192"/>
      <c r="AF109" s="192"/>
      <c r="AG109" s="192"/>
      <c r="AH109" s="192"/>
    </row>
    <row r="110" hidden="1">
      <c r="A110" s="197">
        <v>59.0</v>
      </c>
      <c r="B110" s="198" t="str">
        <f t="array" ref="B110">IFerror(INDEX(Papers!D$2:D$998,MATCH($A110, Papers!$A$2:$A$998,0)),"")</f>
        <v>Brian Dillon</v>
      </c>
      <c r="C110" s="53">
        <f t="array" ref="C110">IFerror(INDEX(Papers!F$2:F$998,MATCH($A110, Papers!$A$2:$A$998,0)),"")</f>
        <v>2012</v>
      </c>
      <c r="D110" s="198" t="str">
        <f t="array" ref="D110">IFerror(INDEX(Papers!C$2:C$998,MATCH($A110, Papers!$A$2:$A$998,0)),"")</f>
        <v>Using mobile phones to collect panel data in developing countries</v>
      </c>
      <c r="E110" s="53">
        <f t="array" ref="E110">IFerror(INDEX(Papers!G$2:G$998,MATCH($A110, Papers!$A$2:$A$998,0)),"")</f>
        <v>2009</v>
      </c>
      <c r="F110" s="69" t="s">
        <v>257</v>
      </c>
      <c r="G110" s="69" t="s">
        <v>9</v>
      </c>
      <c r="H110" s="198" t="s">
        <v>347</v>
      </c>
      <c r="I110" s="66">
        <v>1.0</v>
      </c>
      <c r="J110" s="53"/>
      <c r="K110" s="198"/>
      <c r="L110" s="209"/>
      <c r="M110" s="53"/>
      <c r="N110" s="202" t="str">
        <f t="shared" si="15"/>
        <v/>
      </c>
      <c r="O110" s="202" t="str">
        <f t="shared" si="16"/>
        <v/>
      </c>
      <c r="P110" s="140"/>
      <c r="Q110" s="140"/>
      <c r="R110" s="140"/>
      <c r="S110" s="140"/>
      <c r="T110" s="140"/>
      <c r="U110" s="140"/>
      <c r="V110" s="140"/>
      <c r="W110" s="140"/>
      <c r="X110" s="209" t="s">
        <v>348</v>
      </c>
      <c r="Y110" s="203">
        <f>191.2/195</f>
        <v>0.9805128205</v>
      </c>
      <c r="Z110" s="140">
        <f>195*14</f>
        <v>2730</v>
      </c>
      <c r="AA110" s="197"/>
      <c r="AB110" s="197"/>
      <c r="AC110" s="197"/>
      <c r="AD110" s="197"/>
      <c r="AE110" s="197"/>
      <c r="AF110" s="197"/>
      <c r="AG110" s="197"/>
      <c r="AH110" s="197"/>
    </row>
    <row r="111" hidden="1">
      <c r="A111" s="192">
        <v>61.0</v>
      </c>
      <c r="B111" s="86" t="str">
        <f t="array" ref="B111">IFerror(INDEX(Papers!D$2:D$998,MATCH($A111, Papers!$A$2:$A$998,0)),"")</f>
        <v>Amparo Ballivian, Joao Pedro Azevedo, Will Durbin</v>
      </c>
      <c r="C111" s="59">
        <f t="array" ref="C111">IFerror(INDEX(Papers!F$2:F$998,MATCH($A111, Papers!$A$2:$A$998,0)),"")</f>
        <v>2015</v>
      </c>
      <c r="D111" s="86" t="str">
        <f t="array" ref="D111">IFerror(INDEX(Papers!C$2:C$998,MATCH($A111, Papers!$A$2:$A$998,0)),"")</f>
        <v>Using mobile phones for high-frequency data collection</v>
      </c>
      <c r="E111" s="59">
        <f t="array" ref="E111">IFerror(INDEX(Papers!G$2:G$998,MATCH($A111, Papers!$A$2:$A$998,0)),"")</f>
        <v>2012</v>
      </c>
      <c r="F111" s="67" t="s">
        <v>253</v>
      </c>
      <c r="G111" s="67" t="s">
        <v>9</v>
      </c>
      <c r="H111" s="86" t="s">
        <v>347</v>
      </c>
      <c r="I111" s="68">
        <v>1.0</v>
      </c>
      <c r="J111" s="68">
        <v>10.0</v>
      </c>
      <c r="K111" s="216" t="s">
        <v>406</v>
      </c>
      <c r="L111" s="193" t="s">
        <v>352</v>
      </c>
      <c r="M111" s="59"/>
      <c r="N111" s="194" t="str">
        <f t="shared" si="15"/>
        <v/>
      </c>
      <c r="O111" s="194">
        <f t="shared" si="16"/>
        <v>0.5491803279</v>
      </c>
      <c r="P111" s="134">
        <v>122.0</v>
      </c>
      <c r="Q111" s="134"/>
      <c r="R111" s="218">
        <v>67.0</v>
      </c>
      <c r="S111" s="218"/>
      <c r="T111" s="134"/>
      <c r="U111" s="134"/>
      <c r="V111" s="218">
        <v>55.0</v>
      </c>
      <c r="W111" s="134"/>
      <c r="X111" s="207"/>
      <c r="Y111" s="134"/>
      <c r="Z111" s="134"/>
      <c r="AA111" s="212"/>
      <c r="AB111" s="212"/>
      <c r="AC111" s="192"/>
      <c r="AD111" s="192"/>
      <c r="AE111" s="192"/>
      <c r="AF111" s="192"/>
      <c r="AG111" s="192"/>
      <c r="AH111" s="192"/>
    </row>
    <row r="112" hidden="1">
      <c r="A112" s="197">
        <v>61.0</v>
      </c>
      <c r="B112" s="198" t="str">
        <f t="array" ref="B112">IFerror(INDEX(Papers!D$2:D$998,MATCH($A112, Papers!$A$2:$A$998,0)),"")</f>
        <v>Amparo Ballivian, Joao Pedro Azevedo, Will Durbin</v>
      </c>
      <c r="C112" s="53">
        <f t="array" ref="C112">IFerror(INDEX(Papers!F$2:F$998,MATCH($A112, Papers!$A$2:$A$998,0)),"")</f>
        <v>2015</v>
      </c>
      <c r="D112" s="198" t="str">
        <f t="array" ref="D112">IFerror(INDEX(Papers!C$2:C$998,MATCH($A112, Papers!$A$2:$A$998,0)),"")</f>
        <v>Using mobile phones for high-frequency data collection</v>
      </c>
      <c r="E112" s="53">
        <f t="array" ref="E112">IFerror(INDEX(Papers!G$2:G$998,MATCH($A112, Papers!$A$2:$A$998,0)),"")</f>
        <v>2012</v>
      </c>
      <c r="F112" s="69" t="s">
        <v>253</v>
      </c>
      <c r="G112" s="69" t="s">
        <v>9</v>
      </c>
      <c r="H112" s="198" t="s">
        <v>347</v>
      </c>
      <c r="I112" s="66">
        <v>1.0</v>
      </c>
      <c r="J112" s="66">
        <v>10.0</v>
      </c>
      <c r="K112" s="219" t="s">
        <v>406</v>
      </c>
      <c r="L112" s="209" t="s">
        <v>353</v>
      </c>
      <c r="M112" s="53"/>
      <c r="N112" s="202" t="str">
        <f t="shared" si="15"/>
        <v/>
      </c>
      <c r="O112" s="210">
        <f t="shared" si="16"/>
        <v>0.5655737705</v>
      </c>
      <c r="P112" s="140">
        <v>122.0</v>
      </c>
      <c r="Q112" s="140"/>
      <c r="R112" s="221">
        <v>69.0</v>
      </c>
      <c r="S112" s="221"/>
      <c r="T112" s="140"/>
      <c r="U112" s="140"/>
      <c r="V112" s="221">
        <v>53.0</v>
      </c>
      <c r="W112" s="140"/>
      <c r="X112" s="201"/>
      <c r="Y112" s="140"/>
      <c r="Z112" s="140"/>
      <c r="AA112" s="242"/>
      <c r="AB112" s="242"/>
      <c r="AC112" s="197"/>
      <c r="AD112" s="197"/>
      <c r="AE112" s="197"/>
      <c r="AF112" s="197"/>
      <c r="AG112" s="197"/>
      <c r="AH112" s="197"/>
    </row>
    <row r="113" hidden="1">
      <c r="A113" s="192">
        <v>61.0</v>
      </c>
      <c r="B113" s="86" t="str">
        <f t="array" ref="B113">IFerror(INDEX(Papers!D$2:D$998,MATCH($A113, Papers!$A$2:$A$998,0)),"")</f>
        <v>Amparo Ballivian, Joao Pedro Azevedo, Will Durbin</v>
      </c>
      <c r="C113" s="59">
        <f t="array" ref="C113">IFerror(INDEX(Papers!F$2:F$998,MATCH($A113, Papers!$A$2:$A$998,0)),"")</f>
        <v>2015</v>
      </c>
      <c r="D113" s="86" t="str">
        <f t="array" ref="D113">IFerror(INDEX(Papers!C$2:C$998,MATCH($A113, Papers!$A$2:$A$998,0)),"")</f>
        <v>Using mobile phones for high-frequency data collection</v>
      </c>
      <c r="E113" s="59">
        <f t="array" ref="E113">IFerror(INDEX(Papers!G$2:G$998,MATCH($A113, Papers!$A$2:$A$998,0)),"")</f>
        <v>2012</v>
      </c>
      <c r="F113" s="67" t="s">
        <v>253</v>
      </c>
      <c r="G113" s="67" t="s">
        <v>9</v>
      </c>
      <c r="H113" s="86" t="s">
        <v>347</v>
      </c>
      <c r="I113" s="68">
        <v>1.0</v>
      </c>
      <c r="J113" s="68">
        <v>10.0</v>
      </c>
      <c r="K113" s="216" t="s">
        <v>406</v>
      </c>
      <c r="L113" s="193" t="s">
        <v>354</v>
      </c>
      <c r="M113" s="59"/>
      <c r="N113" s="194" t="str">
        <f t="shared" si="15"/>
        <v/>
      </c>
      <c r="O113" s="194">
        <f t="shared" si="16"/>
        <v>0.5245901639</v>
      </c>
      <c r="P113" s="134">
        <v>122.0</v>
      </c>
      <c r="Q113" s="134"/>
      <c r="R113" s="218">
        <v>64.0</v>
      </c>
      <c r="S113" s="218"/>
      <c r="T113" s="134"/>
      <c r="U113" s="134"/>
      <c r="V113" s="218">
        <v>58.0</v>
      </c>
      <c r="W113" s="134"/>
      <c r="X113" s="207"/>
      <c r="Y113" s="134"/>
      <c r="Z113" s="134"/>
      <c r="AA113" s="212"/>
      <c r="AB113" s="212"/>
      <c r="AC113" s="192"/>
      <c r="AD113" s="192"/>
      <c r="AE113" s="192"/>
      <c r="AF113" s="192"/>
      <c r="AG113" s="192"/>
      <c r="AH113" s="192"/>
    </row>
    <row r="114" hidden="1">
      <c r="A114" s="197">
        <v>61.0</v>
      </c>
      <c r="B114" s="198" t="str">
        <f t="array" ref="B114">IFerror(INDEX(Papers!D$2:D$998,MATCH($A114, Papers!$A$2:$A$998,0)),"")</f>
        <v>Amparo Ballivian, Joao Pedro Azevedo, Will Durbin</v>
      </c>
      <c r="C114" s="53">
        <f t="array" ref="C114">IFerror(INDEX(Papers!F$2:F$998,MATCH($A114, Papers!$A$2:$A$998,0)),"")</f>
        <v>2015</v>
      </c>
      <c r="D114" s="198" t="str">
        <f t="array" ref="D114">IFerror(INDEX(Papers!C$2:C$998,MATCH($A114, Papers!$A$2:$A$998,0)),"")</f>
        <v>Using mobile phones for high-frequency data collection</v>
      </c>
      <c r="E114" s="53">
        <f t="array" ref="E114">IFerror(INDEX(Papers!G$2:G$998,MATCH($A114, Papers!$A$2:$A$998,0)),"")</f>
        <v>2012</v>
      </c>
      <c r="F114" s="69" t="s">
        <v>253</v>
      </c>
      <c r="G114" s="69" t="s">
        <v>9</v>
      </c>
      <c r="H114" s="198" t="s">
        <v>347</v>
      </c>
      <c r="I114" s="66">
        <v>1.0</v>
      </c>
      <c r="J114" s="66">
        <v>10.0</v>
      </c>
      <c r="K114" s="219" t="s">
        <v>406</v>
      </c>
      <c r="L114" s="209" t="s">
        <v>355</v>
      </c>
      <c r="M114" s="53"/>
      <c r="N114" s="202" t="str">
        <f t="shared" si="15"/>
        <v/>
      </c>
      <c r="O114" s="210">
        <f t="shared" si="16"/>
        <v>0.4836065574</v>
      </c>
      <c r="P114" s="140">
        <v>122.0</v>
      </c>
      <c r="Q114" s="140"/>
      <c r="R114" s="221">
        <v>59.0</v>
      </c>
      <c r="S114" s="221"/>
      <c r="T114" s="140"/>
      <c r="U114" s="140"/>
      <c r="V114" s="221">
        <v>63.0</v>
      </c>
      <c r="W114" s="140"/>
      <c r="X114" s="201"/>
      <c r="Y114" s="140"/>
      <c r="Z114" s="140"/>
      <c r="AA114" s="242"/>
      <c r="AB114" s="242"/>
      <c r="AC114" s="197"/>
      <c r="AD114" s="197"/>
      <c r="AE114" s="197"/>
      <c r="AF114" s="197"/>
      <c r="AG114" s="197"/>
      <c r="AH114" s="197"/>
    </row>
    <row r="115" hidden="1">
      <c r="A115" s="192">
        <v>61.0</v>
      </c>
      <c r="B115" s="86" t="str">
        <f t="array" ref="B115">IFerror(INDEX(Papers!D$2:D$998,MATCH($A115, Papers!$A$2:$A$998,0)),"")</f>
        <v>Amparo Ballivian, Joao Pedro Azevedo, Will Durbin</v>
      </c>
      <c r="C115" s="59">
        <f t="array" ref="C115">IFerror(INDEX(Papers!F$2:F$998,MATCH($A115, Papers!$A$2:$A$998,0)),"")</f>
        <v>2015</v>
      </c>
      <c r="D115" s="86" t="str">
        <f t="array" ref="D115">IFerror(INDEX(Papers!C$2:C$998,MATCH($A115, Papers!$A$2:$A$998,0)),"")</f>
        <v>Using mobile phones for high-frequency data collection</v>
      </c>
      <c r="E115" s="59">
        <f t="array" ref="E115">IFerror(INDEX(Papers!G$2:G$998,MATCH($A115, Papers!$A$2:$A$998,0)),"")</f>
        <v>2012</v>
      </c>
      <c r="F115" s="67" t="s">
        <v>253</v>
      </c>
      <c r="G115" s="67" t="s">
        <v>9</v>
      </c>
      <c r="H115" s="86" t="s">
        <v>347</v>
      </c>
      <c r="I115" s="68">
        <v>1.0</v>
      </c>
      <c r="J115" s="68">
        <v>10.0</v>
      </c>
      <c r="K115" s="216" t="s">
        <v>406</v>
      </c>
      <c r="L115" s="193" t="s">
        <v>356</v>
      </c>
      <c r="M115" s="59"/>
      <c r="N115" s="194" t="str">
        <f t="shared" si="15"/>
        <v/>
      </c>
      <c r="O115" s="194">
        <f t="shared" si="16"/>
        <v>0.4754098361</v>
      </c>
      <c r="P115" s="134">
        <v>122.0</v>
      </c>
      <c r="Q115" s="134"/>
      <c r="R115" s="218">
        <v>58.0</v>
      </c>
      <c r="S115" s="211"/>
      <c r="T115" s="134"/>
      <c r="U115" s="134"/>
      <c r="V115" s="218">
        <v>64.0</v>
      </c>
      <c r="W115" s="134"/>
      <c r="X115" s="207"/>
      <c r="Y115" s="134"/>
      <c r="Z115" s="134"/>
      <c r="AA115" s="212"/>
      <c r="AB115" s="212"/>
      <c r="AC115" s="192"/>
      <c r="AD115" s="192"/>
      <c r="AE115" s="192"/>
      <c r="AF115" s="192"/>
      <c r="AG115" s="192"/>
      <c r="AH115" s="192"/>
    </row>
    <row r="116" hidden="1">
      <c r="A116" s="197">
        <v>61.0</v>
      </c>
      <c r="B116" s="198" t="str">
        <f t="array" ref="B116">IFerror(INDEX(Papers!D$2:D$998,MATCH($A116, Papers!$A$2:$A$998,0)),"")</f>
        <v>Amparo Ballivian, Joao Pedro Azevedo, Will Durbin</v>
      </c>
      <c r="C116" s="53">
        <f t="array" ref="C116">IFerror(INDEX(Papers!F$2:F$998,MATCH($A116, Papers!$A$2:$A$998,0)),"")</f>
        <v>2015</v>
      </c>
      <c r="D116" s="198" t="str">
        <f t="array" ref="D116">IFerror(INDEX(Papers!C$2:C$998,MATCH($A116, Papers!$A$2:$A$998,0)),"")</f>
        <v>Using mobile phones for high-frequency data collection</v>
      </c>
      <c r="E116" s="53">
        <f t="array" ref="E116">IFerror(INDEX(Papers!G$2:G$998,MATCH($A116, Papers!$A$2:$A$998,0)),"")</f>
        <v>2012</v>
      </c>
      <c r="F116" s="69" t="s">
        <v>253</v>
      </c>
      <c r="G116" s="69" t="s">
        <v>9</v>
      </c>
      <c r="H116" s="198" t="s">
        <v>347</v>
      </c>
      <c r="I116" s="66">
        <v>1.0</v>
      </c>
      <c r="J116" s="66">
        <v>10.0</v>
      </c>
      <c r="K116" s="219" t="s">
        <v>406</v>
      </c>
      <c r="L116" s="209" t="s">
        <v>407</v>
      </c>
      <c r="M116" s="53"/>
      <c r="N116" s="202" t="str">
        <f t="shared" si="15"/>
        <v/>
      </c>
      <c r="O116" s="210">
        <f t="shared" si="16"/>
        <v>0.4672131148</v>
      </c>
      <c r="P116" s="140">
        <v>122.0</v>
      </c>
      <c r="Q116" s="140"/>
      <c r="R116" s="221">
        <v>57.0</v>
      </c>
      <c r="S116" s="221"/>
      <c r="T116" s="140"/>
      <c r="U116" s="140"/>
      <c r="V116" s="221">
        <v>65.0</v>
      </c>
      <c r="W116" s="140"/>
      <c r="X116" s="201"/>
      <c r="Y116" s="140"/>
      <c r="Z116" s="140"/>
      <c r="AA116" s="242"/>
      <c r="AB116" s="242"/>
      <c r="AC116" s="197"/>
      <c r="AD116" s="197"/>
      <c r="AE116" s="197"/>
      <c r="AF116" s="197"/>
      <c r="AG116" s="197"/>
      <c r="AH116" s="197"/>
    </row>
    <row r="117" hidden="1">
      <c r="A117" s="192">
        <v>61.0</v>
      </c>
      <c r="B117" s="86" t="str">
        <f t="array" ref="B117">IFerror(INDEX(Papers!D$2:D$998,MATCH($A117, Papers!$A$2:$A$998,0)),"")</f>
        <v>Amparo Ballivian, Joao Pedro Azevedo, Will Durbin</v>
      </c>
      <c r="C117" s="59">
        <f t="array" ref="C117">IFerror(INDEX(Papers!F$2:F$998,MATCH($A117, Papers!$A$2:$A$998,0)),"")</f>
        <v>2015</v>
      </c>
      <c r="D117" s="86" t="str">
        <f t="array" ref="D117">IFerror(INDEX(Papers!C$2:C$998,MATCH($A117, Papers!$A$2:$A$998,0)),"")</f>
        <v>Using mobile phones for high-frequency data collection</v>
      </c>
      <c r="E117" s="59">
        <f t="array" ref="E117">IFerror(INDEX(Papers!G$2:G$998,MATCH($A117, Papers!$A$2:$A$998,0)),"")</f>
        <v>2012</v>
      </c>
      <c r="F117" s="67" t="s">
        <v>253</v>
      </c>
      <c r="G117" s="67" t="s">
        <v>11</v>
      </c>
      <c r="H117" s="86" t="s">
        <v>347</v>
      </c>
      <c r="I117" s="68">
        <v>1.0</v>
      </c>
      <c r="J117" s="68">
        <v>10.0</v>
      </c>
      <c r="K117" s="216" t="s">
        <v>406</v>
      </c>
      <c r="L117" s="193" t="s">
        <v>352</v>
      </c>
      <c r="M117" s="59"/>
      <c r="N117" s="194" t="str">
        <f t="shared" si="15"/>
        <v/>
      </c>
      <c r="O117" s="194">
        <f t="shared" si="16"/>
        <v>0.1525423729</v>
      </c>
      <c r="P117" s="134">
        <v>118.0</v>
      </c>
      <c r="Q117" s="134"/>
      <c r="R117" s="134">
        <v>18.0</v>
      </c>
      <c r="S117" s="134">
        <v>4.0</v>
      </c>
      <c r="T117" s="134"/>
      <c r="U117" s="134"/>
      <c r="V117" s="134">
        <v>96.0</v>
      </c>
      <c r="W117" s="134"/>
      <c r="X117" s="207"/>
      <c r="Y117" s="134"/>
      <c r="Z117" s="134"/>
      <c r="AA117" s="192"/>
      <c r="AB117" s="192"/>
      <c r="AC117" s="192"/>
      <c r="AD117" s="192"/>
      <c r="AE117" s="192"/>
      <c r="AF117" s="192"/>
      <c r="AG117" s="192"/>
      <c r="AH117" s="192"/>
    </row>
    <row r="118" hidden="1">
      <c r="A118" s="197">
        <v>61.0</v>
      </c>
      <c r="B118" s="198" t="str">
        <f t="array" ref="B118">IFerror(INDEX(Papers!D$2:D$998,MATCH($A118, Papers!$A$2:$A$998,0)),"")</f>
        <v>Amparo Ballivian, Joao Pedro Azevedo, Will Durbin</v>
      </c>
      <c r="C118" s="53">
        <f t="array" ref="C118">IFerror(INDEX(Papers!F$2:F$998,MATCH($A118, Papers!$A$2:$A$998,0)),"")</f>
        <v>2015</v>
      </c>
      <c r="D118" s="198" t="str">
        <f t="array" ref="D118">IFerror(INDEX(Papers!C$2:C$998,MATCH($A118, Papers!$A$2:$A$998,0)),"")</f>
        <v>Using mobile phones for high-frequency data collection</v>
      </c>
      <c r="E118" s="53">
        <f t="array" ref="E118">IFerror(INDEX(Papers!G$2:G$998,MATCH($A118, Papers!$A$2:$A$998,0)),"")</f>
        <v>2012</v>
      </c>
      <c r="F118" s="69" t="s">
        <v>253</v>
      </c>
      <c r="G118" s="69" t="s">
        <v>11</v>
      </c>
      <c r="H118" s="198" t="s">
        <v>347</v>
      </c>
      <c r="I118" s="66">
        <v>1.0</v>
      </c>
      <c r="J118" s="66">
        <v>10.0</v>
      </c>
      <c r="K118" s="219" t="s">
        <v>406</v>
      </c>
      <c r="L118" s="209" t="s">
        <v>353</v>
      </c>
      <c r="M118" s="53"/>
      <c r="N118" s="202" t="str">
        <f t="shared" si="15"/>
        <v/>
      </c>
      <c r="O118" s="210">
        <f t="shared" si="16"/>
        <v>0.2372881356</v>
      </c>
      <c r="P118" s="140">
        <v>118.0</v>
      </c>
      <c r="Q118" s="140"/>
      <c r="R118" s="140">
        <v>28.0</v>
      </c>
      <c r="S118" s="140">
        <v>3.0</v>
      </c>
      <c r="T118" s="140"/>
      <c r="U118" s="140"/>
      <c r="V118" s="140">
        <v>87.0</v>
      </c>
      <c r="W118" s="140"/>
      <c r="X118" s="201"/>
      <c r="Y118" s="140"/>
      <c r="Z118" s="140"/>
      <c r="AA118" s="197"/>
      <c r="AB118" s="197"/>
      <c r="AC118" s="197"/>
      <c r="AD118" s="197"/>
      <c r="AE118" s="197"/>
      <c r="AF118" s="197"/>
      <c r="AG118" s="197"/>
      <c r="AH118" s="197"/>
    </row>
    <row r="119" hidden="1">
      <c r="A119" s="192">
        <v>61.0</v>
      </c>
      <c r="B119" s="86" t="str">
        <f t="array" ref="B119">IFerror(INDEX(Papers!D$2:D$998,MATCH($A119, Papers!$A$2:$A$998,0)),"")</f>
        <v>Amparo Ballivian, Joao Pedro Azevedo, Will Durbin</v>
      </c>
      <c r="C119" s="59">
        <f t="array" ref="C119">IFerror(INDEX(Papers!F$2:F$998,MATCH($A119, Papers!$A$2:$A$998,0)),"")</f>
        <v>2015</v>
      </c>
      <c r="D119" s="86" t="str">
        <f t="array" ref="D119">IFerror(INDEX(Papers!C$2:C$998,MATCH($A119, Papers!$A$2:$A$998,0)),"")</f>
        <v>Using mobile phones for high-frequency data collection</v>
      </c>
      <c r="E119" s="59">
        <f t="array" ref="E119">IFerror(INDEX(Papers!G$2:G$998,MATCH($A119, Papers!$A$2:$A$998,0)),"")</f>
        <v>2012</v>
      </c>
      <c r="F119" s="67" t="s">
        <v>253</v>
      </c>
      <c r="G119" s="67" t="s">
        <v>11</v>
      </c>
      <c r="H119" s="86" t="s">
        <v>347</v>
      </c>
      <c r="I119" s="68">
        <v>1.0</v>
      </c>
      <c r="J119" s="68">
        <v>10.0</v>
      </c>
      <c r="K119" s="216" t="s">
        <v>406</v>
      </c>
      <c r="L119" s="193" t="s">
        <v>354</v>
      </c>
      <c r="M119" s="59"/>
      <c r="N119" s="194" t="str">
        <f t="shared" si="15"/>
        <v/>
      </c>
      <c r="O119" s="194">
        <f t="shared" si="16"/>
        <v>0.2118644068</v>
      </c>
      <c r="P119" s="134">
        <v>118.0</v>
      </c>
      <c r="Q119" s="134"/>
      <c r="R119" s="134">
        <v>25.0</v>
      </c>
      <c r="S119" s="134">
        <v>4.0</v>
      </c>
      <c r="T119" s="134"/>
      <c r="U119" s="134"/>
      <c r="V119" s="134">
        <v>89.0</v>
      </c>
      <c r="W119" s="134"/>
      <c r="X119" s="207"/>
      <c r="Y119" s="134"/>
      <c r="Z119" s="134"/>
      <c r="AA119" s="192"/>
      <c r="AB119" s="192"/>
      <c r="AC119" s="192"/>
      <c r="AD119" s="192"/>
      <c r="AE119" s="192"/>
      <c r="AF119" s="192"/>
      <c r="AG119" s="192"/>
      <c r="AH119" s="192"/>
    </row>
    <row r="120" hidden="1">
      <c r="A120" s="197">
        <v>61.0</v>
      </c>
      <c r="B120" s="198" t="str">
        <f t="array" ref="B120">IFerror(INDEX(Papers!D$2:D$998,MATCH($A120, Papers!$A$2:$A$998,0)),"")</f>
        <v>Amparo Ballivian, Joao Pedro Azevedo, Will Durbin</v>
      </c>
      <c r="C120" s="53">
        <f t="array" ref="C120">IFerror(INDEX(Papers!F$2:F$998,MATCH($A120, Papers!$A$2:$A$998,0)),"")</f>
        <v>2015</v>
      </c>
      <c r="D120" s="198" t="str">
        <f t="array" ref="D120">IFerror(INDEX(Papers!C$2:C$998,MATCH($A120, Papers!$A$2:$A$998,0)),"")</f>
        <v>Using mobile phones for high-frequency data collection</v>
      </c>
      <c r="E120" s="53">
        <f t="array" ref="E120">IFerror(INDEX(Papers!G$2:G$998,MATCH($A120, Papers!$A$2:$A$998,0)),"")</f>
        <v>2012</v>
      </c>
      <c r="F120" s="69" t="s">
        <v>253</v>
      </c>
      <c r="G120" s="69" t="s">
        <v>11</v>
      </c>
      <c r="H120" s="198" t="s">
        <v>347</v>
      </c>
      <c r="I120" s="66">
        <v>1.0</v>
      </c>
      <c r="J120" s="66">
        <v>10.0</v>
      </c>
      <c r="K120" s="219" t="s">
        <v>406</v>
      </c>
      <c r="L120" s="209" t="s">
        <v>355</v>
      </c>
      <c r="M120" s="53"/>
      <c r="N120" s="202" t="str">
        <f t="shared" si="15"/>
        <v/>
      </c>
      <c r="O120" s="210">
        <f t="shared" si="16"/>
        <v>0.186440678</v>
      </c>
      <c r="P120" s="140">
        <v>118.0</v>
      </c>
      <c r="Q120" s="140"/>
      <c r="R120" s="140">
        <v>22.0</v>
      </c>
      <c r="S120" s="140">
        <v>2.0</v>
      </c>
      <c r="T120" s="140"/>
      <c r="U120" s="140"/>
      <c r="V120" s="140">
        <v>94.0</v>
      </c>
      <c r="W120" s="140"/>
      <c r="X120" s="201"/>
      <c r="Y120" s="140"/>
      <c r="Z120" s="140"/>
      <c r="AA120" s="197"/>
      <c r="AB120" s="197"/>
      <c r="AC120" s="197"/>
      <c r="AD120" s="197"/>
      <c r="AE120" s="197"/>
      <c r="AF120" s="197"/>
      <c r="AG120" s="197"/>
      <c r="AH120" s="197"/>
    </row>
    <row r="121" hidden="1">
      <c r="A121" s="192">
        <v>61.0</v>
      </c>
      <c r="B121" s="86" t="str">
        <f t="array" ref="B121">IFerror(INDEX(Papers!D$2:D$998,MATCH($A121, Papers!$A$2:$A$998,0)),"")</f>
        <v>Amparo Ballivian, Joao Pedro Azevedo, Will Durbin</v>
      </c>
      <c r="C121" s="59">
        <f t="array" ref="C121">IFerror(INDEX(Papers!F$2:F$998,MATCH($A121, Papers!$A$2:$A$998,0)),"")</f>
        <v>2015</v>
      </c>
      <c r="D121" s="86" t="str">
        <f t="array" ref="D121">IFerror(INDEX(Papers!C$2:C$998,MATCH($A121, Papers!$A$2:$A$998,0)),"")</f>
        <v>Using mobile phones for high-frequency data collection</v>
      </c>
      <c r="E121" s="59">
        <f t="array" ref="E121">IFerror(INDEX(Papers!G$2:G$998,MATCH($A121, Papers!$A$2:$A$998,0)),"")</f>
        <v>2012</v>
      </c>
      <c r="F121" s="67" t="s">
        <v>253</v>
      </c>
      <c r="G121" s="67" t="s">
        <v>11</v>
      </c>
      <c r="H121" s="86" t="s">
        <v>347</v>
      </c>
      <c r="I121" s="68">
        <v>1.0</v>
      </c>
      <c r="J121" s="68">
        <v>10.0</v>
      </c>
      <c r="K121" s="216" t="s">
        <v>406</v>
      </c>
      <c r="L121" s="193" t="s">
        <v>356</v>
      </c>
      <c r="M121" s="59"/>
      <c r="N121" s="194" t="str">
        <f t="shared" si="15"/>
        <v/>
      </c>
      <c r="O121" s="194">
        <f t="shared" si="16"/>
        <v>0.1271186441</v>
      </c>
      <c r="P121" s="134">
        <v>118.0</v>
      </c>
      <c r="Q121" s="134"/>
      <c r="R121" s="134">
        <v>15.0</v>
      </c>
      <c r="S121" s="134">
        <v>3.0</v>
      </c>
      <c r="T121" s="134"/>
      <c r="U121" s="134"/>
      <c r="V121" s="134">
        <v>100.0</v>
      </c>
      <c r="W121" s="134"/>
      <c r="X121" s="207"/>
      <c r="Y121" s="134"/>
      <c r="Z121" s="134"/>
      <c r="AA121" s="192"/>
      <c r="AB121" s="192"/>
      <c r="AC121" s="192"/>
      <c r="AD121" s="192"/>
      <c r="AE121" s="192"/>
      <c r="AF121" s="192"/>
      <c r="AG121" s="192"/>
      <c r="AH121" s="192"/>
    </row>
    <row r="122" hidden="1">
      <c r="A122" s="197">
        <v>61.0</v>
      </c>
      <c r="B122" s="198" t="str">
        <f t="array" ref="B122">IFerror(INDEX(Papers!D$2:D$998,MATCH($A122, Papers!$A$2:$A$998,0)),"")</f>
        <v>Amparo Ballivian, Joao Pedro Azevedo, Will Durbin</v>
      </c>
      <c r="C122" s="53">
        <f t="array" ref="C122">IFerror(INDEX(Papers!F$2:F$998,MATCH($A122, Papers!$A$2:$A$998,0)),"")</f>
        <v>2015</v>
      </c>
      <c r="D122" s="198" t="str">
        <f t="array" ref="D122">IFerror(INDEX(Papers!C$2:C$998,MATCH($A122, Papers!$A$2:$A$998,0)),"")</f>
        <v>Using mobile phones for high-frequency data collection</v>
      </c>
      <c r="E122" s="53">
        <f t="array" ref="E122">IFerror(INDEX(Papers!G$2:G$998,MATCH($A122, Papers!$A$2:$A$998,0)),"")</f>
        <v>2012</v>
      </c>
      <c r="F122" s="69" t="s">
        <v>253</v>
      </c>
      <c r="G122" s="69" t="s">
        <v>11</v>
      </c>
      <c r="H122" s="198" t="s">
        <v>347</v>
      </c>
      <c r="I122" s="66">
        <v>1.0</v>
      </c>
      <c r="J122" s="66">
        <v>10.0</v>
      </c>
      <c r="K122" s="219" t="s">
        <v>406</v>
      </c>
      <c r="L122" s="209" t="s">
        <v>407</v>
      </c>
      <c r="M122" s="53"/>
      <c r="N122" s="202" t="str">
        <f t="shared" si="15"/>
        <v/>
      </c>
      <c r="O122" s="210">
        <f t="shared" si="16"/>
        <v>0.1779661017</v>
      </c>
      <c r="P122" s="140">
        <v>118.0</v>
      </c>
      <c r="Q122" s="140"/>
      <c r="R122" s="140">
        <v>21.0</v>
      </c>
      <c r="S122" s="140">
        <v>2.0</v>
      </c>
      <c r="T122" s="140"/>
      <c r="U122" s="140"/>
      <c r="V122" s="140">
        <v>95.0</v>
      </c>
      <c r="W122" s="140"/>
      <c r="X122" s="201"/>
      <c r="Y122" s="140"/>
      <c r="Z122" s="140"/>
      <c r="AA122" s="197"/>
      <c r="AB122" s="197"/>
      <c r="AC122" s="197"/>
      <c r="AD122" s="197"/>
      <c r="AE122" s="197"/>
      <c r="AF122" s="197"/>
      <c r="AG122" s="197"/>
      <c r="AH122" s="197"/>
    </row>
    <row r="123" hidden="1">
      <c r="A123" s="192">
        <v>61.0</v>
      </c>
      <c r="B123" s="86" t="str">
        <f t="array" ref="B123">IFerror(INDEX(Papers!D$2:D$998,MATCH($A123, Papers!$A$2:$A$998,0)),"")</f>
        <v>Amparo Ballivian, Joao Pedro Azevedo, Will Durbin</v>
      </c>
      <c r="C123" s="59">
        <f t="array" ref="C123">IFerror(INDEX(Papers!F$2:F$998,MATCH($A123, Papers!$A$2:$A$998,0)),"")</f>
        <v>2015</v>
      </c>
      <c r="D123" s="86" t="str">
        <f t="array" ref="D123">IFerror(INDEX(Papers!C$2:C$998,MATCH($A123, Papers!$A$2:$A$998,0)),"")</f>
        <v>Using mobile phones for high-frequency data collection</v>
      </c>
      <c r="E123" s="59">
        <f t="array" ref="E123">IFerror(INDEX(Papers!G$2:G$998,MATCH($A123, Papers!$A$2:$A$998,0)),"")</f>
        <v>2012</v>
      </c>
      <c r="F123" s="67" t="s">
        <v>253</v>
      </c>
      <c r="G123" s="67" t="s">
        <v>10</v>
      </c>
      <c r="H123" s="86" t="s">
        <v>347</v>
      </c>
      <c r="I123" s="68">
        <v>1.0</v>
      </c>
      <c r="J123" s="68">
        <v>10.0</v>
      </c>
      <c r="K123" s="216" t="s">
        <v>406</v>
      </c>
      <c r="L123" s="193" t="s">
        <v>352</v>
      </c>
      <c r="M123" s="59"/>
      <c r="N123" s="194" t="str">
        <f t="shared" si="15"/>
        <v/>
      </c>
      <c r="O123" s="194">
        <f t="shared" si="16"/>
        <v>0.2363636364</v>
      </c>
      <c r="P123" s="134">
        <v>220.0</v>
      </c>
      <c r="Q123" s="134"/>
      <c r="R123" s="134">
        <v>52.0</v>
      </c>
      <c r="S123" s="134">
        <v>15.0</v>
      </c>
      <c r="T123" s="134"/>
      <c r="U123" s="134"/>
      <c r="V123" s="134">
        <v>153.0</v>
      </c>
      <c r="W123" s="134"/>
      <c r="X123" s="207"/>
      <c r="Y123" s="134"/>
      <c r="Z123" s="134"/>
      <c r="AA123" s="192"/>
      <c r="AB123" s="192"/>
      <c r="AC123" s="192"/>
      <c r="AD123" s="192"/>
      <c r="AE123" s="192"/>
      <c r="AF123" s="192"/>
      <c r="AG123" s="192"/>
      <c r="AH123" s="192"/>
    </row>
    <row r="124" hidden="1">
      <c r="A124" s="197">
        <v>61.0</v>
      </c>
      <c r="B124" s="198" t="str">
        <f t="array" ref="B124">IFerror(INDEX(Papers!D$2:D$998,MATCH($A124, Papers!$A$2:$A$998,0)),"")</f>
        <v>Amparo Ballivian, Joao Pedro Azevedo, Will Durbin</v>
      </c>
      <c r="C124" s="53">
        <f t="array" ref="C124">IFerror(INDEX(Papers!F$2:F$998,MATCH($A124, Papers!$A$2:$A$998,0)),"")</f>
        <v>2015</v>
      </c>
      <c r="D124" s="198" t="str">
        <f t="array" ref="D124">IFerror(INDEX(Papers!C$2:C$998,MATCH($A124, Papers!$A$2:$A$998,0)),"")</f>
        <v>Using mobile phones for high-frequency data collection</v>
      </c>
      <c r="E124" s="53">
        <f t="array" ref="E124">IFerror(INDEX(Papers!G$2:G$998,MATCH($A124, Papers!$A$2:$A$998,0)),"")</f>
        <v>2012</v>
      </c>
      <c r="F124" s="69" t="s">
        <v>253</v>
      </c>
      <c r="G124" s="69" t="s">
        <v>10</v>
      </c>
      <c r="H124" s="198" t="s">
        <v>347</v>
      </c>
      <c r="I124" s="66">
        <v>1.0</v>
      </c>
      <c r="J124" s="66">
        <v>10.0</v>
      </c>
      <c r="K124" s="219" t="s">
        <v>406</v>
      </c>
      <c r="L124" s="209" t="s">
        <v>353</v>
      </c>
      <c r="M124" s="53"/>
      <c r="N124" s="202" t="str">
        <f t="shared" si="15"/>
        <v/>
      </c>
      <c r="O124" s="210">
        <f t="shared" si="16"/>
        <v>0.1863636364</v>
      </c>
      <c r="P124" s="140">
        <v>220.0</v>
      </c>
      <c r="Q124" s="140"/>
      <c r="R124" s="140">
        <v>41.0</v>
      </c>
      <c r="S124" s="140">
        <v>10.0</v>
      </c>
      <c r="T124" s="140"/>
      <c r="U124" s="140"/>
      <c r="V124" s="140">
        <v>169.0</v>
      </c>
      <c r="W124" s="140"/>
      <c r="X124" s="201"/>
      <c r="Y124" s="140"/>
      <c r="Z124" s="140"/>
      <c r="AA124" s="197"/>
      <c r="AB124" s="197"/>
      <c r="AC124" s="197"/>
      <c r="AD124" s="197"/>
      <c r="AE124" s="197"/>
      <c r="AF124" s="197"/>
      <c r="AG124" s="197"/>
      <c r="AH124" s="197"/>
    </row>
    <row r="125" hidden="1">
      <c r="A125" s="192">
        <v>61.0</v>
      </c>
      <c r="B125" s="86" t="str">
        <f t="array" ref="B125">IFerror(INDEX(Papers!D$2:D$998,MATCH($A125, Papers!$A$2:$A$998,0)),"")</f>
        <v>Amparo Ballivian, Joao Pedro Azevedo, Will Durbin</v>
      </c>
      <c r="C125" s="59">
        <f t="array" ref="C125">IFerror(INDEX(Papers!F$2:F$998,MATCH($A125, Papers!$A$2:$A$998,0)),"")</f>
        <v>2015</v>
      </c>
      <c r="D125" s="86" t="str">
        <f t="array" ref="D125">IFerror(INDEX(Papers!C$2:C$998,MATCH($A125, Papers!$A$2:$A$998,0)),"")</f>
        <v>Using mobile phones for high-frequency data collection</v>
      </c>
      <c r="E125" s="59">
        <f t="array" ref="E125">IFerror(INDEX(Papers!G$2:G$998,MATCH($A125, Papers!$A$2:$A$998,0)),"")</f>
        <v>2012</v>
      </c>
      <c r="F125" s="67" t="s">
        <v>253</v>
      </c>
      <c r="G125" s="67" t="s">
        <v>10</v>
      </c>
      <c r="H125" s="86" t="s">
        <v>347</v>
      </c>
      <c r="I125" s="68">
        <v>1.0</v>
      </c>
      <c r="J125" s="68">
        <v>10.0</v>
      </c>
      <c r="K125" s="216" t="s">
        <v>406</v>
      </c>
      <c r="L125" s="193" t="s">
        <v>354</v>
      </c>
      <c r="M125" s="59"/>
      <c r="N125" s="194" t="str">
        <f t="shared" si="15"/>
        <v/>
      </c>
      <c r="O125" s="194">
        <f t="shared" si="16"/>
        <v>0.2181818182</v>
      </c>
      <c r="P125" s="134">
        <v>220.0</v>
      </c>
      <c r="Q125" s="134"/>
      <c r="R125" s="134">
        <v>48.0</v>
      </c>
      <c r="S125" s="134">
        <v>8.0</v>
      </c>
      <c r="T125" s="134"/>
      <c r="U125" s="134"/>
      <c r="V125" s="134">
        <v>164.0</v>
      </c>
      <c r="W125" s="134"/>
      <c r="X125" s="207"/>
      <c r="Y125" s="134"/>
      <c r="Z125" s="134"/>
      <c r="AA125" s="192"/>
      <c r="AB125" s="192"/>
      <c r="AC125" s="192"/>
      <c r="AD125" s="192"/>
      <c r="AE125" s="192"/>
      <c r="AF125" s="192"/>
      <c r="AG125" s="192"/>
      <c r="AH125" s="192"/>
    </row>
    <row r="126" hidden="1">
      <c r="A126" s="197">
        <v>61.0</v>
      </c>
      <c r="B126" s="198" t="str">
        <f t="array" ref="B126">IFerror(INDEX(Papers!D$2:D$998,MATCH($A126, Papers!$A$2:$A$998,0)),"")</f>
        <v>Amparo Ballivian, Joao Pedro Azevedo, Will Durbin</v>
      </c>
      <c r="C126" s="53">
        <f t="array" ref="C126">IFerror(INDEX(Papers!F$2:F$998,MATCH($A126, Papers!$A$2:$A$998,0)),"")</f>
        <v>2015</v>
      </c>
      <c r="D126" s="198" t="str">
        <f t="array" ref="D126">IFerror(INDEX(Papers!C$2:C$998,MATCH($A126, Papers!$A$2:$A$998,0)),"")</f>
        <v>Using mobile phones for high-frequency data collection</v>
      </c>
      <c r="E126" s="53">
        <f t="array" ref="E126">IFerror(INDEX(Papers!G$2:G$998,MATCH($A126, Papers!$A$2:$A$998,0)),"")</f>
        <v>2012</v>
      </c>
      <c r="F126" s="69" t="s">
        <v>253</v>
      </c>
      <c r="G126" s="69" t="s">
        <v>10</v>
      </c>
      <c r="H126" s="198" t="s">
        <v>347</v>
      </c>
      <c r="I126" s="66">
        <v>1.0</v>
      </c>
      <c r="J126" s="66">
        <v>10.0</v>
      </c>
      <c r="K126" s="219" t="s">
        <v>406</v>
      </c>
      <c r="L126" s="209" t="s">
        <v>355</v>
      </c>
      <c r="M126" s="53"/>
      <c r="N126" s="202" t="str">
        <f t="shared" si="15"/>
        <v/>
      </c>
      <c r="O126" s="210">
        <f t="shared" si="16"/>
        <v>0.1863636364</v>
      </c>
      <c r="P126" s="140">
        <v>220.0</v>
      </c>
      <c r="Q126" s="140"/>
      <c r="R126" s="140">
        <v>41.0</v>
      </c>
      <c r="S126" s="140">
        <v>15.0</v>
      </c>
      <c r="T126" s="140"/>
      <c r="U126" s="140"/>
      <c r="V126" s="140">
        <v>164.0</v>
      </c>
      <c r="W126" s="140"/>
      <c r="X126" s="201"/>
      <c r="Y126" s="140"/>
      <c r="Z126" s="140"/>
      <c r="AA126" s="197"/>
      <c r="AB126" s="197"/>
      <c r="AC126" s="197"/>
      <c r="AD126" s="197"/>
      <c r="AE126" s="197"/>
      <c r="AF126" s="197"/>
      <c r="AG126" s="197"/>
      <c r="AH126" s="197"/>
    </row>
    <row r="127" hidden="1">
      <c r="A127" s="192">
        <v>61.0</v>
      </c>
      <c r="B127" s="86" t="str">
        <f t="array" ref="B127">IFerror(INDEX(Papers!D$2:D$998,MATCH($A127, Papers!$A$2:$A$998,0)),"")</f>
        <v>Amparo Ballivian, Joao Pedro Azevedo, Will Durbin</v>
      </c>
      <c r="C127" s="59">
        <f t="array" ref="C127">IFerror(INDEX(Papers!F$2:F$998,MATCH($A127, Papers!$A$2:$A$998,0)),"")</f>
        <v>2015</v>
      </c>
      <c r="D127" s="86" t="str">
        <f t="array" ref="D127">IFerror(INDEX(Papers!C$2:C$998,MATCH($A127, Papers!$A$2:$A$998,0)),"")</f>
        <v>Using mobile phones for high-frequency data collection</v>
      </c>
      <c r="E127" s="59">
        <f t="array" ref="E127">IFerror(INDEX(Papers!G$2:G$998,MATCH($A127, Papers!$A$2:$A$998,0)),"")</f>
        <v>2012</v>
      </c>
      <c r="F127" s="67" t="s">
        <v>253</v>
      </c>
      <c r="G127" s="67" t="s">
        <v>10</v>
      </c>
      <c r="H127" s="86" t="s">
        <v>347</v>
      </c>
      <c r="I127" s="68">
        <v>1.0</v>
      </c>
      <c r="J127" s="68">
        <v>10.0</v>
      </c>
      <c r="K127" s="216" t="s">
        <v>406</v>
      </c>
      <c r="L127" s="193" t="s">
        <v>356</v>
      </c>
      <c r="M127" s="59"/>
      <c r="N127" s="194" t="str">
        <f t="shared" si="15"/>
        <v/>
      </c>
      <c r="O127" s="194">
        <f t="shared" si="16"/>
        <v>0.2454545455</v>
      </c>
      <c r="P127" s="134">
        <v>220.0</v>
      </c>
      <c r="Q127" s="134"/>
      <c r="R127" s="134">
        <v>54.0</v>
      </c>
      <c r="S127" s="134">
        <v>2.0</v>
      </c>
      <c r="T127" s="134"/>
      <c r="U127" s="134"/>
      <c r="V127" s="134">
        <v>164.0</v>
      </c>
      <c r="W127" s="134"/>
      <c r="X127" s="207"/>
      <c r="Y127" s="134"/>
      <c r="Z127" s="134"/>
      <c r="AA127" s="192"/>
      <c r="AB127" s="192"/>
      <c r="AC127" s="192"/>
      <c r="AD127" s="192"/>
      <c r="AE127" s="192"/>
      <c r="AF127" s="192"/>
      <c r="AG127" s="192"/>
      <c r="AH127" s="192"/>
    </row>
    <row r="128" hidden="1">
      <c r="A128" s="197">
        <v>61.0</v>
      </c>
      <c r="B128" s="198" t="str">
        <f t="array" ref="B128">IFerror(INDEX(Papers!D$2:D$998,MATCH($A128, Papers!$A$2:$A$998,0)),"")</f>
        <v>Amparo Ballivian, Joao Pedro Azevedo, Will Durbin</v>
      </c>
      <c r="C128" s="53">
        <f t="array" ref="C128">IFerror(INDEX(Papers!F$2:F$998,MATCH($A128, Papers!$A$2:$A$998,0)),"")</f>
        <v>2015</v>
      </c>
      <c r="D128" s="198" t="str">
        <f t="array" ref="D128">IFerror(INDEX(Papers!C$2:C$998,MATCH($A128, Papers!$A$2:$A$998,0)),"")</f>
        <v>Using mobile phones for high-frequency data collection</v>
      </c>
      <c r="E128" s="53">
        <f t="array" ref="E128">IFerror(INDEX(Papers!G$2:G$998,MATCH($A128, Papers!$A$2:$A$998,0)),"")</f>
        <v>2012</v>
      </c>
      <c r="F128" s="69" t="s">
        <v>253</v>
      </c>
      <c r="G128" s="69" t="s">
        <v>10</v>
      </c>
      <c r="H128" s="198" t="s">
        <v>347</v>
      </c>
      <c r="I128" s="66">
        <v>1.0</v>
      </c>
      <c r="J128" s="66">
        <v>10.0</v>
      </c>
      <c r="K128" s="219" t="s">
        <v>406</v>
      </c>
      <c r="L128" s="209" t="s">
        <v>407</v>
      </c>
      <c r="M128" s="53"/>
      <c r="N128" s="202" t="str">
        <f t="shared" si="15"/>
        <v/>
      </c>
      <c r="O128" s="210">
        <f t="shared" si="16"/>
        <v>0.1727272727</v>
      </c>
      <c r="P128" s="140">
        <v>220.0</v>
      </c>
      <c r="Q128" s="140"/>
      <c r="R128" s="140">
        <v>38.0</v>
      </c>
      <c r="S128" s="140">
        <v>7.0</v>
      </c>
      <c r="T128" s="140"/>
      <c r="U128" s="140"/>
      <c r="V128" s="140">
        <v>175.0</v>
      </c>
      <c r="W128" s="140"/>
      <c r="X128" s="201"/>
      <c r="Y128" s="140"/>
      <c r="Z128" s="140"/>
      <c r="AA128" s="197"/>
      <c r="AB128" s="197"/>
      <c r="AC128" s="197"/>
      <c r="AD128" s="197"/>
      <c r="AE128" s="197"/>
      <c r="AF128" s="197"/>
      <c r="AG128" s="197"/>
      <c r="AH128" s="197"/>
    </row>
    <row r="129" hidden="1">
      <c r="A129" s="192">
        <v>61.0</v>
      </c>
      <c r="B129" s="86" t="str">
        <f t="array" ref="B129">IFerror(INDEX(Papers!D$2:D$998,MATCH($A129, Papers!$A$2:$A$998,0)),"")</f>
        <v>Amparo Ballivian, Joao Pedro Azevedo, Will Durbin</v>
      </c>
      <c r="C129" s="59">
        <f t="array" ref="C129">IFerror(INDEX(Papers!F$2:F$998,MATCH($A129, Papers!$A$2:$A$998,0)),"")</f>
        <v>2015</v>
      </c>
      <c r="D129" s="86" t="str">
        <f t="array" ref="D129">IFerror(INDEX(Papers!C$2:C$998,MATCH($A129, Papers!$A$2:$A$998,0)),"")</f>
        <v>Using mobile phones for high-frequency data collection</v>
      </c>
      <c r="E129" s="59">
        <f t="array" ref="E129">IFerror(INDEX(Papers!G$2:G$998,MATCH($A129, Papers!$A$2:$A$998,0)),"")</f>
        <v>2012</v>
      </c>
      <c r="F129" s="67" t="s">
        <v>253</v>
      </c>
      <c r="G129" s="67" t="s">
        <v>9</v>
      </c>
      <c r="H129" s="86" t="s">
        <v>347</v>
      </c>
      <c r="I129" s="68">
        <v>1.0</v>
      </c>
      <c r="J129" s="68">
        <v>10.0</v>
      </c>
      <c r="K129" s="216" t="s">
        <v>408</v>
      </c>
      <c r="L129" s="193" t="s">
        <v>352</v>
      </c>
      <c r="M129" s="59"/>
      <c r="N129" s="194" t="str">
        <f t="shared" si="15"/>
        <v/>
      </c>
      <c r="O129" s="194">
        <f t="shared" si="16"/>
        <v>0.488372093</v>
      </c>
      <c r="P129" s="134">
        <v>129.0</v>
      </c>
      <c r="Q129" s="134"/>
      <c r="R129" s="218">
        <v>63.0</v>
      </c>
      <c r="S129" s="134"/>
      <c r="T129" s="134"/>
      <c r="U129" s="134"/>
      <c r="V129" s="134">
        <v>66.0</v>
      </c>
      <c r="W129" s="134"/>
      <c r="X129" s="207"/>
      <c r="Y129" s="134"/>
      <c r="Z129" s="134"/>
      <c r="AA129" s="243"/>
      <c r="AB129" s="243"/>
      <c r="AC129" s="192"/>
      <c r="AD129" s="192"/>
      <c r="AE129" s="192"/>
      <c r="AF129" s="192"/>
      <c r="AG129" s="192"/>
      <c r="AH129" s="192"/>
    </row>
    <row r="130" hidden="1">
      <c r="A130" s="197">
        <v>61.0</v>
      </c>
      <c r="B130" s="198" t="str">
        <f t="array" ref="B130">IFerror(INDEX(Papers!D$2:D$998,MATCH($A130, Papers!$A$2:$A$998,0)),"")</f>
        <v>Amparo Ballivian, Joao Pedro Azevedo, Will Durbin</v>
      </c>
      <c r="C130" s="53">
        <f t="array" ref="C130">IFerror(INDEX(Papers!F$2:F$998,MATCH($A130, Papers!$A$2:$A$998,0)),"")</f>
        <v>2015</v>
      </c>
      <c r="D130" s="198" t="str">
        <f t="array" ref="D130">IFerror(INDEX(Papers!C$2:C$998,MATCH($A130, Papers!$A$2:$A$998,0)),"")</f>
        <v>Using mobile phones for high-frequency data collection</v>
      </c>
      <c r="E130" s="53">
        <f t="array" ref="E130">IFerror(INDEX(Papers!G$2:G$998,MATCH($A130, Papers!$A$2:$A$998,0)),"")</f>
        <v>2012</v>
      </c>
      <c r="F130" s="69" t="s">
        <v>253</v>
      </c>
      <c r="G130" s="69" t="s">
        <v>9</v>
      </c>
      <c r="H130" s="198" t="s">
        <v>347</v>
      </c>
      <c r="I130" s="66">
        <v>1.0</v>
      </c>
      <c r="J130" s="66">
        <v>10.0</v>
      </c>
      <c r="K130" s="219" t="s">
        <v>408</v>
      </c>
      <c r="L130" s="209" t="s">
        <v>353</v>
      </c>
      <c r="M130" s="53"/>
      <c r="N130" s="202" t="str">
        <f t="shared" si="15"/>
        <v/>
      </c>
      <c r="O130" s="210">
        <f t="shared" si="16"/>
        <v>0.519379845</v>
      </c>
      <c r="P130" s="140">
        <v>129.0</v>
      </c>
      <c r="Q130" s="140"/>
      <c r="R130" s="221">
        <v>67.0</v>
      </c>
      <c r="S130" s="140"/>
      <c r="T130" s="140"/>
      <c r="U130" s="140"/>
      <c r="V130" s="140">
        <v>62.0</v>
      </c>
      <c r="W130" s="140"/>
      <c r="X130" s="201"/>
      <c r="Y130" s="140"/>
      <c r="Z130" s="140"/>
      <c r="AA130" s="242"/>
      <c r="AB130" s="242"/>
      <c r="AC130" s="197"/>
      <c r="AD130" s="197"/>
      <c r="AE130" s="197"/>
      <c r="AF130" s="197"/>
      <c r="AG130" s="197"/>
      <c r="AH130" s="197"/>
    </row>
    <row r="131" hidden="1">
      <c r="A131" s="192">
        <v>61.0</v>
      </c>
      <c r="B131" s="86" t="str">
        <f t="array" ref="B131">IFerror(INDEX(Papers!D$2:D$998,MATCH($A131, Papers!$A$2:$A$998,0)),"")</f>
        <v>Amparo Ballivian, Joao Pedro Azevedo, Will Durbin</v>
      </c>
      <c r="C131" s="59">
        <f t="array" ref="C131">IFerror(INDEX(Papers!F$2:F$998,MATCH($A131, Papers!$A$2:$A$998,0)),"")</f>
        <v>2015</v>
      </c>
      <c r="D131" s="86" t="str">
        <f t="array" ref="D131">IFerror(INDEX(Papers!C$2:C$998,MATCH($A131, Papers!$A$2:$A$998,0)),"")</f>
        <v>Using mobile phones for high-frequency data collection</v>
      </c>
      <c r="E131" s="59">
        <f t="array" ref="E131">IFerror(INDEX(Papers!G$2:G$998,MATCH($A131, Papers!$A$2:$A$998,0)),"")</f>
        <v>2012</v>
      </c>
      <c r="F131" s="67" t="s">
        <v>253</v>
      </c>
      <c r="G131" s="67" t="s">
        <v>9</v>
      </c>
      <c r="H131" s="86" t="s">
        <v>347</v>
      </c>
      <c r="I131" s="68">
        <v>1.0</v>
      </c>
      <c r="J131" s="68">
        <v>10.0</v>
      </c>
      <c r="K131" s="216" t="s">
        <v>408</v>
      </c>
      <c r="L131" s="193" t="s">
        <v>354</v>
      </c>
      <c r="M131" s="59"/>
      <c r="N131" s="194" t="str">
        <f t="shared" si="15"/>
        <v/>
      </c>
      <c r="O131" s="194">
        <f t="shared" si="16"/>
        <v>0.496124031</v>
      </c>
      <c r="P131" s="134">
        <v>129.0</v>
      </c>
      <c r="Q131" s="134"/>
      <c r="R131" s="218">
        <v>64.0</v>
      </c>
      <c r="S131" s="134"/>
      <c r="T131" s="134"/>
      <c r="U131" s="134"/>
      <c r="V131" s="134">
        <v>65.0</v>
      </c>
      <c r="W131" s="134"/>
      <c r="X131" s="207"/>
      <c r="Y131" s="134"/>
      <c r="Z131" s="134"/>
      <c r="AA131" s="243"/>
      <c r="AB131" s="243"/>
      <c r="AC131" s="192"/>
      <c r="AD131" s="192"/>
      <c r="AE131" s="192"/>
      <c r="AF131" s="192"/>
      <c r="AG131" s="192"/>
      <c r="AH131" s="192"/>
    </row>
    <row r="132" hidden="1">
      <c r="A132" s="197">
        <v>61.0</v>
      </c>
      <c r="B132" s="198" t="str">
        <f t="array" ref="B132">IFerror(INDEX(Papers!D$2:D$998,MATCH($A132, Papers!$A$2:$A$998,0)),"")</f>
        <v>Amparo Ballivian, Joao Pedro Azevedo, Will Durbin</v>
      </c>
      <c r="C132" s="53">
        <f t="array" ref="C132">IFerror(INDEX(Papers!F$2:F$998,MATCH($A132, Papers!$A$2:$A$998,0)),"")</f>
        <v>2015</v>
      </c>
      <c r="D132" s="198" t="str">
        <f t="array" ref="D132">IFerror(INDEX(Papers!C$2:C$998,MATCH($A132, Papers!$A$2:$A$998,0)),"")</f>
        <v>Using mobile phones for high-frequency data collection</v>
      </c>
      <c r="E132" s="53">
        <f t="array" ref="E132">IFerror(INDEX(Papers!G$2:G$998,MATCH($A132, Papers!$A$2:$A$998,0)),"")</f>
        <v>2012</v>
      </c>
      <c r="F132" s="69" t="s">
        <v>253</v>
      </c>
      <c r="G132" s="69" t="s">
        <v>9</v>
      </c>
      <c r="H132" s="198" t="s">
        <v>347</v>
      </c>
      <c r="I132" s="66">
        <v>1.0</v>
      </c>
      <c r="J132" s="66">
        <v>10.0</v>
      </c>
      <c r="K132" s="219" t="s">
        <v>408</v>
      </c>
      <c r="L132" s="209" t="s">
        <v>355</v>
      </c>
      <c r="M132" s="53"/>
      <c r="N132" s="202" t="str">
        <f t="shared" si="15"/>
        <v/>
      </c>
      <c r="O132" s="210">
        <f t="shared" si="16"/>
        <v>0.496124031</v>
      </c>
      <c r="P132" s="140">
        <v>129.0</v>
      </c>
      <c r="Q132" s="140"/>
      <c r="R132" s="221">
        <v>64.0</v>
      </c>
      <c r="S132" s="140"/>
      <c r="T132" s="140"/>
      <c r="U132" s="140"/>
      <c r="V132" s="140">
        <v>65.0</v>
      </c>
      <c r="W132" s="140"/>
      <c r="X132" s="201"/>
      <c r="Y132" s="140"/>
      <c r="Z132" s="140"/>
      <c r="AA132" s="242"/>
      <c r="AB132" s="242"/>
      <c r="AC132" s="197"/>
      <c r="AD132" s="197"/>
      <c r="AE132" s="197"/>
      <c r="AF132" s="197"/>
      <c r="AG132" s="197"/>
      <c r="AH132" s="197"/>
    </row>
    <row r="133" hidden="1">
      <c r="A133" s="192">
        <v>61.0</v>
      </c>
      <c r="B133" s="86" t="str">
        <f t="array" ref="B133">IFerror(INDEX(Papers!D$2:D$998,MATCH($A133, Papers!$A$2:$A$998,0)),"")</f>
        <v>Amparo Ballivian, Joao Pedro Azevedo, Will Durbin</v>
      </c>
      <c r="C133" s="59">
        <f t="array" ref="C133">IFerror(INDEX(Papers!F$2:F$998,MATCH($A133, Papers!$A$2:$A$998,0)),"")</f>
        <v>2015</v>
      </c>
      <c r="D133" s="86" t="str">
        <f t="array" ref="D133">IFerror(INDEX(Papers!C$2:C$998,MATCH($A133, Papers!$A$2:$A$998,0)),"")</f>
        <v>Using mobile phones for high-frequency data collection</v>
      </c>
      <c r="E133" s="59">
        <f t="array" ref="E133">IFerror(INDEX(Papers!G$2:G$998,MATCH($A133, Papers!$A$2:$A$998,0)),"")</f>
        <v>2012</v>
      </c>
      <c r="F133" s="67" t="s">
        <v>253</v>
      </c>
      <c r="G133" s="67" t="s">
        <v>9</v>
      </c>
      <c r="H133" s="86" t="s">
        <v>347</v>
      </c>
      <c r="I133" s="68">
        <v>1.0</v>
      </c>
      <c r="J133" s="68">
        <v>10.0</v>
      </c>
      <c r="K133" s="216" t="s">
        <v>408</v>
      </c>
      <c r="L133" s="193" t="s">
        <v>356</v>
      </c>
      <c r="M133" s="59"/>
      <c r="N133" s="194" t="str">
        <f t="shared" si="15"/>
        <v/>
      </c>
      <c r="O133" s="194">
        <f t="shared" si="16"/>
        <v>0.503875969</v>
      </c>
      <c r="P133" s="134">
        <v>129.0</v>
      </c>
      <c r="Q133" s="134"/>
      <c r="R133" s="218">
        <v>65.0</v>
      </c>
      <c r="S133" s="134"/>
      <c r="T133" s="134"/>
      <c r="U133" s="134"/>
      <c r="V133" s="134">
        <v>64.0</v>
      </c>
      <c r="W133" s="134"/>
      <c r="X133" s="207"/>
      <c r="Y133" s="134"/>
      <c r="Z133" s="134"/>
      <c r="AA133" s="243"/>
      <c r="AB133" s="243"/>
      <c r="AC133" s="192"/>
      <c r="AD133" s="192"/>
      <c r="AE133" s="192"/>
      <c r="AF133" s="192"/>
      <c r="AG133" s="192"/>
      <c r="AH133" s="192"/>
    </row>
    <row r="134" hidden="1">
      <c r="A134" s="197">
        <v>61.0</v>
      </c>
      <c r="B134" s="198" t="str">
        <f t="array" ref="B134">IFerror(INDEX(Papers!D$2:D$998,MATCH($A134, Papers!$A$2:$A$998,0)),"")</f>
        <v>Amparo Ballivian, Joao Pedro Azevedo, Will Durbin</v>
      </c>
      <c r="C134" s="53">
        <f t="array" ref="C134">IFerror(INDEX(Papers!F$2:F$998,MATCH($A134, Papers!$A$2:$A$998,0)),"")</f>
        <v>2015</v>
      </c>
      <c r="D134" s="198" t="str">
        <f t="array" ref="D134">IFerror(INDEX(Papers!C$2:C$998,MATCH($A134, Papers!$A$2:$A$998,0)),"")</f>
        <v>Using mobile phones for high-frequency data collection</v>
      </c>
      <c r="E134" s="53">
        <f t="array" ref="E134">IFerror(INDEX(Papers!G$2:G$998,MATCH($A134, Papers!$A$2:$A$998,0)),"")</f>
        <v>2012</v>
      </c>
      <c r="F134" s="69" t="s">
        <v>253</v>
      </c>
      <c r="G134" s="69" t="s">
        <v>9</v>
      </c>
      <c r="H134" s="198" t="s">
        <v>347</v>
      </c>
      <c r="I134" s="66">
        <v>1.0</v>
      </c>
      <c r="J134" s="66">
        <v>10.0</v>
      </c>
      <c r="K134" s="219" t="s">
        <v>408</v>
      </c>
      <c r="L134" s="209" t="s">
        <v>407</v>
      </c>
      <c r="M134" s="53"/>
      <c r="N134" s="202" t="str">
        <f t="shared" si="15"/>
        <v/>
      </c>
      <c r="O134" s="210">
        <f t="shared" si="16"/>
        <v>0.3720930233</v>
      </c>
      <c r="P134" s="140">
        <v>129.0</v>
      </c>
      <c r="Q134" s="140"/>
      <c r="R134" s="221">
        <v>48.0</v>
      </c>
      <c r="S134" s="140"/>
      <c r="T134" s="140"/>
      <c r="U134" s="140"/>
      <c r="V134" s="140">
        <v>81.0</v>
      </c>
      <c r="W134" s="140"/>
      <c r="X134" s="201"/>
      <c r="Y134" s="140"/>
      <c r="Z134" s="140"/>
      <c r="AA134" s="242"/>
      <c r="AB134" s="242"/>
      <c r="AC134" s="197"/>
      <c r="AD134" s="197"/>
      <c r="AE134" s="197"/>
      <c r="AF134" s="197"/>
      <c r="AG134" s="197"/>
      <c r="AH134" s="197"/>
    </row>
    <row r="135" hidden="1">
      <c r="A135" s="192">
        <v>61.0</v>
      </c>
      <c r="B135" s="86" t="str">
        <f t="array" ref="B135">IFerror(INDEX(Papers!D$2:D$998,MATCH($A135, Papers!$A$2:$A$998,0)),"")</f>
        <v>Amparo Ballivian, Joao Pedro Azevedo, Will Durbin</v>
      </c>
      <c r="C135" s="59">
        <f t="array" ref="C135">IFerror(INDEX(Papers!F$2:F$998,MATCH($A135, Papers!$A$2:$A$998,0)),"")</f>
        <v>2015</v>
      </c>
      <c r="D135" s="86" t="str">
        <f t="array" ref="D135">IFerror(INDEX(Papers!C$2:C$998,MATCH($A135, Papers!$A$2:$A$998,0)),"")</f>
        <v>Using mobile phones for high-frequency data collection</v>
      </c>
      <c r="E135" s="59">
        <f t="array" ref="E135">IFerror(INDEX(Papers!G$2:G$998,MATCH($A135, Papers!$A$2:$A$998,0)),"")</f>
        <v>2012</v>
      </c>
      <c r="F135" s="67" t="s">
        <v>253</v>
      </c>
      <c r="G135" s="67" t="s">
        <v>11</v>
      </c>
      <c r="H135" s="86" t="s">
        <v>347</v>
      </c>
      <c r="I135" s="68">
        <v>1.0</v>
      </c>
      <c r="J135" s="68">
        <v>10.0</v>
      </c>
      <c r="K135" s="216" t="s">
        <v>408</v>
      </c>
      <c r="L135" s="193" t="s">
        <v>352</v>
      </c>
      <c r="M135" s="59"/>
      <c r="N135" s="194" t="str">
        <f t="shared" si="15"/>
        <v/>
      </c>
      <c r="O135" s="194">
        <f t="shared" si="16"/>
        <v>0.1703703704</v>
      </c>
      <c r="P135" s="134">
        <v>135.0</v>
      </c>
      <c r="Q135" s="134"/>
      <c r="R135" s="134">
        <v>23.0</v>
      </c>
      <c r="S135" s="134">
        <v>6.0</v>
      </c>
      <c r="T135" s="134"/>
      <c r="U135" s="134"/>
      <c r="V135" s="134">
        <v>106.0</v>
      </c>
      <c r="W135" s="134"/>
      <c r="X135" s="207"/>
      <c r="Y135" s="134"/>
      <c r="Z135" s="134"/>
      <c r="AA135" s="192"/>
      <c r="AB135" s="192"/>
      <c r="AC135" s="192"/>
      <c r="AD135" s="192"/>
      <c r="AE135" s="192"/>
      <c r="AF135" s="192"/>
      <c r="AG135" s="192"/>
      <c r="AH135" s="192"/>
    </row>
    <row r="136" hidden="1">
      <c r="A136" s="197">
        <v>61.0</v>
      </c>
      <c r="B136" s="198" t="str">
        <f t="array" ref="B136">IFerror(INDEX(Papers!D$2:D$998,MATCH($A136, Papers!$A$2:$A$998,0)),"")</f>
        <v>Amparo Ballivian, Joao Pedro Azevedo, Will Durbin</v>
      </c>
      <c r="C136" s="53">
        <f t="array" ref="C136">IFerror(INDEX(Papers!F$2:F$998,MATCH($A136, Papers!$A$2:$A$998,0)),"")</f>
        <v>2015</v>
      </c>
      <c r="D136" s="198" t="str">
        <f t="array" ref="D136">IFerror(INDEX(Papers!C$2:C$998,MATCH($A136, Papers!$A$2:$A$998,0)),"")</f>
        <v>Using mobile phones for high-frequency data collection</v>
      </c>
      <c r="E136" s="53">
        <f t="array" ref="E136">IFerror(INDEX(Papers!G$2:G$998,MATCH($A136, Papers!$A$2:$A$998,0)),"")</f>
        <v>2012</v>
      </c>
      <c r="F136" s="69" t="s">
        <v>253</v>
      </c>
      <c r="G136" s="69" t="s">
        <v>11</v>
      </c>
      <c r="H136" s="198" t="s">
        <v>347</v>
      </c>
      <c r="I136" s="66">
        <v>1.0</v>
      </c>
      <c r="J136" s="66">
        <v>10.0</v>
      </c>
      <c r="K136" s="219" t="s">
        <v>408</v>
      </c>
      <c r="L136" s="209" t="s">
        <v>353</v>
      </c>
      <c r="M136" s="53"/>
      <c r="N136" s="202" t="str">
        <f t="shared" si="15"/>
        <v/>
      </c>
      <c r="O136" s="210">
        <f t="shared" si="16"/>
        <v>0.1777777778</v>
      </c>
      <c r="P136" s="140">
        <v>135.0</v>
      </c>
      <c r="Q136" s="140"/>
      <c r="R136" s="140">
        <v>24.0</v>
      </c>
      <c r="S136" s="140">
        <v>9.0</v>
      </c>
      <c r="T136" s="140"/>
      <c r="U136" s="140"/>
      <c r="V136" s="140">
        <v>102.0</v>
      </c>
      <c r="W136" s="140"/>
      <c r="X136" s="201"/>
      <c r="Y136" s="140"/>
      <c r="Z136" s="140"/>
      <c r="AA136" s="197"/>
      <c r="AB136" s="197"/>
      <c r="AC136" s="197"/>
      <c r="AD136" s="197"/>
      <c r="AE136" s="197"/>
      <c r="AF136" s="197"/>
      <c r="AG136" s="197"/>
      <c r="AH136" s="197"/>
    </row>
    <row r="137" hidden="1">
      <c r="A137" s="192">
        <v>61.0</v>
      </c>
      <c r="B137" s="86" t="str">
        <f t="array" ref="B137">IFerror(INDEX(Papers!D$2:D$998,MATCH($A137, Papers!$A$2:$A$998,0)),"")</f>
        <v>Amparo Ballivian, Joao Pedro Azevedo, Will Durbin</v>
      </c>
      <c r="C137" s="59">
        <f t="array" ref="C137">IFerror(INDEX(Papers!F$2:F$998,MATCH($A137, Papers!$A$2:$A$998,0)),"")</f>
        <v>2015</v>
      </c>
      <c r="D137" s="86" t="str">
        <f t="array" ref="D137">IFerror(INDEX(Papers!C$2:C$998,MATCH($A137, Papers!$A$2:$A$998,0)),"")</f>
        <v>Using mobile phones for high-frequency data collection</v>
      </c>
      <c r="E137" s="59">
        <f t="array" ref="E137">IFerror(INDEX(Papers!G$2:G$998,MATCH($A137, Papers!$A$2:$A$998,0)),"")</f>
        <v>2012</v>
      </c>
      <c r="F137" s="67" t="s">
        <v>253</v>
      </c>
      <c r="G137" s="67" t="s">
        <v>11</v>
      </c>
      <c r="H137" s="86" t="s">
        <v>347</v>
      </c>
      <c r="I137" s="68">
        <v>1.0</v>
      </c>
      <c r="J137" s="68">
        <v>10.0</v>
      </c>
      <c r="K137" s="216" t="s">
        <v>408</v>
      </c>
      <c r="L137" s="193" t="s">
        <v>354</v>
      </c>
      <c r="M137" s="59"/>
      <c r="N137" s="194" t="str">
        <f t="shared" si="15"/>
        <v/>
      </c>
      <c r="O137" s="194">
        <f t="shared" si="16"/>
        <v>0.1777777778</v>
      </c>
      <c r="P137" s="134">
        <v>135.0</v>
      </c>
      <c r="Q137" s="134"/>
      <c r="R137" s="134">
        <v>24.0</v>
      </c>
      <c r="S137" s="134">
        <v>7.0</v>
      </c>
      <c r="T137" s="134"/>
      <c r="U137" s="134"/>
      <c r="V137" s="134">
        <v>104.0</v>
      </c>
      <c r="W137" s="134"/>
      <c r="X137" s="207"/>
      <c r="Y137" s="134"/>
      <c r="Z137" s="134"/>
      <c r="AA137" s="192"/>
      <c r="AB137" s="192"/>
      <c r="AC137" s="192"/>
      <c r="AD137" s="192"/>
      <c r="AE137" s="192"/>
      <c r="AF137" s="192"/>
      <c r="AG137" s="192"/>
      <c r="AH137" s="192"/>
    </row>
    <row r="138" hidden="1">
      <c r="A138" s="197">
        <v>61.0</v>
      </c>
      <c r="B138" s="198" t="str">
        <f t="array" ref="B138">IFerror(INDEX(Papers!D$2:D$998,MATCH($A138, Papers!$A$2:$A$998,0)),"")</f>
        <v>Amparo Ballivian, Joao Pedro Azevedo, Will Durbin</v>
      </c>
      <c r="C138" s="53">
        <f t="array" ref="C138">IFerror(INDEX(Papers!F$2:F$998,MATCH($A138, Papers!$A$2:$A$998,0)),"")</f>
        <v>2015</v>
      </c>
      <c r="D138" s="198" t="str">
        <f t="array" ref="D138">IFerror(INDEX(Papers!C$2:C$998,MATCH($A138, Papers!$A$2:$A$998,0)),"")</f>
        <v>Using mobile phones for high-frequency data collection</v>
      </c>
      <c r="E138" s="53">
        <f t="array" ref="E138">IFerror(INDEX(Papers!G$2:G$998,MATCH($A138, Papers!$A$2:$A$998,0)),"")</f>
        <v>2012</v>
      </c>
      <c r="F138" s="69" t="s">
        <v>253</v>
      </c>
      <c r="G138" s="69" t="s">
        <v>11</v>
      </c>
      <c r="H138" s="198" t="s">
        <v>347</v>
      </c>
      <c r="I138" s="66">
        <v>1.0</v>
      </c>
      <c r="J138" s="66">
        <v>10.0</v>
      </c>
      <c r="K138" s="219" t="s">
        <v>408</v>
      </c>
      <c r="L138" s="209" t="s">
        <v>355</v>
      </c>
      <c r="M138" s="53"/>
      <c r="N138" s="202" t="str">
        <f t="shared" si="15"/>
        <v/>
      </c>
      <c r="O138" s="210">
        <f t="shared" si="16"/>
        <v>0.237037037</v>
      </c>
      <c r="P138" s="140">
        <v>135.0</v>
      </c>
      <c r="Q138" s="140"/>
      <c r="R138" s="140">
        <v>32.0</v>
      </c>
      <c r="S138" s="140">
        <v>4.0</v>
      </c>
      <c r="T138" s="140"/>
      <c r="U138" s="140"/>
      <c r="V138" s="140">
        <v>99.0</v>
      </c>
      <c r="W138" s="140"/>
      <c r="X138" s="201"/>
      <c r="Y138" s="140"/>
      <c r="Z138" s="140"/>
      <c r="AA138" s="197"/>
      <c r="AB138" s="197"/>
      <c r="AC138" s="197"/>
      <c r="AD138" s="197"/>
      <c r="AE138" s="197"/>
      <c r="AF138" s="197"/>
      <c r="AG138" s="197"/>
      <c r="AH138" s="197"/>
    </row>
    <row r="139" hidden="1">
      <c r="A139" s="192">
        <v>61.0</v>
      </c>
      <c r="B139" s="86" t="str">
        <f t="array" ref="B139">IFerror(INDEX(Papers!D$2:D$998,MATCH($A139, Papers!$A$2:$A$998,0)),"")</f>
        <v>Amparo Ballivian, Joao Pedro Azevedo, Will Durbin</v>
      </c>
      <c r="C139" s="59">
        <f t="array" ref="C139">IFerror(INDEX(Papers!F$2:F$998,MATCH($A139, Papers!$A$2:$A$998,0)),"")</f>
        <v>2015</v>
      </c>
      <c r="D139" s="86" t="str">
        <f t="array" ref="D139">IFerror(INDEX(Papers!C$2:C$998,MATCH($A139, Papers!$A$2:$A$998,0)),"")</f>
        <v>Using mobile phones for high-frequency data collection</v>
      </c>
      <c r="E139" s="59">
        <f t="array" ref="E139">IFerror(INDEX(Papers!G$2:G$998,MATCH($A139, Papers!$A$2:$A$998,0)),"")</f>
        <v>2012</v>
      </c>
      <c r="F139" s="67" t="s">
        <v>253</v>
      </c>
      <c r="G139" s="67" t="s">
        <v>11</v>
      </c>
      <c r="H139" s="86" t="s">
        <v>347</v>
      </c>
      <c r="I139" s="68">
        <v>1.0</v>
      </c>
      <c r="J139" s="68">
        <v>10.0</v>
      </c>
      <c r="K139" s="216" t="s">
        <v>408</v>
      </c>
      <c r="L139" s="193" t="s">
        <v>356</v>
      </c>
      <c r="M139" s="59"/>
      <c r="N139" s="194" t="str">
        <f t="shared" si="15"/>
        <v/>
      </c>
      <c r="O139" s="194">
        <f t="shared" si="16"/>
        <v>0.162962963</v>
      </c>
      <c r="P139" s="134">
        <v>135.0</v>
      </c>
      <c r="Q139" s="134"/>
      <c r="R139" s="134">
        <v>22.0</v>
      </c>
      <c r="S139" s="134">
        <v>3.0</v>
      </c>
      <c r="T139" s="134"/>
      <c r="U139" s="134"/>
      <c r="V139" s="134">
        <v>110.0</v>
      </c>
      <c r="W139" s="134"/>
      <c r="X139" s="207"/>
      <c r="Y139" s="134"/>
      <c r="Z139" s="134"/>
      <c r="AA139" s="192"/>
      <c r="AB139" s="192"/>
      <c r="AC139" s="192"/>
      <c r="AD139" s="192"/>
      <c r="AE139" s="192"/>
      <c r="AF139" s="192"/>
      <c r="AG139" s="192"/>
      <c r="AH139" s="192"/>
    </row>
    <row r="140" hidden="1">
      <c r="A140" s="197">
        <v>61.0</v>
      </c>
      <c r="B140" s="198" t="str">
        <f t="array" ref="B140">IFerror(INDEX(Papers!D$2:D$998,MATCH($A140, Papers!$A$2:$A$998,0)),"")</f>
        <v>Amparo Ballivian, Joao Pedro Azevedo, Will Durbin</v>
      </c>
      <c r="C140" s="53">
        <f t="array" ref="C140">IFerror(INDEX(Papers!F$2:F$998,MATCH($A140, Papers!$A$2:$A$998,0)),"")</f>
        <v>2015</v>
      </c>
      <c r="D140" s="198" t="str">
        <f t="array" ref="D140">IFerror(INDEX(Papers!C$2:C$998,MATCH($A140, Papers!$A$2:$A$998,0)),"")</f>
        <v>Using mobile phones for high-frequency data collection</v>
      </c>
      <c r="E140" s="53">
        <f t="array" ref="E140">IFerror(INDEX(Papers!G$2:G$998,MATCH($A140, Papers!$A$2:$A$998,0)),"")</f>
        <v>2012</v>
      </c>
      <c r="F140" s="69" t="s">
        <v>253</v>
      </c>
      <c r="G140" s="69" t="s">
        <v>11</v>
      </c>
      <c r="H140" s="198" t="s">
        <v>347</v>
      </c>
      <c r="I140" s="66">
        <v>1.0</v>
      </c>
      <c r="J140" s="66">
        <v>10.0</v>
      </c>
      <c r="K140" s="219" t="s">
        <v>408</v>
      </c>
      <c r="L140" s="209" t="s">
        <v>407</v>
      </c>
      <c r="M140" s="53"/>
      <c r="N140" s="202" t="str">
        <f t="shared" si="15"/>
        <v/>
      </c>
      <c r="O140" s="210">
        <f t="shared" si="16"/>
        <v>0.2222222222</v>
      </c>
      <c r="P140" s="140">
        <v>135.0</v>
      </c>
      <c r="Q140" s="140"/>
      <c r="R140" s="140">
        <v>30.0</v>
      </c>
      <c r="S140" s="140">
        <v>5.0</v>
      </c>
      <c r="T140" s="140"/>
      <c r="U140" s="140"/>
      <c r="V140" s="140">
        <v>100.0</v>
      </c>
      <c r="W140" s="140"/>
      <c r="X140" s="201"/>
      <c r="Y140" s="140"/>
      <c r="Z140" s="140"/>
      <c r="AA140" s="197"/>
      <c r="AB140" s="197"/>
      <c r="AC140" s="197"/>
      <c r="AD140" s="197"/>
      <c r="AE140" s="197"/>
      <c r="AF140" s="197"/>
      <c r="AG140" s="197"/>
      <c r="AH140" s="197"/>
    </row>
    <row r="141" hidden="1">
      <c r="A141" s="192">
        <v>61.0</v>
      </c>
      <c r="B141" s="86" t="str">
        <f t="array" ref="B141">IFerror(INDEX(Papers!D$2:D$998,MATCH($A141, Papers!$A$2:$A$998,0)),"")</f>
        <v>Amparo Ballivian, Joao Pedro Azevedo, Will Durbin</v>
      </c>
      <c r="C141" s="59">
        <f t="array" ref="C141">IFerror(INDEX(Papers!F$2:F$998,MATCH($A141, Papers!$A$2:$A$998,0)),"")</f>
        <v>2015</v>
      </c>
      <c r="D141" s="86" t="str">
        <f t="array" ref="D141">IFerror(INDEX(Papers!C$2:C$998,MATCH($A141, Papers!$A$2:$A$998,0)),"")</f>
        <v>Using mobile phones for high-frequency data collection</v>
      </c>
      <c r="E141" s="59">
        <f t="array" ref="E141">IFerror(INDEX(Papers!G$2:G$998,MATCH($A141, Papers!$A$2:$A$998,0)),"")</f>
        <v>2012</v>
      </c>
      <c r="F141" s="67" t="s">
        <v>253</v>
      </c>
      <c r="G141" s="67" t="s">
        <v>10</v>
      </c>
      <c r="H141" s="86" t="s">
        <v>347</v>
      </c>
      <c r="I141" s="68">
        <v>1.0</v>
      </c>
      <c r="J141" s="68">
        <v>10.0</v>
      </c>
      <c r="K141" s="216" t="s">
        <v>408</v>
      </c>
      <c r="L141" s="193" t="s">
        <v>352</v>
      </c>
      <c r="M141" s="59"/>
      <c r="N141" s="194" t="str">
        <f t="shared" si="15"/>
        <v/>
      </c>
      <c r="O141" s="194">
        <f t="shared" si="16"/>
        <v>0.2532751092</v>
      </c>
      <c r="P141" s="134">
        <v>229.0</v>
      </c>
      <c r="Q141" s="134"/>
      <c r="R141" s="134">
        <v>58.0</v>
      </c>
      <c r="S141" s="134">
        <v>16.0</v>
      </c>
      <c r="T141" s="134"/>
      <c r="U141" s="134"/>
      <c r="V141" s="134">
        <v>155.0</v>
      </c>
      <c r="W141" s="134"/>
      <c r="X141" s="207"/>
      <c r="Y141" s="134"/>
      <c r="Z141" s="134"/>
      <c r="AA141" s="192"/>
      <c r="AB141" s="192"/>
      <c r="AC141" s="192"/>
      <c r="AD141" s="192"/>
      <c r="AE141" s="192"/>
      <c r="AF141" s="192"/>
      <c r="AG141" s="192"/>
      <c r="AH141" s="192"/>
    </row>
    <row r="142" hidden="1">
      <c r="A142" s="197">
        <v>61.0</v>
      </c>
      <c r="B142" s="198" t="str">
        <f t="array" ref="B142">IFerror(INDEX(Papers!D$2:D$998,MATCH($A142, Papers!$A$2:$A$998,0)),"")</f>
        <v>Amparo Ballivian, Joao Pedro Azevedo, Will Durbin</v>
      </c>
      <c r="C142" s="53">
        <f t="array" ref="C142">IFerror(INDEX(Papers!F$2:F$998,MATCH($A142, Papers!$A$2:$A$998,0)),"")</f>
        <v>2015</v>
      </c>
      <c r="D142" s="198" t="str">
        <f t="array" ref="D142">IFerror(INDEX(Papers!C$2:C$998,MATCH($A142, Papers!$A$2:$A$998,0)),"")</f>
        <v>Using mobile phones for high-frequency data collection</v>
      </c>
      <c r="E142" s="53">
        <f t="array" ref="E142">IFerror(INDEX(Papers!G$2:G$998,MATCH($A142, Papers!$A$2:$A$998,0)),"")</f>
        <v>2012</v>
      </c>
      <c r="F142" s="69" t="s">
        <v>253</v>
      </c>
      <c r="G142" s="69" t="s">
        <v>10</v>
      </c>
      <c r="H142" s="198" t="s">
        <v>347</v>
      </c>
      <c r="I142" s="66">
        <v>1.0</v>
      </c>
      <c r="J142" s="66">
        <v>10.0</v>
      </c>
      <c r="K142" s="219" t="s">
        <v>408</v>
      </c>
      <c r="L142" s="209" t="s">
        <v>353</v>
      </c>
      <c r="M142" s="53"/>
      <c r="N142" s="202" t="str">
        <f t="shared" si="15"/>
        <v/>
      </c>
      <c r="O142" s="210">
        <f t="shared" si="16"/>
        <v>0.2401746725</v>
      </c>
      <c r="P142" s="140">
        <v>229.0</v>
      </c>
      <c r="Q142" s="140"/>
      <c r="R142" s="140">
        <v>55.0</v>
      </c>
      <c r="S142" s="140">
        <v>12.0</v>
      </c>
      <c r="T142" s="140"/>
      <c r="U142" s="140"/>
      <c r="V142" s="140">
        <v>162.0</v>
      </c>
      <c r="W142" s="140"/>
      <c r="X142" s="201"/>
      <c r="Y142" s="140"/>
      <c r="Z142" s="140"/>
      <c r="AA142" s="197"/>
      <c r="AB142" s="197"/>
      <c r="AC142" s="197"/>
      <c r="AD142" s="197"/>
      <c r="AE142" s="197"/>
      <c r="AF142" s="197"/>
      <c r="AG142" s="197"/>
      <c r="AH142" s="197"/>
    </row>
    <row r="143" hidden="1">
      <c r="A143" s="192">
        <v>61.0</v>
      </c>
      <c r="B143" s="86" t="str">
        <f t="array" ref="B143">IFerror(INDEX(Papers!D$2:D$998,MATCH($A143, Papers!$A$2:$A$998,0)),"")</f>
        <v>Amparo Ballivian, Joao Pedro Azevedo, Will Durbin</v>
      </c>
      <c r="C143" s="59">
        <f t="array" ref="C143">IFerror(INDEX(Papers!F$2:F$998,MATCH($A143, Papers!$A$2:$A$998,0)),"")</f>
        <v>2015</v>
      </c>
      <c r="D143" s="86" t="str">
        <f t="array" ref="D143">IFerror(INDEX(Papers!C$2:C$998,MATCH($A143, Papers!$A$2:$A$998,0)),"")</f>
        <v>Using mobile phones for high-frequency data collection</v>
      </c>
      <c r="E143" s="59">
        <f t="array" ref="E143">IFerror(INDEX(Papers!G$2:G$998,MATCH($A143, Papers!$A$2:$A$998,0)),"")</f>
        <v>2012</v>
      </c>
      <c r="F143" s="67" t="s">
        <v>253</v>
      </c>
      <c r="G143" s="67" t="s">
        <v>10</v>
      </c>
      <c r="H143" s="86" t="s">
        <v>347</v>
      </c>
      <c r="I143" s="68">
        <v>1.0</v>
      </c>
      <c r="J143" s="68">
        <v>10.0</v>
      </c>
      <c r="K143" s="216" t="s">
        <v>408</v>
      </c>
      <c r="L143" s="193" t="s">
        <v>354</v>
      </c>
      <c r="M143" s="59"/>
      <c r="N143" s="194" t="str">
        <f t="shared" si="15"/>
        <v/>
      </c>
      <c r="O143" s="194">
        <f t="shared" si="16"/>
        <v>0.2445414847</v>
      </c>
      <c r="P143" s="134">
        <v>229.0</v>
      </c>
      <c r="Q143" s="134"/>
      <c r="R143" s="134">
        <v>56.0</v>
      </c>
      <c r="S143" s="134">
        <v>5.0</v>
      </c>
      <c r="T143" s="134"/>
      <c r="U143" s="134"/>
      <c r="V143" s="134">
        <v>168.0</v>
      </c>
      <c r="W143" s="134"/>
      <c r="X143" s="207"/>
      <c r="Y143" s="134"/>
      <c r="Z143" s="134"/>
      <c r="AA143" s="192"/>
      <c r="AB143" s="192"/>
      <c r="AC143" s="192"/>
      <c r="AD143" s="192"/>
      <c r="AE143" s="192"/>
      <c r="AF143" s="192"/>
      <c r="AG143" s="192"/>
      <c r="AH143" s="192"/>
    </row>
    <row r="144" hidden="1">
      <c r="A144" s="197">
        <v>61.0</v>
      </c>
      <c r="B144" s="198" t="str">
        <f t="array" ref="B144">IFerror(INDEX(Papers!D$2:D$998,MATCH($A144, Papers!$A$2:$A$998,0)),"")</f>
        <v>Amparo Ballivian, Joao Pedro Azevedo, Will Durbin</v>
      </c>
      <c r="C144" s="53">
        <f t="array" ref="C144">IFerror(INDEX(Papers!F$2:F$998,MATCH($A144, Papers!$A$2:$A$998,0)),"")</f>
        <v>2015</v>
      </c>
      <c r="D144" s="198" t="str">
        <f t="array" ref="D144">IFerror(INDEX(Papers!C$2:C$998,MATCH($A144, Papers!$A$2:$A$998,0)),"")</f>
        <v>Using mobile phones for high-frequency data collection</v>
      </c>
      <c r="E144" s="53">
        <f t="array" ref="E144">IFerror(INDEX(Papers!G$2:G$998,MATCH($A144, Papers!$A$2:$A$998,0)),"")</f>
        <v>2012</v>
      </c>
      <c r="F144" s="69" t="s">
        <v>253</v>
      </c>
      <c r="G144" s="69" t="s">
        <v>10</v>
      </c>
      <c r="H144" s="198" t="s">
        <v>347</v>
      </c>
      <c r="I144" s="66">
        <v>1.0</v>
      </c>
      <c r="J144" s="66">
        <v>10.0</v>
      </c>
      <c r="K144" s="219" t="s">
        <v>408</v>
      </c>
      <c r="L144" s="209" t="s">
        <v>355</v>
      </c>
      <c r="M144" s="53"/>
      <c r="N144" s="202" t="str">
        <f t="shared" si="15"/>
        <v/>
      </c>
      <c r="O144" s="210">
        <f t="shared" si="16"/>
        <v>0.2008733624</v>
      </c>
      <c r="P144" s="140">
        <v>229.0</v>
      </c>
      <c r="Q144" s="140"/>
      <c r="R144" s="140">
        <v>46.0</v>
      </c>
      <c r="S144" s="140">
        <v>19.0</v>
      </c>
      <c r="T144" s="140"/>
      <c r="U144" s="140"/>
      <c r="V144" s="140">
        <v>164.0</v>
      </c>
      <c r="W144" s="140"/>
      <c r="X144" s="201"/>
      <c r="Y144" s="140"/>
      <c r="Z144" s="140"/>
      <c r="AA144" s="197"/>
      <c r="AB144" s="197"/>
      <c r="AC144" s="197"/>
      <c r="AD144" s="197"/>
      <c r="AE144" s="197"/>
      <c r="AF144" s="197"/>
      <c r="AG144" s="197"/>
      <c r="AH144" s="197"/>
    </row>
    <row r="145" hidden="1">
      <c r="A145" s="192">
        <v>61.0</v>
      </c>
      <c r="B145" s="86" t="str">
        <f t="array" ref="B145">IFerror(INDEX(Papers!D$2:D$998,MATCH($A145, Papers!$A$2:$A$998,0)),"")</f>
        <v>Amparo Ballivian, Joao Pedro Azevedo, Will Durbin</v>
      </c>
      <c r="C145" s="59">
        <f t="array" ref="C145">IFerror(INDEX(Papers!F$2:F$998,MATCH($A145, Papers!$A$2:$A$998,0)),"")</f>
        <v>2015</v>
      </c>
      <c r="D145" s="86" t="str">
        <f t="array" ref="D145">IFerror(INDEX(Papers!C$2:C$998,MATCH($A145, Papers!$A$2:$A$998,0)),"")</f>
        <v>Using mobile phones for high-frequency data collection</v>
      </c>
      <c r="E145" s="59">
        <f t="array" ref="E145">IFerror(INDEX(Papers!G$2:G$998,MATCH($A145, Papers!$A$2:$A$998,0)),"")</f>
        <v>2012</v>
      </c>
      <c r="F145" s="67" t="s">
        <v>253</v>
      </c>
      <c r="G145" s="67" t="s">
        <v>10</v>
      </c>
      <c r="H145" s="86" t="s">
        <v>347</v>
      </c>
      <c r="I145" s="68">
        <v>1.0</v>
      </c>
      <c r="J145" s="68">
        <v>10.0</v>
      </c>
      <c r="K145" s="216" t="s">
        <v>408</v>
      </c>
      <c r="L145" s="193" t="s">
        <v>356</v>
      </c>
      <c r="M145" s="59"/>
      <c r="N145" s="194" t="str">
        <f t="shared" si="15"/>
        <v/>
      </c>
      <c r="O145" s="194">
        <f t="shared" si="16"/>
        <v>0.2576419214</v>
      </c>
      <c r="P145" s="134">
        <v>229.0</v>
      </c>
      <c r="Q145" s="134"/>
      <c r="R145" s="134">
        <v>59.0</v>
      </c>
      <c r="S145" s="134">
        <v>4.0</v>
      </c>
      <c r="T145" s="134"/>
      <c r="U145" s="134"/>
      <c r="V145" s="134">
        <v>166.0</v>
      </c>
      <c r="W145" s="134"/>
      <c r="X145" s="207"/>
      <c r="Y145" s="134"/>
      <c r="Z145" s="134"/>
      <c r="AA145" s="192"/>
      <c r="AB145" s="192"/>
      <c r="AC145" s="192"/>
      <c r="AD145" s="192"/>
      <c r="AE145" s="192"/>
      <c r="AF145" s="192"/>
      <c r="AG145" s="192"/>
      <c r="AH145" s="192"/>
    </row>
    <row r="146" hidden="1">
      <c r="A146" s="197">
        <v>61.0</v>
      </c>
      <c r="B146" s="198" t="str">
        <f t="array" ref="B146">IFerror(INDEX(Papers!D$2:D$998,MATCH($A146, Papers!$A$2:$A$998,0)),"")</f>
        <v>Amparo Ballivian, Joao Pedro Azevedo, Will Durbin</v>
      </c>
      <c r="C146" s="53">
        <f t="array" ref="C146">IFerror(INDEX(Papers!F$2:F$998,MATCH($A146, Papers!$A$2:$A$998,0)),"")</f>
        <v>2015</v>
      </c>
      <c r="D146" s="198" t="str">
        <f t="array" ref="D146">IFerror(INDEX(Papers!C$2:C$998,MATCH($A146, Papers!$A$2:$A$998,0)),"")</f>
        <v>Using mobile phones for high-frequency data collection</v>
      </c>
      <c r="E146" s="53">
        <f t="array" ref="E146">IFerror(INDEX(Papers!G$2:G$998,MATCH($A146, Papers!$A$2:$A$998,0)),"")</f>
        <v>2012</v>
      </c>
      <c r="F146" s="69" t="s">
        <v>253</v>
      </c>
      <c r="G146" s="69" t="s">
        <v>10</v>
      </c>
      <c r="H146" s="198" t="s">
        <v>347</v>
      </c>
      <c r="I146" s="66">
        <v>1.0</v>
      </c>
      <c r="J146" s="66">
        <v>10.0</v>
      </c>
      <c r="K146" s="219" t="s">
        <v>408</v>
      </c>
      <c r="L146" s="209" t="s">
        <v>407</v>
      </c>
      <c r="M146" s="53"/>
      <c r="N146" s="202" t="str">
        <f t="shared" si="15"/>
        <v/>
      </c>
      <c r="O146" s="210">
        <f t="shared" si="16"/>
        <v>0.2401746725</v>
      </c>
      <c r="P146" s="140">
        <v>229.0</v>
      </c>
      <c r="Q146" s="140"/>
      <c r="R146" s="140">
        <v>55.0</v>
      </c>
      <c r="S146" s="140">
        <v>7.0</v>
      </c>
      <c r="T146" s="140"/>
      <c r="U146" s="140"/>
      <c r="V146" s="140">
        <v>167.0</v>
      </c>
      <c r="W146" s="140"/>
      <c r="X146" s="201"/>
      <c r="Y146" s="140"/>
      <c r="Z146" s="140"/>
      <c r="AA146" s="197"/>
      <c r="AB146" s="197"/>
      <c r="AC146" s="197"/>
      <c r="AD146" s="197"/>
      <c r="AE146" s="197"/>
      <c r="AF146" s="197"/>
      <c r="AG146" s="197"/>
      <c r="AH146" s="197"/>
    </row>
    <row r="147" hidden="1">
      <c r="A147" s="192">
        <v>61.0</v>
      </c>
      <c r="B147" s="86" t="str">
        <f t="array" ref="B147">IFerror(INDEX(Papers!D$2:D$998,MATCH($A147, Papers!$A$2:$A$998,0)),"")</f>
        <v>Amparo Ballivian, Joao Pedro Azevedo, Will Durbin</v>
      </c>
      <c r="C147" s="59">
        <f t="array" ref="C147">IFerror(INDEX(Papers!F$2:F$998,MATCH($A147, Papers!$A$2:$A$998,0)),"")</f>
        <v>2015</v>
      </c>
      <c r="D147" s="86" t="str">
        <f t="array" ref="D147">IFerror(INDEX(Papers!C$2:C$998,MATCH($A147, Papers!$A$2:$A$998,0)),"")</f>
        <v>Using mobile phones for high-frequency data collection</v>
      </c>
      <c r="E147" s="59">
        <f t="array" ref="E147">IFerror(INDEX(Papers!G$2:G$998,MATCH($A147, Papers!$A$2:$A$998,0)),"")</f>
        <v>2012</v>
      </c>
      <c r="F147" s="67" t="s">
        <v>253</v>
      </c>
      <c r="G147" s="67" t="s">
        <v>9</v>
      </c>
      <c r="H147" s="86" t="s">
        <v>347</v>
      </c>
      <c r="I147" s="68">
        <v>1.0</v>
      </c>
      <c r="J147" s="68">
        <v>10.0</v>
      </c>
      <c r="K147" s="216" t="s">
        <v>366</v>
      </c>
      <c r="L147" s="193" t="s">
        <v>352</v>
      </c>
      <c r="M147" s="59"/>
      <c r="N147" s="194" t="str">
        <f t="shared" si="15"/>
        <v/>
      </c>
      <c r="O147" s="194">
        <f t="shared" si="16"/>
        <v>0.5037593985</v>
      </c>
      <c r="P147" s="134">
        <v>133.0</v>
      </c>
      <c r="Q147" s="134"/>
      <c r="R147" s="218">
        <v>67.0</v>
      </c>
      <c r="S147" s="211"/>
      <c r="T147" s="134"/>
      <c r="U147" s="134"/>
      <c r="V147" s="218">
        <v>66.0</v>
      </c>
      <c r="W147" s="134"/>
      <c r="X147" s="207"/>
      <c r="Y147" s="134"/>
      <c r="Z147" s="134"/>
      <c r="AA147" s="212"/>
      <c r="AB147" s="212"/>
      <c r="AC147" s="192"/>
      <c r="AD147" s="192"/>
      <c r="AE147" s="192"/>
      <c r="AF147" s="192"/>
      <c r="AG147" s="192"/>
      <c r="AH147" s="192"/>
    </row>
    <row r="148" hidden="1">
      <c r="A148" s="197">
        <v>61.0</v>
      </c>
      <c r="B148" s="198" t="str">
        <f t="array" ref="B148">IFerror(INDEX(Papers!D$2:D$998,MATCH($A148, Papers!$A$2:$A$998,0)),"")</f>
        <v>Amparo Ballivian, Joao Pedro Azevedo, Will Durbin</v>
      </c>
      <c r="C148" s="53">
        <f t="array" ref="C148">IFerror(INDEX(Papers!F$2:F$998,MATCH($A148, Papers!$A$2:$A$998,0)),"")</f>
        <v>2015</v>
      </c>
      <c r="D148" s="198" t="str">
        <f t="array" ref="D148">IFerror(INDEX(Papers!C$2:C$998,MATCH($A148, Papers!$A$2:$A$998,0)),"")</f>
        <v>Using mobile phones for high-frequency data collection</v>
      </c>
      <c r="E148" s="53">
        <f t="array" ref="E148">IFerror(INDEX(Papers!G$2:G$998,MATCH($A148, Papers!$A$2:$A$998,0)),"")</f>
        <v>2012</v>
      </c>
      <c r="F148" s="69" t="s">
        <v>253</v>
      </c>
      <c r="G148" s="69" t="s">
        <v>9</v>
      </c>
      <c r="H148" s="198" t="s">
        <v>347</v>
      </c>
      <c r="I148" s="66">
        <v>1.0</v>
      </c>
      <c r="J148" s="66">
        <v>10.0</v>
      </c>
      <c r="K148" s="219"/>
      <c r="L148" s="209" t="s">
        <v>353</v>
      </c>
      <c r="M148" s="53"/>
      <c r="N148" s="202" t="str">
        <f t="shared" si="15"/>
        <v/>
      </c>
      <c r="O148" s="210">
        <f t="shared" si="16"/>
        <v>0.5112781955</v>
      </c>
      <c r="P148" s="140">
        <v>133.0</v>
      </c>
      <c r="Q148" s="140"/>
      <c r="R148" s="221">
        <v>68.0</v>
      </c>
      <c r="S148" s="221"/>
      <c r="T148" s="140"/>
      <c r="U148" s="140"/>
      <c r="V148" s="221">
        <v>65.0</v>
      </c>
      <c r="W148" s="140"/>
      <c r="X148" s="201"/>
      <c r="Y148" s="140"/>
      <c r="Z148" s="140"/>
      <c r="AA148" s="242"/>
      <c r="AB148" s="242"/>
      <c r="AC148" s="197"/>
      <c r="AD148" s="197"/>
      <c r="AE148" s="197"/>
      <c r="AF148" s="197"/>
      <c r="AG148" s="197"/>
      <c r="AH148" s="197"/>
    </row>
    <row r="149" hidden="1">
      <c r="A149" s="192">
        <v>61.0</v>
      </c>
      <c r="B149" s="86" t="str">
        <f t="array" ref="B149">IFerror(INDEX(Papers!D$2:D$998,MATCH($A149, Papers!$A$2:$A$998,0)),"")</f>
        <v>Amparo Ballivian, Joao Pedro Azevedo, Will Durbin</v>
      </c>
      <c r="C149" s="59">
        <f t="array" ref="C149">IFerror(INDEX(Papers!F$2:F$998,MATCH($A149, Papers!$A$2:$A$998,0)),"")</f>
        <v>2015</v>
      </c>
      <c r="D149" s="86" t="str">
        <f t="array" ref="D149">IFerror(INDEX(Papers!C$2:C$998,MATCH($A149, Papers!$A$2:$A$998,0)),"")</f>
        <v>Using mobile phones for high-frequency data collection</v>
      </c>
      <c r="E149" s="59">
        <f t="array" ref="E149">IFerror(INDEX(Papers!G$2:G$998,MATCH($A149, Papers!$A$2:$A$998,0)),"")</f>
        <v>2012</v>
      </c>
      <c r="F149" s="67" t="s">
        <v>253</v>
      </c>
      <c r="G149" s="67" t="s">
        <v>9</v>
      </c>
      <c r="H149" s="86" t="s">
        <v>347</v>
      </c>
      <c r="I149" s="68">
        <v>1.0</v>
      </c>
      <c r="J149" s="68">
        <v>10.0</v>
      </c>
      <c r="K149" s="216"/>
      <c r="L149" s="193" t="s">
        <v>354</v>
      </c>
      <c r="M149" s="59"/>
      <c r="N149" s="194" t="str">
        <f t="shared" si="15"/>
        <v/>
      </c>
      <c r="O149" s="194">
        <f t="shared" si="16"/>
        <v>0.5037593985</v>
      </c>
      <c r="P149" s="134">
        <v>133.0</v>
      </c>
      <c r="Q149" s="134"/>
      <c r="R149" s="218">
        <v>67.0</v>
      </c>
      <c r="S149" s="211"/>
      <c r="T149" s="134"/>
      <c r="U149" s="134"/>
      <c r="V149" s="218">
        <v>66.0</v>
      </c>
      <c r="W149" s="134"/>
      <c r="X149" s="207"/>
      <c r="Y149" s="134"/>
      <c r="Z149" s="134"/>
      <c r="AA149" s="212"/>
      <c r="AB149" s="212"/>
      <c r="AC149" s="192"/>
      <c r="AD149" s="192"/>
      <c r="AE149" s="192"/>
      <c r="AF149" s="192"/>
      <c r="AG149" s="192"/>
      <c r="AH149" s="192"/>
    </row>
    <row r="150" hidden="1">
      <c r="A150" s="197">
        <v>61.0</v>
      </c>
      <c r="B150" s="198" t="str">
        <f t="array" ref="B150">IFerror(INDEX(Papers!D$2:D$998,MATCH($A150, Papers!$A$2:$A$998,0)),"")</f>
        <v>Amparo Ballivian, Joao Pedro Azevedo, Will Durbin</v>
      </c>
      <c r="C150" s="53">
        <f t="array" ref="C150">IFerror(INDEX(Papers!F$2:F$998,MATCH($A150, Papers!$A$2:$A$998,0)),"")</f>
        <v>2015</v>
      </c>
      <c r="D150" s="198" t="str">
        <f t="array" ref="D150">IFerror(INDEX(Papers!C$2:C$998,MATCH($A150, Papers!$A$2:$A$998,0)),"")</f>
        <v>Using mobile phones for high-frequency data collection</v>
      </c>
      <c r="E150" s="53">
        <f t="array" ref="E150">IFerror(INDEX(Papers!G$2:G$998,MATCH($A150, Papers!$A$2:$A$998,0)),"")</f>
        <v>2012</v>
      </c>
      <c r="F150" s="69" t="s">
        <v>253</v>
      </c>
      <c r="G150" s="69" t="s">
        <v>9</v>
      </c>
      <c r="H150" s="198" t="s">
        <v>347</v>
      </c>
      <c r="I150" s="66">
        <v>1.0</v>
      </c>
      <c r="J150" s="66">
        <v>10.0</v>
      </c>
      <c r="K150" s="219"/>
      <c r="L150" s="209" t="s">
        <v>355</v>
      </c>
      <c r="M150" s="53"/>
      <c r="N150" s="202" t="str">
        <f t="shared" si="15"/>
        <v/>
      </c>
      <c r="O150" s="210">
        <f t="shared" si="16"/>
        <v>0.4586466165</v>
      </c>
      <c r="P150" s="140">
        <v>133.0</v>
      </c>
      <c r="Q150" s="140"/>
      <c r="R150" s="221">
        <v>61.0</v>
      </c>
      <c r="S150" s="221"/>
      <c r="T150" s="140"/>
      <c r="U150" s="140"/>
      <c r="V150" s="221">
        <v>72.0</v>
      </c>
      <c r="W150" s="140"/>
      <c r="X150" s="201"/>
      <c r="Y150" s="140"/>
      <c r="Z150" s="140"/>
      <c r="AA150" s="242"/>
      <c r="AB150" s="242"/>
      <c r="AC150" s="197"/>
      <c r="AD150" s="197"/>
      <c r="AE150" s="197"/>
      <c r="AF150" s="197"/>
      <c r="AG150" s="197"/>
      <c r="AH150" s="197"/>
    </row>
    <row r="151" hidden="1">
      <c r="A151" s="192">
        <v>61.0</v>
      </c>
      <c r="B151" s="86" t="str">
        <f t="array" ref="B151">IFerror(INDEX(Papers!D$2:D$998,MATCH($A151, Papers!$A$2:$A$998,0)),"")</f>
        <v>Amparo Ballivian, Joao Pedro Azevedo, Will Durbin</v>
      </c>
      <c r="C151" s="59">
        <f t="array" ref="C151">IFerror(INDEX(Papers!F$2:F$998,MATCH($A151, Papers!$A$2:$A$998,0)),"")</f>
        <v>2015</v>
      </c>
      <c r="D151" s="86" t="str">
        <f t="array" ref="D151">IFerror(INDEX(Papers!C$2:C$998,MATCH($A151, Papers!$A$2:$A$998,0)),"")</f>
        <v>Using mobile phones for high-frequency data collection</v>
      </c>
      <c r="E151" s="59">
        <f t="array" ref="E151">IFerror(INDEX(Papers!G$2:G$998,MATCH($A151, Papers!$A$2:$A$998,0)),"")</f>
        <v>2012</v>
      </c>
      <c r="F151" s="67" t="s">
        <v>253</v>
      </c>
      <c r="G151" s="67" t="s">
        <v>9</v>
      </c>
      <c r="H151" s="86" t="s">
        <v>347</v>
      </c>
      <c r="I151" s="68">
        <v>1.0</v>
      </c>
      <c r="J151" s="68">
        <v>10.0</v>
      </c>
      <c r="K151" s="216"/>
      <c r="L151" s="193" t="s">
        <v>356</v>
      </c>
      <c r="M151" s="59"/>
      <c r="N151" s="194" t="str">
        <f t="shared" si="15"/>
        <v/>
      </c>
      <c r="O151" s="194">
        <f t="shared" si="16"/>
        <v>0.4360902256</v>
      </c>
      <c r="P151" s="134">
        <v>133.0</v>
      </c>
      <c r="Q151" s="134"/>
      <c r="R151" s="218">
        <v>58.0</v>
      </c>
      <c r="S151" s="211"/>
      <c r="T151" s="134"/>
      <c r="U151" s="134"/>
      <c r="V151" s="218">
        <v>75.0</v>
      </c>
      <c r="W151" s="134"/>
      <c r="X151" s="207"/>
      <c r="Y151" s="134"/>
      <c r="Z151" s="134"/>
      <c r="AA151" s="212"/>
      <c r="AB151" s="212"/>
      <c r="AC151" s="192"/>
      <c r="AD151" s="192"/>
      <c r="AE151" s="192"/>
      <c r="AF151" s="192"/>
      <c r="AG151" s="192"/>
      <c r="AH151" s="192"/>
    </row>
    <row r="152" hidden="1">
      <c r="A152" s="197">
        <v>61.0</v>
      </c>
      <c r="B152" s="198" t="str">
        <f t="array" ref="B152">IFerror(INDEX(Papers!D$2:D$998,MATCH($A152, Papers!$A$2:$A$998,0)),"")</f>
        <v>Amparo Ballivian, Joao Pedro Azevedo, Will Durbin</v>
      </c>
      <c r="C152" s="53">
        <f t="array" ref="C152">IFerror(INDEX(Papers!F$2:F$998,MATCH($A152, Papers!$A$2:$A$998,0)),"")</f>
        <v>2015</v>
      </c>
      <c r="D152" s="198" t="str">
        <f t="array" ref="D152">IFerror(INDEX(Papers!C$2:C$998,MATCH($A152, Papers!$A$2:$A$998,0)),"")</f>
        <v>Using mobile phones for high-frequency data collection</v>
      </c>
      <c r="E152" s="53">
        <f t="array" ref="E152">IFerror(INDEX(Papers!G$2:G$998,MATCH($A152, Papers!$A$2:$A$998,0)),"")</f>
        <v>2012</v>
      </c>
      <c r="F152" s="69" t="s">
        <v>253</v>
      </c>
      <c r="G152" s="69" t="s">
        <v>9</v>
      </c>
      <c r="H152" s="198" t="s">
        <v>347</v>
      </c>
      <c r="I152" s="66">
        <v>1.0</v>
      </c>
      <c r="J152" s="66">
        <v>10.0</v>
      </c>
      <c r="K152" s="219"/>
      <c r="L152" s="209" t="s">
        <v>407</v>
      </c>
      <c r="M152" s="53"/>
      <c r="N152" s="202" t="str">
        <f t="shared" si="15"/>
        <v/>
      </c>
      <c r="O152" s="210">
        <f t="shared" si="16"/>
        <v>0.3383458647</v>
      </c>
      <c r="P152" s="140">
        <v>133.0</v>
      </c>
      <c r="Q152" s="140"/>
      <c r="R152" s="221">
        <v>45.0</v>
      </c>
      <c r="S152" s="221"/>
      <c r="T152" s="140"/>
      <c r="U152" s="140"/>
      <c r="V152" s="140">
        <v>88.0</v>
      </c>
      <c r="W152" s="140"/>
      <c r="X152" s="201"/>
      <c r="Y152" s="140"/>
      <c r="Z152" s="140"/>
      <c r="AA152" s="242"/>
      <c r="AB152" s="242"/>
      <c r="AC152" s="197"/>
      <c r="AD152" s="197"/>
      <c r="AE152" s="197"/>
      <c r="AF152" s="197"/>
      <c r="AG152" s="197"/>
      <c r="AH152" s="197"/>
    </row>
    <row r="153" hidden="1">
      <c r="A153" s="192">
        <v>61.0</v>
      </c>
      <c r="B153" s="86" t="str">
        <f t="array" ref="B153">IFerror(INDEX(Papers!D$2:D$998,MATCH($A153, Papers!$A$2:$A$998,0)),"")</f>
        <v>Amparo Ballivian, Joao Pedro Azevedo, Will Durbin</v>
      </c>
      <c r="C153" s="59">
        <f t="array" ref="C153">IFerror(INDEX(Papers!F$2:F$998,MATCH($A153, Papers!$A$2:$A$998,0)),"")</f>
        <v>2015</v>
      </c>
      <c r="D153" s="86" t="str">
        <f t="array" ref="D153">IFerror(INDEX(Papers!C$2:C$998,MATCH($A153, Papers!$A$2:$A$998,0)),"")</f>
        <v>Using mobile phones for high-frequency data collection</v>
      </c>
      <c r="E153" s="59">
        <f t="array" ref="E153">IFerror(INDEX(Papers!G$2:G$998,MATCH($A153, Papers!$A$2:$A$998,0)),"")</f>
        <v>2012</v>
      </c>
      <c r="F153" s="67" t="s">
        <v>253</v>
      </c>
      <c r="G153" s="67" t="s">
        <v>11</v>
      </c>
      <c r="H153" s="86" t="s">
        <v>347</v>
      </c>
      <c r="I153" s="68">
        <v>1.0</v>
      </c>
      <c r="J153" s="68">
        <v>10.0</v>
      </c>
      <c r="K153" s="216" t="s">
        <v>366</v>
      </c>
      <c r="L153" s="193" t="s">
        <v>352</v>
      </c>
      <c r="M153" s="59"/>
      <c r="N153" s="194" t="str">
        <f t="shared" si="15"/>
        <v/>
      </c>
      <c r="O153" s="194">
        <f t="shared" si="16"/>
        <v>0.1374045802</v>
      </c>
      <c r="P153" s="134">
        <v>131.0</v>
      </c>
      <c r="Q153" s="134"/>
      <c r="R153" s="134">
        <v>18.0</v>
      </c>
      <c r="S153" s="134">
        <v>6.0</v>
      </c>
      <c r="T153" s="134"/>
      <c r="U153" s="134"/>
      <c r="V153" s="134">
        <v>107.0</v>
      </c>
      <c r="W153" s="134"/>
      <c r="X153" s="207"/>
      <c r="Y153" s="134"/>
      <c r="Z153" s="134"/>
      <c r="AA153" s="192"/>
      <c r="AB153" s="192"/>
      <c r="AC153" s="192"/>
      <c r="AD153" s="192"/>
      <c r="AE153" s="192"/>
      <c r="AF153" s="192"/>
      <c r="AG153" s="192"/>
      <c r="AH153" s="192"/>
    </row>
    <row r="154" hidden="1">
      <c r="A154" s="197">
        <v>61.0</v>
      </c>
      <c r="B154" s="198" t="str">
        <f t="array" ref="B154">IFerror(INDEX(Papers!D$2:D$998,MATCH($A154, Papers!$A$2:$A$998,0)),"")</f>
        <v>Amparo Ballivian, Joao Pedro Azevedo, Will Durbin</v>
      </c>
      <c r="C154" s="53">
        <f t="array" ref="C154">IFerror(INDEX(Papers!F$2:F$998,MATCH($A154, Papers!$A$2:$A$998,0)),"")</f>
        <v>2015</v>
      </c>
      <c r="D154" s="198" t="str">
        <f t="array" ref="D154">IFerror(INDEX(Papers!C$2:C$998,MATCH($A154, Papers!$A$2:$A$998,0)),"")</f>
        <v>Using mobile phones for high-frequency data collection</v>
      </c>
      <c r="E154" s="53">
        <f t="array" ref="E154">IFerror(INDEX(Papers!G$2:G$998,MATCH($A154, Papers!$A$2:$A$998,0)),"")</f>
        <v>2012</v>
      </c>
      <c r="F154" s="69" t="s">
        <v>253</v>
      </c>
      <c r="G154" s="69" t="s">
        <v>11</v>
      </c>
      <c r="H154" s="198" t="s">
        <v>347</v>
      </c>
      <c r="I154" s="66">
        <v>1.0</v>
      </c>
      <c r="J154" s="66">
        <v>10.0</v>
      </c>
      <c r="K154" s="219"/>
      <c r="L154" s="209" t="s">
        <v>353</v>
      </c>
      <c r="M154" s="53"/>
      <c r="N154" s="202" t="str">
        <f t="shared" si="15"/>
        <v/>
      </c>
      <c r="O154" s="210">
        <f t="shared" si="16"/>
        <v>0.1984732824</v>
      </c>
      <c r="P154" s="140">
        <v>131.0</v>
      </c>
      <c r="Q154" s="140"/>
      <c r="R154" s="140">
        <v>26.0</v>
      </c>
      <c r="S154" s="140">
        <v>6.0</v>
      </c>
      <c r="T154" s="140"/>
      <c r="U154" s="140"/>
      <c r="V154" s="140">
        <v>99.0</v>
      </c>
      <c r="W154" s="140"/>
      <c r="X154" s="201"/>
      <c r="Y154" s="140"/>
      <c r="Z154" s="140"/>
      <c r="AA154" s="197"/>
      <c r="AB154" s="197"/>
      <c r="AC154" s="197"/>
      <c r="AD154" s="197"/>
      <c r="AE154" s="197"/>
      <c r="AF154" s="197"/>
      <c r="AG154" s="197"/>
      <c r="AH154" s="197"/>
    </row>
    <row r="155" hidden="1">
      <c r="A155" s="192">
        <v>61.0</v>
      </c>
      <c r="B155" s="86" t="str">
        <f t="array" ref="B155">IFerror(INDEX(Papers!D$2:D$998,MATCH($A155, Papers!$A$2:$A$998,0)),"")</f>
        <v>Amparo Ballivian, Joao Pedro Azevedo, Will Durbin</v>
      </c>
      <c r="C155" s="59">
        <f t="array" ref="C155">IFerror(INDEX(Papers!F$2:F$998,MATCH($A155, Papers!$A$2:$A$998,0)),"")</f>
        <v>2015</v>
      </c>
      <c r="D155" s="86" t="str">
        <f t="array" ref="D155">IFerror(INDEX(Papers!C$2:C$998,MATCH($A155, Papers!$A$2:$A$998,0)),"")</f>
        <v>Using mobile phones for high-frequency data collection</v>
      </c>
      <c r="E155" s="59">
        <f t="array" ref="E155">IFerror(INDEX(Papers!G$2:G$998,MATCH($A155, Papers!$A$2:$A$998,0)),"")</f>
        <v>2012</v>
      </c>
      <c r="F155" s="67" t="s">
        <v>253</v>
      </c>
      <c r="G155" s="67" t="s">
        <v>11</v>
      </c>
      <c r="H155" s="86" t="s">
        <v>347</v>
      </c>
      <c r="I155" s="68">
        <v>1.0</v>
      </c>
      <c r="J155" s="68">
        <v>10.0</v>
      </c>
      <c r="K155" s="216"/>
      <c r="L155" s="193" t="s">
        <v>354</v>
      </c>
      <c r="M155" s="59"/>
      <c r="N155" s="194" t="str">
        <f t="shared" si="15"/>
        <v/>
      </c>
      <c r="O155" s="194">
        <f t="shared" si="16"/>
        <v>0.1297709924</v>
      </c>
      <c r="P155" s="134">
        <v>131.0</v>
      </c>
      <c r="Q155" s="134"/>
      <c r="R155" s="134">
        <v>17.0</v>
      </c>
      <c r="S155" s="134">
        <v>6.0</v>
      </c>
      <c r="T155" s="134"/>
      <c r="U155" s="134"/>
      <c r="V155" s="134">
        <v>108.0</v>
      </c>
      <c r="W155" s="134"/>
      <c r="X155" s="207"/>
      <c r="Y155" s="134"/>
      <c r="Z155" s="134"/>
      <c r="AA155" s="192"/>
      <c r="AB155" s="192"/>
      <c r="AC155" s="192"/>
      <c r="AD155" s="192"/>
      <c r="AE155" s="192"/>
      <c r="AF155" s="192"/>
      <c r="AG155" s="192"/>
      <c r="AH155" s="192"/>
    </row>
    <row r="156" hidden="1">
      <c r="A156" s="197">
        <v>61.0</v>
      </c>
      <c r="B156" s="198" t="str">
        <f t="array" ref="B156">IFerror(INDEX(Papers!D$2:D$998,MATCH($A156, Papers!$A$2:$A$998,0)),"")</f>
        <v>Amparo Ballivian, Joao Pedro Azevedo, Will Durbin</v>
      </c>
      <c r="C156" s="53">
        <f t="array" ref="C156">IFerror(INDEX(Papers!F$2:F$998,MATCH($A156, Papers!$A$2:$A$998,0)),"")</f>
        <v>2015</v>
      </c>
      <c r="D156" s="198" t="str">
        <f t="array" ref="D156">IFerror(INDEX(Papers!C$2:C$998,MATCH($A156, Papers!$A$2:$A$998,0)),"")</f>
        <v>Using mobile phones for high-frequency data collection</v>
      </c>
      <c r="E156" s="53">
        <f t="array" ref="E156">IFerror(INDEX(Papers!G$2:G$998,MATCH($A156, Papers!$A$2:$A$998,0)),"")</f>
        <v>2012</v>
      </c>
      <c r="F156" s="69" t="s">
        <v>253</v>
      </c>
      <c r="G156" s="69" t="s">
        <v>11</v>
      </c>
      <c r="H156" s="198" t="s">
        <v>347</v>
      </c>
      <c r="I156" s="66">
        <v>1.0</v>
      </c>
      <c r="J156" s="66">
        <v>10.0</v>
      </c>
      <c r="K156" s="219"/>
      <c r="L156" s="209" t="s">
        <v>355</v>
      </c>
      <c r="M156" s="53"/>
      <c r="N156" s="202" t="str">
        <f t="shared" si="15"/>
        <v/>
      </c>
      <c r="O156" s="210">
        <f t="shared" si="16"/>
        <v>0.1450381679</v>
      </c>
      <c r="P156" s="140">
        <v>131.0</v>
      </c>
      <c r="Q156" s="140"/>
      <c r="R156" s="140">
        <v>19.0</v>
      </c>
      <c r="S156" s="140">
        <v>8.0</v>
      </c>
      <c r="T156" s="140"/>
      <c r="U156" s="140"/>
      <c r="V156" s="140">
        <v>104.0</v>
      </c>
      <c r="W156" s="140"/>
      <c r="X156" s="201"/>
      <c r="Y156" s="140"/>
      <c r="Z156" s="140"/>
      <c r="AA156" s="197"/>
      <c r="AB156" s="197"/>
      <c r="AC156" s="197"/>
      <c r="AD156" s="197"/>
      <c r="AE156" s="197"/>
      <c r="AF156" s="197"/>
      <c r="AG156" s="197"/>
      <c r="AH156" s="197"/>
    </row>
    <row r="157" hidden="1">
      <c r="A157" s="192">
        <v>61.0</v>
      </c>
      <c r="B157" s="86" t="str">
        <f t="array" ref="B157">IFerror(INDEX(Papers!D$2:D$998,MATCH($A157, Papers!$A$2:$A$998,0)),"")</f>
        <v>Amparo Ballivian, Joao Pedro Azevedo, Will Durbin</v>
      </c>
      <c r="C157" s="59">
        <f t="array" ref="C157">IFerror(INDEX(Papers!F$2:F$998,MATCH($A157, Papers!$A$2:$A$998,0)),"")</f>
        <v>2015</v>
      </c>
      <c r="D157" s="86" t="str">
        <f t="array" ref="D157">IFerror(INDEX(Papers!C$2:C$998,MATCH($A157, Papers!$A$2:$A$998,0)),"")</f>
        <v>Using mobile phones for high-frequency data collection</v>
      </c>
      <c r="E157" s="59">
        <f t="array" ref="E157">IFerror(INDEX(Papers!G$2:G$998,MATCH($A157, Papers!$A$2:$A$998,0)),"")</f>
        <v>2012</v>
      </c>
      <c r="F157" s="67" t="s">
        <v>253</v>
      </c>
      <c r="G157" s="67" t="s">
        <v>11</v>
      </c>
      <c r="H157" s="86" t="s">
        <v>347</v>
      </c>
      <c r="I157" s="68">
        <v>1.0</v>
      </c>
      <c r="J157" s="68">
        <v>10.0</v>
      </c>
      <c r="K157" s="216"/>
      <c r="L157" s="193" t="s">
        <v>356</v>
      </c>
      <c r="M157" s="59"/>
      <c r="N157" s="194" t="str">
        <f t="shared" si="15"/>
        <v/>
      </c>
      <c r="O157" s="194">
        <f t="shared" si="16"/>
        <v>0.1297709924</v>
      </c>
      <c r="P157" s="134">
        <v>131.0</v>
      </c>
      <c r="Q157" s="134"/>
      <c r="R157" s="134">
        <v>17.0</v>
      </c>
      <c r="S157" s="134">
        <v>2.0</v>
      </c>
      <c r="T157" s="134"/>
      <c r="U157" s="134"/>
      <c r="V157" s="134">
        <v>112.0</v>
      </c>
      <c r="W157" s="134"/>
      <c r="X157" s="207"/>
      <c r="Y157" s="134"/>
      <c r="Z157" s="134"/>
      <c r="AA157" s="192"/>
      <c r="AB157" s="192"/>
      <c r="AC157" s="192"/>
      <c r="AD157" s="192"/>
      <c r="AE157" s="192"/>
      <c r="AF157" s="192"/>
      <c r="AG157" s="192"/>
      <c r="AH157" s="192"/>
    </row>
    <row r="158" hidden="1">
      <c r="A158" s="197">
        <v>61.0</v>
      </c>
      <c r="B158" s="198" t="str">
        <f t="array" ref="B158">IFerror(INDEX(Papers!D$2:D$998,MATCH($A158, Papers!$A$2:$A$998,0)),"")</f>
        <v>Amparo Ballivian, Joao Pedro Azevedo, Will Durbin</v>
      </c>
      <c r="C158" s="53">
        <f t="array" ref="C158">IFerror(INDEX(Papers!F$2:F$998,MATCH($A158, Papers!$A$2:$A$998,0)),"")</f>
        <v>2015</v>
      </c>
      <c r="D158" s="198" t="str">
        <f t="array" ref="D158">IFerror(INDEX(Papers!C$2:C$998,MATCH($A158, Papers!$A$2:$A$998,0)),"")</f>
        <v>Using mobile phones for high-frequency data collection</v>
      </c>
      <c r="E158" s="53">
        <f t="array" ref="E158">IFerror(INDEX(Papers!G$2:G$998,MATCH($A158, Papers!$A$2:$A$998,0)),"")</f>
        <v>2012</v>
      </c>
      <c r="F158" s="69" t="s">
        <v>253</v>
      </c>
      <c r="G158" s="69" t="s">
        <v>11</v>
      </c>
      <c r="H158" s="198" t="s">
        <v>347</v>
      </c>
      <c r="I158" s="66">
        <v>1.0</v>
      </c>
      <c r="J158" s="66">
        <v>10.0</v>
      </c>
      <c r="K158" s="219"/>
      <c r="L158" s="209" t="s">
        <v>407</v>
      </c>
      <c r="M158" s="53"/>
      <c r="N158" s="202" t="str">
        <f t="shared" si="15"/>
        <v/>
      </c>
      <c r="O158" s="210">
        <f t="shared" si="16"/>
        <v>0.1221374046</v>
      </c>
      <c r="P158" s="140">
        <v>131.0</v>
      </c>
      <c r="Q158" s="140"/>
      <c r="R158" s="140">
        <v>16.0</v>
      </c>
      <c r="S158" s="140">
        <v>1.0</v>
      </c>
      <c r="T158" s="140"/>
      <c r="U158" s="140"/>
      <c r="V158" s="140">
        <v>114.0</v>
      </c>
      <c r="W158" s="140"/>
      <c r="X158" s="201"/>
      <c r="Y158" s="140"/>
      <c r="Z158" s="140"/>
      <c r="AA158" s="197"/>
      <c r="AB158" s="197"/>
      <c r="AC158" s="197"/>
      <c r="AD158" s="197"/>
      <c r="AE158" s="197"/>
      <c r="AF158" s="197"/>
      <c r="AG158" s="197"/>
      <c r="AH158" s="197"/>
    </row>
    <row r="159" hidden="1">
      <c r="A159" s="192">
        <v>61.0</v>
      </c>
      <c r="B159" s="86" t="str">
        <f t="array" ref="B159">IFerror(INDEX(Papers!D$2:D$998,MATCH($A159, Papers!$A$2:$A$998,0)),"")</f>
        <v>Amparo Ballivian, Joao Pedro Azevedo, Will Durbin</v>
      </c>
      <c r="C159" s="59">
        <f t="array" ref="C159">IFerror(INDEX(Papers!F$2:F$998,MATCH($A159, Papers!$A$2:$A$998,0)),"")</f>
        <v>2015</v>
      </c>
      <c r="D159" s="86" t="str">
        <f t="array" ref="D159">IFerror(INDEX(Papers!C$2:C$998,MATCH($A159, Papers!$A$2:$A$998,0)),"")</f>
        <v>Using mobile phones for high-frequency data collection</v>
      </c>
      <c r="E159" s="59">
        <f t="array" ref="E159">IFerror(INDEX(Papers!G$2:G$998,MATCH($A159, Papers!$A$2:$A$998,0)),"")</f>
        <v>2012</v>
      </c>
      <c r="F159" s="67" t="s">
        <v>253</v>
      </c>
      <c r="G159" s="67" t="s">
        <v>10</v>
      </c>
      <c r="H159" s="86" t="s">
        <v>347</v>
      </c>
      <c r="I159" s="68">
        <v>1.0</v>
      </c>
      <c r="J159" s="68">
        <v>10.0</v>
      </c>
      <c r="K159" s="216" t="s">
        <v>366</v>
      </c>
      <c r="L159" s="193" t="s">
        <v>352</v>
      </c>
      <c r="M159" s="59"/>
      <c r="N159" s="194" t="str">
        <f t="shared" si="15"/>
        <v/>
      </c>
      <c r="O159" s="194">
        <f t="shared" si="16"/>
        <v>0.2280701754</v>
      </c>
      <c r="P159" s="134">
        <v>228.0</v>
      </c>
      <c r="Q159" s="134"/>
      <c r="R159" s="134">
        <v>52.0</v>
      </c>
      <c r="S159" s="134">
        <v>13.0</v>
      </c>
      <c r="T159" s="134"/>
      <c r="U159" s="134"/>
      <c r="V159" s="134">
        <v>163.0</v>
      </c>
      <c r="W159" s="134"/>
      <c r="X159" s="207"/>
      <c r="Y159" s="134"/>
      <c r="Z159" s="134"/>
      <c r="AA159" s="192"/>
      <c r="AB159" s="192"/>
      <c r="AC159" s="192"/>
      <c r="AD159" s="192"/>
      <c r="AE159" s="192"/>
      <c r="AF159" s="192"/>
      <c r="AG159" s="192"/>
      <c r="AH159" s="192"/>
    </row>
    <row r="160" hidden="1">
      <c r="A160" s="197">
        <v>61.0</v>
      </c>
      <c r="B160" s="198" t="str">
        <f t="array" ref="B160">IFerror(INDEX(Papers!D$2:D$998,MATCH($A160, Papers!$A$2:$A$998,0)),"")</f>
        <v>Amparo Ballivian, Joao Pedro Azevedo, Will Durbin</v>
      </c>
      <c r="C160" s="53">
        <f t="array" ref="C160">IFerror(INDEX(Papers!F$2:F$998,MATCH($A160, Papers!$A$2:$A$998,0)),"")</f>
        <v>2015</v>
      </c>
      <c r="D160" s="198" t="str">
        <f t="array" ref="D160">IFerror(INDEX(Papers!C$2:C$998,MATCH($A160, Papers!$A$2:$A$998,0)),"")</f>
        <v>Using mobile phones for high-frequency data collection</v>
      </c>
      <c r="E160" s="53">
        <f t="array" ref="E160">IFerror(INDEX(Papers!G$2:G$998,MATCH($A160, Papers!$A$2:$A$998,0)),"")</f>
        <v>2012</v>
      </c>
      <c r="F160" s="69" t="s">
        <v>253</v>
      </c>
      <c r="G160" s="69" t="s">
        <v>10</v>
      </c>
      <c r="H160" s="198" t="s">
        <v>347</v>
      </c>
      <c r="I160" s="66">
        <v>1.0</v>
      </c>
      <c r="J160" s="66">
        <v>10.0</v>
      </c>
      <c r="K160" s="219"/>
      <c r="L160" s="209" t="s">
        <v>353</v>
      </c>
      <c r="M160" s="53"/>
      <c r="N160" s="202" t="str">
        <f t="shared" si="15"/>
        <v/>
      </c>
      <c r="O160" s="210">
        <f t="shared" si="16"/>
        <v>0.1798245614</v>
      </c>
      <c r="P160" s="140">
        <v>228.0</v>
      </c>
      <c r="Q160" s="140"/>
      <c r="R160" s="140">
        <v>41.0</v>
      </c>
      <c r="S160" s="140">
        <v>9.0</v>
      </c>
      <c r="T160" s="140"/>
      <c r="U160" s="140"/>
      <c r="V160" s="140">
        <v>178.0</v>
      </c>
      <c r="W160" s="140"/>
      <c r="X160" s="201"/>
      <c r="Y160" s="140"/>
      <c r="Z160" s="140"/>
      <c r="AA160" s="197"/>
      <c r="AB160" s="197"/>
      <c r="AC160" s="197"/>
      <c r="AD160" s="197"/>
      <c r="AE160" s="197"/>
      <c r="AF160" s="197"/>
      <c r="AG160" s="197"/>
      <c r="AH160" s="197"/>
    </row>
    <row r="161" hidden="1">
      <c r="A161" s="192">
        <v>61.0</v>
      </c>
      <c r="B161" s="86" t="str">
        <f t="array" ref="B161">IFerror(INDEX(Papers!D$2:D$998,MATCH($A161, Papers!$A$2:$A$998,0)),"")</f>
        <v>Amparo Ballivian, Joao Pedro Azevedo, Will Durbin</v>
      </c>
      <c r="C161" s="59">
        <f t="array" ref="C161">IFerror(INDEX(Papers!F$2:F$998,MATCH($A161, Papers!$A$2:$A$998,0)),"")</f>
        <v>2015</v>
      </c>
      <c r="D161" s="86" t="str">
        <f t="array" ref="D161">IFerror(INDEX(Papers!C$2:C$998,MATCH($A161, Papers!$A$2:$A$998,0)),"")</f>
        <v>Using mobile phones for high-frequency data collection</v>
      </c>
      <c r="E161" s="59">
        <f t="array" ref="E161">IFerror(INDEX(Papers!G$2:G$998,MATCH($A161, Papers!$A$2:$A$998,0)),"")</f>
        <v>2012</v>
      </c>
      <c r="F161" s="67" t="s">
        <v>253</v>
      </c>
      <c r="G161" s="67" t="s">
        <v>10</v>
      </c>
      <c r="H161" s="86" t="s">
        <v>347</v>
      </c>
      <c r="I161" s="68">
        <v>1.0</v>
      </c>
      <c r="J161" s="68">
        <v>10.0</v>
      </c>
      <c r="K161" s="216"/>
      <c r="L161" s="193" t="s">
        <v>354</v>
      </c>
      <c r="M161" s="59"/>
      <c r="N161" s="194" t="str">
        <f t="shared" si="15"/>
        <v/>
      </c>
      <c r="O161" s="194">
        <f t="shared" si="16"/>
        <v>0.1842105263</v>
      </c>
      <c r="P161" s="134">
        <v>228.0</v>
      </c>
      <c r="Q161" s="134"/>
      <c r="R161" s="134">
        <v>42.0</v>
      </c>
      <c r="S161" s="134">
        <v>6.0</v>
      </c>
      <c r="T161" s="134"/>
      <c r="U161" s="134"/>
      <c r="V161" s="134">
        <v>180.0</v>
      </c>
      <c r="W161" s="134"/>
      <c r="X161" s="207"/>
      <c r="Y161" s="134"/>
      <c r="Z161" s="134"/>
      <c r="AA161" s="192"/>
      <c r="AB161" s="192"/>
      <c r="AC161" s="192"/>
      <c r="AD161" s="192"/>
      <c r="AE161" s="192"/>
      <c r="AF161" s="192"/>
      <c r="AG161" s="192"/>
      <c r="AH161" s="192"/>
    </row>
    <row r="162" hidden="1">
      <c r="A162" s="197">
        <v>61.0</v>
      </c>
      <c r="B162" s="198" t="str">
        <f t="array" ref="B162">IFerror(INDEX(Papers!D$2:D$998,MATCH($A162, Papers!$A$2:$A$998,0)),"")</f>
        <v>Amparo Ballivian, Joao Pedro Azevedo, Will Durbin</v>
      </c>
      <c r="C162" s="53">
        <f t="array" ref="C162">IFerror(INDEX(Papers!F$2:F$998,MATCH($A162, Papers!$A$2:$A$998,0)),"")</f>
        <v>2015</v>
      </c>
      <c r="D162" s="198" t="str">
        <f t="array" ref="D162">IFerror(INDEX(Papers!C$2:C$998,MATCH($A162, Papers!$A$2:$A$998,0)),"")</f>
        <v>Using mobile phones for high-frequency data collection</v>
      </c>
      <c r="E162" s="53">
        <f t="array" ref="E162">IFerror(INDEX(Papers!G$2:G$998,MATCH($A162, Papers!$A$2:$A$998,0)),"")</f>
        <v>2012</v>
      </c>
      <c r="F162" s="69" t="s">
        <v>253</v>
      </c>
      <c r="G162" s="69" t="s">
        <v>10</v>
      </c>
      <c r="H162" s="198" t="s">
        <v>347</v>
      </c>
      <c r="I162" s="66">
        <v>1.0</v>
      </c>
      <c r="J162" s="66">
        <v>10.0</v>
      </c>
      <c r="K162" s="219"/>
      <c r="L162" s="209" t="s">
        <v>355</v>
      </c>
      <c r="M162" s="53"/>
      <c r="N162" s="202" t="str">
        <f t="shared" si="15"/>
        <v/>
      </c>
      <c r="O162" s="210">
        <f t="shared" si="16"/>
        <v>0.1403508772</v>
      </c>
      <c r="P162" s="140">
        <v>228.0</v>
      </c>
      <c r="Q162" s="140"/>
      <c r="R162" s="140">
        <v>32.0</v>
      </c>
      <c r="S162" s="140">
        <v>16.0</v>
      </c>
      <c r="T162" s="140"/>
      <c r="U162" s="140"/>
      <c r="V162" s="140">
        <v>180.0</v>
      </c>
      <c r="W162" s="140"/>
      <c r="X162" s="201"/>
      <c r="Y162" s="140"/>
      <c r="Z162" s="140"/>
      <c r="AA162" s="197"/>
      <c r="AB162" s="197"/>
      <c r="AC162" s="197"/>
      <c r="AD162" s="197"/>
      <c r="AE162" s="197"/>
      <c r="AF162" s="197"/>
      <c r="AG162" s="197"/>
      <c r="AH162" s="197"/>
    </row>
    <row r="163" hidden="1">
      <c r="A163" s="192">
        <v>61.0</v>
      </c>
      <c r="B163" s="86" t="str">
        <f t="array" ref="B163">IFerror(INDEX(Papers!D$2:D$998,MATCH($A163, Papers!$A$2:$A$998,0)),"")</f>
        <v>Amparo Ballivian, Joao Pedro Azevedo, Will Durbin</v>
      </c>
      <c r="C163" s="59">
        <f t="array" ref="C163">IFerror(INDEX(Papers!F$2:F$998,MATCH($A163, Papers!$A$2:$A$998,0)),"")</f>
        <v>2015</v>
      </c>
      <c r="D163" s="86" t="str">
        <f t="array" ref="D163">IFerror(INDEX(Papers!C$2:C$998,MATCH($A163, Papers!$A$2:$A$998,0)),"")</f>
        <v>Using mobile phones for high-frequency data collection</v>
      </c>
      <c r="E163" s="59">
        <f t="array" ref="E163">IFerror(INDEX(Papers!G$2:G$998,MATCH($A163, Papers!$A$2:$A$998,0)),"")</f>
        <v>2012</v>
      </c>
      <c r="F163" s="67" t="s">
        <v>253</v>
      </c>
      <c r="G163" s="67" t="s">
        <v>10</v>
      </c>
      <c r="H163" s="86" t="s">
        <v>347</v>
      </c>
      <c r="I163" s="68">
        <v>1.0</v>
      </c>
      <c r="J163" s="68">
        <v>10.0</v>
      </c>
      <c r="K163" s="216"/>
      <c r="L163" s="193" t="s">
        <v>356</v>
      </c>
      <c r="M163" s="59"/>
      <c r="N163" s="194" t="str">
        <f t="shared" si="15"/>
        <v/>
      </c>
      <c r="O163" s="194">
        <f t="shared" si="16"/>
        <v>0.1754385965</v>
      </c>
      <c r="P163" s="134">
        <v>228.0</v>
      </c>
      <c r="Q163" s="134"/>
      <c r="R163" s="134">
        <v>40.0</v>
      </c>
      <c r="S163" s="134">
        <v>1.0</v>
      </c>
      <c r="T163" s="134"/>
      <c r="U163" s="134"/>
      <c r="V163" s="134">
        <v>187.0</v>
      </c>
      <c r="W163" s="134"/>
      <c r="X163" s="207"/>
      <c r="Y163" s="134"/>
      <c r="Z163" s="134"/>
      <c r="AA163" s="192"/>
      <c r="AB163" s="192"/>
      <c r="AC163" s="192"/>
      <c r="AD163" s="192"/>
      <c r="AE163" s="192"/>
      <c r="AF163" s="192"/>
      <c r="AG163" s="192"/>
      <c r="AH163" s="192"/>
    </row>
    <row r="164" hidden="1">
      <c r="A164" s="197">
        <v>61.0</v>
      </c>
      <c r="B164" s="198" t="str">
        <f t="array" ref="B164">IFerror(INDEX(Papers!D$2:D$998,MATCH($A164, Papers!$A$2:$A$998,0)),"")</f>
        <v>Amparo Ballivian, Joao Pedro Azevedo, Will Durbin</v>
      </c>
      <c r="C164" s="53">
        <f t="array" ref="C164">IFerror(INDEX(Papers!F$2:F$998,MATCH($A164, Papers!$A$2:$A$998,0)),"")</f>
        <v>2015</v>
      </c>
      <c r="D164" s="198" t="str">
        <f t="array" ref="D164">IFerror(INDEX(Papers!C$2:C$998,MATCH($A164, Papers!$A$2:$A$998,0)),"")</f>
        <v>Using mobile phones for high-frequency data collection</v>
      </c>
      <c r="E164" s="53">
        <f t="array" ref="E164">IFerror(INDEX(Papers!G$2:G$998,MATCH($A164, Papers!$A$2:$A$998,0)),"")</f>
        <v>2012</v>
      </c>
      <c r="F164" s="69" t="s">
        <v>253</v>
      </c>
      <c r="G164" s="69" t="s">
        <v>10</v>
      </c>
      <c r="H164" s="198" t="s">
        <v>347</v>
      </c>
      <c r="I164" s="66">
        <v>1.0</v>
      </c>
      <c r="J164" s="66">
        <v>10.0</v>
      </c>
      <c r="K164" s="219"/>
      <c r="L164" s="209" t="s">
        <v>407</v>
      </c>
      <c r="M164" s="53"/>
      <c r="N164" s="202" t="str">
        <f t="shared" si="15"/>
        <v/>
      </c>
      <c r="O164" s="210">
        <f t="shared" si="16"/>
        <v>0.1315789474</v>
      </c>
      <c r="P164" s="140">
        <v>228.0</v>
      </c>
      <c r="Q164" s="140"/>
      <c r="R164" s="140">
        <v>30.0</v>
      </c>
      <c r="S164" s="140">
        <v>5.0</v>
      </c>
      <c r="T164" s="140"/>
      <c r="U164" s="140"/>
      <c r="V164" s="140">
        <v>193.0</v>
      </c>
      <c r="W164" s="140"/>
      <c r="X164" s="201"/>
      <c r="Y164" s="140"/>
      <c r="Z164" s="140"/>
      <c r="AA164" s="197"/>
      <c r="AB164" s="197"/>
      <c r="AC164" s="197"/>
      <c r="AD164" s="197"/>
      <c r="AE164" s="197"/>
      <c r="AF164" s="197"/>
      <c r="AG164" s="197"/>
      <c r="AH164" s="197"/>
    </row>
    <row r="165" hidden="1">
      <c r="A165" s="192">
        <v>62.0</v>
      </c>
      <c r="B165" s="86" t="str">
        <f t="array" ref="B165">IFerror(INDEX(Papers!D$2:D$998,MATCH($A165, Papers!$A$2:$A$998,0)),"")</f>
        <v>Ziyad Mahfoud, Lilian Ghandour, Blanche Ghandour, Ali Mokdad, and Abla Sibai</v>
      </c>
      <c r="C165" s="59">
        <f t="array" ref="C165">IFerror(INDEX(Papers!F$2:F$998,MATCH($A165, Papers!$A$2:$A$998,0)),"")</f>
        <v>2014</v>
      </c>
      <c r="D165" s="86" t="str">
        <f t="array" ref="D165">IFerror(INDEX(Papers!C$2:C$998,MATCH($A165, Papers!$A$2:$A$998,0)),"")</f>
        <v>Cell phone and face-to-face interview responses in population-based surveys: how do they compare? </v>
      </c>
      <c r="E165" s="59">
        <f t="array" ref="E165">IFerror(INDEX(Papers!G$2:G$998,MATCH($A165, Papers!$A$2:$A$998,0)),"")</f>
        <v>2010</v>
      </c>
      <c r="F165" s="67" t="s">
        <v>314</v>
      </c>
      <c r="G165" s="67" t="s">
        <v>9</v>
      </c>
      <c r="H165" s="86" t="s">
        <v>347</v>
      </c>
      <c r="I165" s="68">
        <v>0.0</v>
      </c>
      <c r="J165" s="59"/>
      <c r="K165" s="86"/>
      <c r="L165" s="207"/>
      <c r="M165" s="59"/>
      <c r="N165" s="194" t="str">
        <f t="shared" si="15"/>
        <v/>
      </c>
      <c r="O165" s="194">
        <f t="shared" si="16"/>
        <v>0.8171206226</v>
      </c>
      <c r="P165" s="134">
        <v>771.0</v>
      </c>
      <c r="Q165" s="134"/>
      <c r="R165" s="134">
        <v>630.0</v>
      </c>
      <c r="S165" s="134"/>
      <c r="T165" s="134">
        <v>65.0</v>
      </c>
      <c r="U165" s="134"/>
      <c r="V165" s="134"/>
      <c r="W165" s="134">
        <v>34.0</v>
      </c>
      <c r="X165" s="207"/>
      <c r="Y165" s="134"/>
      <c r="Z165" s="134"/>
      <c r="AA165" s="192"/>
      <c r="AB165" s="192"/>
      <c r="AC165" s="192"/>
      <c r="AD165" s="192"/>
      <c r="AE165" s="192"/>
      <c r="AF165" s="192"/>
      <c r="AG165" s="192">
        <v>42.0</v>
      </c>
      <c r="AH165" s="192"/>
    </row>
    <row r="166" hidden="1">
      <c r="A166" s="197">
        <v>65.0</v>
      </c>
      <c r="B166" s="198" t="str">
        <f t="array" ref="B166">IFerror(INDEX(Papers!D$2:D$998,MATCH($A166, Papers!$A$2:$A$998,0)),"")</f>
        <v>Douglas Johnson</v>
      </c>
      <c r="C166" s="53">
        <f t="array" ref="C166">IFerror(INDEX(Papers!F$2:F$998,MATCH($A166, Papers!$A$2:$A$998,0)),"")</f>
        <v>2016</v>
      </c>
      <c r="D166" s="198" t="str">
        <f t="array" ref="D166">IFerror(INDEX(Papers!C$2:C$998,MATCH($A166, Papers!$A$2:$A$998,0)),"")</f>
        <v>Collecting Data from mHealth Users via SMS Surveys: A Case Study in Kenya</v>
      </c>
      <c r="E166" s="53">
        <f t="array" ref="E166">IFerror(INDEX(Papers!G$2:G$998,MATCH($A166, Papers!$A$2:$A$998,0)),"")</f>
        <v>2013</v>
      </c>
      <c r="F166" s="69" t="s">
        <v>245</v>
      </c>
      <c r="G166" s="69" t="s">
        <v>10</v>
      </c>
      <c r="H166" s="69" t="s">
        <v>300</v>
      </c>
      <c r="I166" s="66">
        <v>0.0</v>
      </c>
      <c r="J166" s="66">
        <v>6.0</v>
      </c>
      <c r="K166" s="198"/>
      <c r="L166" s="209" t="s">
        <v>352</v>
      </c>
      <c r="M166" s="66">
        <v>5.0</v>
      </c>
      <c r="N166" s="202" t="str">
        <f t="shared" si="15"/>
        <v/>
      </c>
      <c r="O166" s="210">
        <f t="shared" si="16"/>
        <v>0.2089016511</v>
      </c>
      <c r="P166" s="140">
        <v>1393.0</v>
      </c>
      <c r="Q166" s="140"/>
      <c r="R166" s="140">
        <v>291.0</v>
      </c>
      <c r="S166" s="140"/>
      <c r="T166" s="140"/>
      <c r="U166" s="140"/>
      <c r="V166" s="140"/>
      <c r="W166" s="140"/>
      <c r="X166" s="201"/>
      <c r="Y166" s="140"/>
      <c r="Z166" s="140"/>
      <c r="AA166" s="197"/>
      <c r="AB166" s="197"/>
      <c r="AC166" s="197"/>
      <c r="AD166" s="197"/>
      <c r="AE166" s="197"/>
      <c r="AF166" s="197"/>
      <c r="AG166" s="197"/>
      <c r="AH166" s="197"/>
    </row>
    <row r="167" hidden="1">
      <c r="A167" s="192">
        <v>65.0</v>
      </c>
      <c r="B167" s="86" t="str">
        <f t="array" ref="B167">IFerror(INDEX(Papers!D$2:D$998,MATCH($A167, Papers!$A$2:$A$998,0)),"")</f>
        <v>Douglas Johnson</v>
      </c>
      <c r="C167" s="59">
        <f t="array" ref="C167">IFerror(INDEX(Papers!F$2:F$998,MATCH($A167, Papers!$A$2:$A$998,0)),"")</f>
        <v>2016</v>
      </c>
      <c r="D167" s="86" t="str">
        <f t="array" ref="D167">IFerror(INDEX(Papers!C$2:C$998,MATCH($A167, Papers!$A$2:$A$998,0)),"")</f>
        <v>Collecting Data from mHealth Users via SMS Surveys: A Case Study in Kenya</v>
      </c>
      <c r="E167" s="59">
        <f t="array" ref="E167">IFerror(INDEX(Papers!G$2:G$998,MATCH($A167, Papers!$A$2:$A$998,0)),"")</f>
        <v>2013</v>
      </c>
      <c r="F167" s="67" t="s">
        <v>245</v>
      </c>
      <c r="G167" s="67" t="s">
        <v>10</v>
      </c>
      <c r="H167" s="67" t="s">
        <v>300</v>
      </c>
      <c r="I167" s="68">
        <v>0.0</v>
      </c>
      <c r="J167" s="68">
        <v>6.0</v>
      </c>
      <c r="K167" s="86"/>
      <c r="L167" s="193" t="s">
        <v>353</v>
      </c>
      <c r="M167" s="68">
        <v>5.0</v>
      </c>
      <c r="N167" s="194" t="str">
        <f t="shared" si="15"/>
        <v/>
      </c>
      <c r="O167" s="194">
        <f t="shared" si="16"/>
        <v>0.1410788382</v>
      </c>
      <c r="P167" s="134">
        <v>482.0</v>
      </c>
      <c r="Q167" s="134"/>
      <c r="R167" s="134">
        <v>68.0</v>
      </c>
      <c r="S167" s="134"/>
      <c r="T167" s="134"/>
      <c r="U167" s="134"/>
      <c r="V167" s="134"/>
      <c r="W167" s="134"/>
      <c r="X167" s="207"/>
      <c r="Y167" s="134"/>
      <c r="Z167" s="134"/>
      <c r="AA167" s="192"/>
      <c r="AB167" s="192"/>
      <c r="AC167" s="192"/>
      <c r="AD167" s="192"/>
      <c r="AE167" s="192"/>
      <c r="AF167" s="192"/>
      <c r="AG167" s="192"/>
      <c r="AH167" s="192"/>
    </row>
    <row r="168">
      <c r="L168" s="259"/>
      <c r="X168" s="259"/>
      <c r="Y168" s="260"/>
      <c r="Z168" s="260"/>
    </row>
    <row r="169">
      <c r="L169" s="259"/>
      <c r="X169" s="259"/>
      <c r="Y169" s="260"/>
      <c r="Z169" s="260"/>
    </row>
    <row r="170">
      <c r="L170" s="259"/>
      <c r="X170" s="259"/>
      <c r="Y170" s="260"/>
      <c r="Z170" s="260"/>
    </row>
    <row r="171">
      <c r="L171" s="259"/>
      <c r="X171" s="259"/>
      <c r="Y171" s="260"/>
      <c r="Z171" s="260"/>
    </row>
    <row r="172">
      <c r="L172" s="259"/>
      <c r="X172" s="259"/>
      <c r="Y172" s="260"/>
      <c r="Z172" s="260"/>
    </row>
    <row r="173">
      <c r="L173" s="259"/>
      <c r="X173" s="259"/>
      <c r="Y173" s="260"/>
      <c r="Z173" s="260"/>
    </row>
    <row r="174">
      <c r="L174" s="259"/>
      <c r="X174" s="259"/>
      <c r="Y174" s="260"/>
      <c r="Z174" s="260"/>
    </row>
    <row r="175">
      <c r="L175" s="259"/>
      <c r="X175" s="259"/>
      <c r="Y175" s="260"/>
      <c r="Z175" s="260"/>
    </row>
    <row r="176">
      <c r="L176" s="259"/>
      <c r="X176" s="259"/>
      <c r="Y176" s="260"/>
      <c r="Z176" s="260"/>
    </row>
    <row r="177">
      <c r="L177" s="259"/>
      <c r="X177" s="259"/>
      <c r="Y177" s="260"/>
      <c r="Z177" s="260"/>
    </row>
    <row r="178">
      <c r="L178" s="259"/>
      <c r="X178" s="259"/>
      <c r="Y178" s="260"/>
      <c r="Z178" s="260"/>
    </row>
    <row r="179">
      <c r="L179" s="259"/>
      <c r="X179" s="259"/>
      <c r="Y179" s="260"/>
      <c r="Z179" s="260"/>
    </row>
    <row r="180">
      <c r="L180" s="259"/>
      <c r="X180" s="259"/>
      <c r="Y180" s="260"/>
      <c r="Z180" s="260"/>
    </row>
    <row r="181">
      <c r="L181" s="259"/>
      <c r="X181" s="259"/>
      <c r="Y181" s="260"/>
      <c r="Z181" s="260"/>
    </row>
    <row r="182">
      <c r="L182" s="259"/>
      <c r="X182" s="259"/>
      <c r="Y182" s="260"/>
      <c r="Z182" s="260"/>
    </row>
    <row r="183">
      <c r="L183" s="259"/>
      <c r="X183" s="259"/>
      <c r="Y183" s="260"/>
      <c r="Z183" s="260"/>
    </row>
    <row r="184">
      <c r="L184" s="259"/>
      <c r="X184" s="259"/>
      <c r="Y184" s="260"/>
      <c r="Z184" s="260"/>
    </row>
    <row r="185">
      <c r="L185" s="259"/>
      <c r="X185" s="259"/>
      <c r="Y185" s="260"/>
      <c r="Z185" s="260"/>
    </row>
    <row r="186">
      <c r="L186" s="259"/>
      <c r="X186" s="259"/>
      <c r="Y186" s="260"/>
      <c r="Z186" s="260"/>
    </row>
    <row r="187">
      <c r="L187" s="259"/>
      <c r="X187" s="259"/>
      <c r="Y187" s="260"/>
      <c r="Z187" s="260"/>
    </row>
    <row r="188">
      <c r="L188" s="259"/>
      <c r="X188" s="259"/>
      <c r="Y188" s="260"/>
      <c r="Z188" s="260"/>
    </row>
    <row r="189">
      <c r="L189" s="259"/>
      <c r="X189" s="259"/>
      <c r="Y189" s="260"/>
      <c r="Z189" s="260"/>
    </row>
    <row r="190">
      <c r="L190" s="259"/>
      <c r="X190" s="259"/>
      <c r="Y190" s="260"/>
      <c r="Z190" s="260"/>
    </row>
    <row r="191">
      <c r="L191" s="259"/>
      <c r="X191" s="259"/>
      <c r="Y191" s="260"/>
      <c r="Z191" s="260"/>
    </row>
    <row r="192">
      <c r="L192" s="259"/>
      <c r="X192" s="259"/>
      <c r="Y192" s="260"/>
      <c r="Z192" s="260"/>
    </row>
    <row r="193">
      <c r="L193" s="259"/>
      <c r="X193" s="259"/>
      <c r="Y193" s="260"/>
      <c r="Z193" s="260"/>
    </row>
    <row r="194">
      <c r="L194" s="259"/>
      <c r="X194" s="259"/>
      <c r="Y194" s="260"/>
      <c r="Z194" s="260"/>
    </row>
    <row r="195">
      <c r="L195" s="259"/>
      <c r="X195" s="259"/>
      <c r="Y195" s="260"/>
      <c r="Z195" s="260"/>
    </row>
    <row r="196">
      <c r="L196" s="259"/>
      <c r="X196" s="259"/>
      <c r="Y196" s="260"/>
      <c r="Z196" s="260"/>
    </row>
    <row r="197">
      <c r="L197" s="259"/>
      <c r="X197" s="259"/>
      <c r="Y197" s="260"/>
      <c r="Z197" s="260"/>
    </row>
    <row r="198">
      <c r="L198" s="259"/>
      <c r="X198" s="259"/>
      <c r="Y198" s="260"/>
      <c r="Z198" s="260"/>
    </row>
    <row r="199">
      <c r="L199" s="259"/>
      <c r="X199" s="259"/>
      <c r="Y199" s="260"/>
      <c r="Z199" s="260"/>
    </row>
    <row r="200">
      <c r="L200" s="259"/>
      <c r="X200" s="259"/>
      <c r="Y200" s="260"/>
      <c r="Z200" s="260"/>
    </row>
    <row r="201">
      <c r="L201" s="259"/>
      <c r="X201" s="259"/>
      <c r="Y201" s="260"/>
      <c r="Z201" s="260"/>
    </row>
    <row r="202">
      <c r="L202" s="259"/>
      <c r="X202" s="259"/>
      <c r="Y202" s="260"/>
      <c r="Z202" s="260"/>
    </row>
    <row r="203">
      <c r="L203" s="259"/>
      <c r="X203" s="259"/>
      <c r="Y203" s="260"/>
      <c r="Z203" s="260"/>
    </row>
    <row r="204">
      <c r="L204" s="259"/>
      <c r="X204" s="259"/>
      <c r="Y204" s="260"/>
      <c r="Z204" s="260"/>
    </row>
    <row r="205">
      <c r="L205" s="259"/>
      <c r="X205" s="259"/>
      <c r="Y205" s="260"/>
      <c r="Z205" s="260"/>
    </row>
    <row r="206">
      <c r="L206" s="259"/>
      <c r="X206" s="259"/>
      <c r="Y206" s="260"/>
      <c r="Z206" s="260"/>
    </row>
    <row r="207">
      <c r="L207" s="259"/>
      <c r="X207" s="259"/>
      <c r="Y207" s="260"/>
      <c r="Z207" s="260"/>
    </row>
    <row r="208">
      <c r="L208" s="259"/>
      <c r="X208" s="259"/>
      <c r="Y208" s="260"/>
      <c r="Z208" s="260"/>
    </row>
    <row r="209">
      <c r="L209" s="259"/>
      <c r="X209" s="259"/>
      <c r="Y209" s="260"/>
      <c r="Z209" s="260"/>
    </row>
    <row r="210">
      <c r="L210" s="259"/>
      <c r="X210" s="259"/>
      <c r="Y210" s="260"/>
      <c r="Z210" s="260"/>
    </row>
    <row r="211">
      <c r="L211" s="259"/>
      <c r="X211" s="259"/>
      <c r="Y211" s="260"/>
      <c r="Z211" s="260"/>
    </row>
    <row r="212">
      <c r="L212" s="259"/>
      <c r="X212" s="259"/>
      <c r="Y212" s="260"/>
      <c r="Z212" s="260"/>
    </row>
    <row r="213">
      <c r="L213" s="259"/>
      <c r="X213" s="259"/>
      <c r="Y213" s="260"/>
      <c r="Z213" s="260"/>
    </row>
    <row r="214">
      <c r="L214" s="259"/>
      <c r="X214" s="259"/>
      <c r="Y214" s="260"/>
      <c r="Z214" s="260"/>
    </row>
    <row r="215">
      <c r="L215" s="259"/>
      <c r="X215" s="259"/>
      <c r="Y215" s="260"/>
      <c r="Z215" s="260"/>
    </row>
    <row r="216">
      <c r="L216" s="259"/>
      <c r="X216" s="259"/>
      <c r="Y216" s="260"/>
      <c r="Z216" s="260"/>
    </row>
    <row r="217">
      <c r="L217" s="259"/>
      <c r="X217" s="259"/>
      <c r="Y217" s="260"/>
      <c r="Z217" s="260"/>
    </row>
    <row r="218">
      <c r="L218" s="259"/>
      <c r="X218" s="259"/>
      <c r="Y218" s="260"/>
      <c r="Z218" s="260"/>
    </row>
    <row r="219">
      <c r="L219" s="259"/>
      <c r="X219" s="259"/>
      <c r="Y219" s="260"/>
      <c r="Z219" s="260"/>
    </row>
    <row r="220">
      <c r="L220" s="259"/>
      <c r="X220" s="259"/>
      <c r="Y220" s="260"/>
      <c r="Z220" s="260"/>
    </row>
    <row r="221">
      <c r="L221" s="259"/>
      <c r="X221" s="259"/>
      <c r="Y221" s="260"/>
      <c r="Z221" s="260"/>
    </row>
    <row r="222">
      <c r="L222" s="259"/>
      <c r="X222" s="259"/>
      <c r="Y222" s="260"/>
      <c r="Z222" s="260"/>
    </row>
    <row r="223">
      <c r="L223" s="259"/>
      <c r="X223" s="259"/>
      <c r="Y223" s="260"/>
      <c r="Z223" s="260"/>
    </row>
    <row r="224">
      <c r="L224" s="259"/>
      <c r="X224" s="259"/>
      <c r="Y224" s="260"/>
      <c r="Z224" s="260"/>
    </row>
    <row r="225">
      <c r="L225" s="259"/>
      <c r="X225" s="259"/>
      <c r="Y225" s="260"/>
      <c r="Z225" s="260"/>
    </row>
    <row r="226">
      <c r="L226" s="259"/>
      <c r="X226" s="259"/>
      <c r="Y226" s="260"/>
      <c r="Z226" s="260"/>
    </row>
    <row r="227">
      <c r="L227" s="259"/>
      <c r="X227" s="259"/>
      <c r="Y227" s="260"/>
      <c r="Z227" s="260"/>
    </row>
    <row r="228">
      <c r="L228" s="259"/>
      <c r="X228" s="259"/>
      <c r="Y228" s="260"/>
      <c r="Z228" s="260"/>
    </row>
    <row r="229">
      <c r="L229" s="259"/>
      <c r="X229" s="259"/>
      <c r="Y229" s="260"/>
      <c r="Z229" s="260"/>
    </row>
    <row r="230">
      <c r="L230" s="259"/>
      <c r="X230" s="259"/>
      <c r="Y230" s="260"/>
      <c r="Z230" s="260"/>
    </row>
    <row r="231">
      <c r="L231" s="259"/>
      <c r="X231" s="259"/>
      <c r="Y231" s="260"/>
      <c r="Z231" s="260"/>
    </row>
    <row r="232">
      <c r="L232" s="259"/>
      <c r="X232" s="259"/>
      <c r="Y232" s="260"/>
      <c r="Z232" s="260"/>
    </row>
    <row r="233">
      <c r="L233" s="259"/>
      <c r="X233" s="259"/>
      <c r="Y233" s="260"/>
      <c r="Z233" s="260"/>
    </row>
    <row r="234">
      <c r="L234" s="259"/>
      <c r="X234" s="259"/>
      <c r="Y234" s="260"/>
      <c r="Z234" s="260"/>
    </row>
    <row r="235">
      <c r="L235" s="259"/>
      <c r="X235" s="259"/>
      <c r="Y235" s="260"/>
      <c r="Z235" s="260"/>
    </row>
    <row r="236">
      <c r="L236" s="259"/>
      <c r="X236" s="259"/>
      <c r="Y236" s="260"/>
      <c r="Z236" s="260"/>
    </row>
    <row r="237">
      <c r="L237" s="259"/>
      <c r="X237" s="259"/>
      <c r="Y237" s="260"/>
      <c r="Z237" s="260"/>
    </row>
    <row r="238">
      <c r="L238" s="259"/>
      <c r="X238" s="259"/>
      <c r="Y238" s="260"/>
      <c r="Z238" s="260"/>
    </row>
    <row r="239">
      <c r="L239" s="259"/>
      <c r="X239" s="259"/>
      <c r="Y239" s="260"/>
      <c r="Z239" s="260"/>
    </row>
    <row r="240">
      <c r="L240" s="259"/>
      <c r="X240" s="259"/>
      <c r="Y240" s="260"/>
      <c r="Z240" s="260"/>
    </row>
    <row r="241">
      <c r="L241" s="259"/>
      <c r="X241" s="259"/>
      <c r="Y241" s="260"/>
      <c r="Z241" s="260"/>
    </row>
    <row r="242">
      <c r="L242" s="259"/>
      <c r="X242" s="259"/>
      <c r="Y242" s="260"/>
      <c r="Z242" s="260"/>
    </row>
    <row r="243">
      <c r="L243" s="259"/>
      <c r="X243" s="259"/>
      <c r="Y243" s="260"/>
      <c r="Z243" s="260"/>
    </row>
    <row r="244">
      <c r="L244" s="259"/>
      <c r="X244" s="259"/>
      <c r="Y244" s="260"/>
      <c r="Z244" s="260"/>
    </row>
    <row r="245">
      <c r="L245" s="259"/>
      <c r="X245" s="259"/>
      <c r="Y245" s="260"/>
      <c r="Z245" s="260"/>
    </row>
    <row r="246">
      <c r="L246" s="259"/>
      <c r="X246" s="259"/>
      <c r="Y246" s="260"/>
      <c r="Z246" s="260"/>
    </row>
    <row r="247">
      <c r="L247" s="259"/>
      <c r="X247" s="259"/>
      <c r="Y247" s="260"/>
      <c r="Z247" s="260"/>
    </row>
    <row r="248">
      <c r="L248" s="259"/>
      <c r="X248" s="259"/>
      <c r="Y248" s="260"/>
      <c r="Z248" s="260"/>
    </row>
    <row r="249">
      <c r="L249" s="259"/>
      <c r="X249" s="259"/>
      <c r="Y249" s="260"/>
      <c r="Z249" s="260"/>
    </row>
    <row r="250">
      <c r="L250" s="259"/>
      <c r="X250" s="259"/>
      <c r="Y250" s="260"/>
      <c r="Z250" s="260"/>
    </row>
    <row r="251">
      <c r="L251" s="259"/>
      <c r="X251" s="259"/>
      <c r="Y251" s="260"/>
      <c r="Z251" s="260"/>
    </row>
    <row r="252">
      <c r="L252" s="259"/>
      <c r="X252" s="259"/>
      <c r="Y252" s="260"/>
      <c r="Z252" s="260"/>
    </row>
    <row r="253">
      <c r="L253" s="259"/>
      <c r="X253" s="259"/>
      <c r="Y253" s="260"/>
      <c r="Z253" s="260"/>
    </row>
    <row r="254">
      <c r="L254" s="259"/>
      <c r="X254" s="259"/>
      <c r="Y254" s="260"/>
      <c r="Z254" s="260"/>
    </row>
    <row r="255">
      <c r="L255" s="259"/>
      <c r="X255" s="259"/>
      <c r="Y255" s="260"/>
      <c r="Z255" s="260"/>
    </row>
    <row r="256">
      <c r="L256" s="259"/>
      <c r="X256" s="259"/>
      <c r="Y256" s="260"/>
      <c r="Z256" s="260"/>
    </row>
    <row r="257">
      <c r="L257" s="259"/>
      <c r="X257" s="259"/>
      <c r="Y257" s="260"/>
      <c r="Z257" s="260"/>
    </row>
    <row r="258">
      <c r="L258" s="259"/>
      <c r="X258" s="259"/>
      <c r="Y258" s="260"/>
      <c r="Z258" s="260"/>
    </row>
    <row r="259">
      <c r="L259" s="259"/>
      <c r="X259" s="259"/>
      <c r="Y259" s="260"/>
      <c r="Z259" s="260"/>
    </row>
    <row r="260">
      <c r="L260" s="259"/>
      <c r="X260" s="259"/>
      <c r="Y260" s="260"/>
      <c r="Z260" s="260"/>
    </row>
    <row r="261">
      <c r="L261" s="259"/>
      <c r="X261" s="259"/>
      <c r="Y261" s="260"/>
      <c r="Z261" s="260"/>
    </row>
    <row r="262">
      <c r="L262" s="259"/>
      <c r="X262" s="259"/>
      <c r="Y262" s="260"/>
      <c r="Z262" s="260"/>
    </row>
    <row r="263">
      <c r="L263" s="259"/>
      <c r="X263" s="259"/>
      <c r="Y263" s="260"/>
      <c r="Z263" s="260"/>
    </row>
    <row r="264">
      <c r="L264" s="259"/>
      <c r="X264" s="259"/>
      <c r="Y264" s="260"/>
      <c r="Z264" s="260"/>
    </row>
    <row r="265">
      <c r="L265" s="259"/>
      <c r="X265" s="259"/>
      <c r="Y265" s="260"/>
      <c r="Z265" s="260"/>
    </row>
    <row r="266">
      <c r="L266" s="259"/>
      <c r="X266" s="259"/>
      <c r="Y266" s="260"/>
      <c r="Z266" s="260"/>
    </row>
    <row r="267">
      <c r="L267" s="259"/>
      <c r="X267" s="259"/>
      <c r="Y267" s="260"/>
      <c r="Z267" s="260"/>
    </row>
    <row r="268">
      <c r="L268" s="259"/>
      <c r="X268" s="259"/>
      <c r="Y268" s="260"/>
      <c r="Z268" s="260"/>
    </row>
    <row r="269">
      <c r="L269" s="259"/>
      <c r="X269" s="259"/>
      <c r="Y269" s="260"/>
      <c r="Z269" s="260"/>
    </row>
    <row r="270">
      <c r="L270" s="259"/>
      <c r="X270" s="259"/>
      <c r="Y270" s="260"/>
      <c r="Z270" s="260"/>
    </row>
    <row r="271">
      <c r="L271" s="259"/>
      <c r="X271" s="259"/>
      <c r="Y271" s="260"/>
      <c r="Z271" s="260"/>
    </row>
    <row r="272">
      <c r="L272" s="259"/>
      <c r="X272" s="259"/>
      <c r="Y272" s="260"/>
      <c r="Z272" s="260"/>
    </row>
    <row r="273">
      <c r="L273" s="259"/>
      <c r="X273" s="259"/>
      <c r="Y273" s="260"/>
      <c r="Z273" s="260"/>
    </row>
    <row r="274">
      <c r="L274" s="259"/>
      <c r="X274" s="259"/>
      <c r="Y274" s="260"/>
      <c r="Z274" s="260"/>
    </row>
    <row r="275">
      <c r="L275" s="259"/>
      <c r="X275" s="259"/>
      <c r="Y275" s="260"/>
      <c r="Z275" s="260"/>
    </row>
    <row r="276">
      <c r="L276" s="259"/>
      <c r="X276" s="259"/>
      <c r="Y276" s="260"/>
      <c r="Z276" s="260"/>
    </row>
    <row r="277">
      <c r="L277" s="259"/>
      <c r="X277" s="259"/>
      <c r="Y277" s="260"/>
      <c r="Z277" s="260"/>
    </row>
    <row r="278">
      <c r="L278" s="259"/>
      <c r="X278" s="259"/>
      <c r="Y278" s="260"/>
      <c r="Z278" s="260"/>
    </row>
    <row r="279">
      <c r="L279" s="259"/>
      <c r="X279" s="259"/>
      <c r="Y279" s="260"/>
      <c r="Z279" s="260"/>
    </row>
    <row r="280">
      <c r="L280" s="259"/>
      <c r="X280" s="259"/>
      <c r="Y280" s="260"/>
      <c r="Z280" s="260"/>
    </row>
    <row r="281">
      <c r="L281" s="259"/>
      <c r="X281" s="259"/>
      <c r="Y281" s="260"/>
      <c r="Z281" s="260"/>
    </row>
    <row r="282">
      <c r="L282" s="259"/>
      <c r="X282" s="259"/>
      <c r="Y282" s="260"/>
      <c r="Z282" s="260"/>
    </row>
    <row r="283">
      <c r="L283" s="259"/>
      <c r="X283" s="259"/>
      <c r="Y283" s="260"/>
      <c r="Z283" s="260"/>
    </row>
    <row r="284">
      <c r="L284" s="259"/>
      <c r="X284" s="259"/>
      <c r="Y284" s="260"/>
      <c r="Z284" s="260"/>
    </row>
    <row r="285">
      <c r="L285" s="259"/>
      <c r="X285" s="259"/>
      <c r="Y285" s="260"/>
      <c r="Z285" s="260"/>
    </row>
    <row r="286">
      <c r="L286" s="259"/>
      <c r="X286" s="259"/>
      <c r="Y286" s="260"/>
      <c r="Z286" s="260"/>
    </row>
    <row r="287">
      <c r="L287" s="259"/>
      <c r="X287" s="259"/>
      <c r="Y287" s="260"/>
      <c r="Z287" s="260"/>
    </row>
    <row r="288">
      <c r="L288" s="259"/>
      <c r="X288" s="259"/>
      <c r="Y288" s="260"/>
      <c r="Z288" s="260"/>
    </row>
    <row r="289">
      <c r="L289" s="259"/>
      <c r="X289" s="259"/>
      <c r="Y289" s="260"/>
      <c r="Z289" s="260"/>
    </row>
    <row r="290">
      <c r="L290" s="259"/>
      <c r="X290" s="259"/>
      <c r="Y290" s="260"/>
      <c r="Z290" s="260"/>
    </row>
    <row r="291">
      <c r="L291" s="259"/>
      <c r="X291" s="259"/>
      <c r="Y291" s="260"/>
      <c r="Z291" s="260"/>
    </row>
    <row r="292">
      <c r="L292" s="259"/>
      <c r="X292" s="259"/>
      <c r="Y292" s="260"/>
      <c r="Z292" s="260"/>
    </row>
    <row r="293">
      <c r="L293" s="259"/>
      <c r="X293" s="259"/>
      <c r="Y293" s="260"/>
      <c r="Z293" s="260"/>
    </row>
    <row r="294">
      <c r="L294" s="259"/>
      <c r="X294" s="259"/>
      <c r="Y294" s="260"/>
      <c r="Z294" s="260"/>
    </row>
    <row r="295">
      <c r="L295" s="259"/>
      <c r="X295" s="259"/>
      <c r="Y295" s="260"/>
      <c r="Z295" s="260"/>
    </row>
    <row r="296">
      <c r="L296" s="259"/>
      <c r="X296" s="259"/>
      <c r="Y296" s="260"/>
      <c r="Z296" s="260"/>
    </row>
    <row r="297">
      <c r="L297" s="259"/>
      <c r="X297" s="259"/>
      <c r="Y297" s="260"/>
      <c r="Z297" s="260"/>
    </row>
    <row r="298">
      <c r="L298" s="259"/>
      <c r="X298" s="259"/>
      <c r="Y298" s="260"/>
      <c r="Z298" s="260"/>
    </row>
    <row r="299">
      <c r="L299" s="259"/>
      <c r="X299" s="259"/>
      <c r="Y299" s="260"/>
      <c r="Z299" s="260"/>
    </row>
    <row r="300">
      <c r="L300" s="259"/>
      <c r="X300" s="259"/>
      <c r="Y300" s="260"/>
      <c r="Z300" s="260"/>
    </row>
    <row r="301">
      <c r="L301" s="259"/>
      <c r="X301" s="259"/>
      <c r="Y301" s="260"/>
      <c r="Z301" s="260"/>
    </row>
    <row r="302">
      <c r="L302" s="259"/>
      <c r="X302" s="259"/>
      <c r="Y302" s="260"/>
      <c r="Z302" s="260"/>
    </row>
    <row r="303">
      <c r="L303" s="259"/>
      <c r="X303" s="259"/>
      <c r="Y303" s="260"/>
      <c r="Z303" s="260"/>
    </row>
    <row r="304">
      <c r="L304" s="259"/>
      <c r="X304" s="259"/>
      <c r="Y304" s="260"/>
      <c r="Z304" s="260"/>
    </row>
    <row r="305">
      <c r="L305" s="259"/>
      <c r="X305" s="259"/>
      <c r="Y305" s="260"/>
      <c r="Z305" s="260"/>
    </row>
    <row r="306">
      <c r="L306" s="259"/>
      <c r="X306" s="259"/>
      <c r="Y306" s="260"/>
      <c r="Z306" s="260"/>
    </row>
    <row r="307">
      <c r="L307" s="259"/>
      <c r="X307" s="259"/>
      <c r="Y307" s="260"/>
      <c r="Z307" s="260"/>
    </row>
    <row r="308">
      <c r="L308" s="259"/>
      <c r="X308" s="259"/>
      <c r="Y308" s="260"/>
      <c r="Z308" s="260"/>
    </row>
    <row r="309">
      <c r="L309" s="259"/>
      <c r="X309" s="259"/>
      <c r="Y309" s="260"/>
      <c r="Z309" s="260"/>
    </row>
    <row r="310">
      <c r="L310" s="259"/>
      <c r="X310" s="259"/>
      <c r="Y310" s="260"/>
      <c r="Z310" s="260"/>
    </row>
    <row r="311">
      <c r="L311" s="259"/>
      <c r="X311" s="259"/>
      <c r="Y311" s="260"/>
      <c r="Z311" s="260"/>
    </row>
    <row r="312">
      <c r="L312" s="259"/>
      <c r="X312" s="259"/>
      <c r="Y312" s="260"/>
      <c r="Z312" s="260"/>
    </row>
    <row r="313">
      <c r="L313" s="259"/>
      <c r="X313" s="259"/>
      <c r="Y313" s="260"/>
      <c r="Z313" s="260"/>
    </row>
    <row r="314">
      <c r="L314" s="259"/>
      <c r="X314" s="259"/>
      <c r="Y314" s="260"/>
      <c r="Z314" s="260"/>
    </row>
    <row r="315">
      <c r="L315" s="259"/>
      <c r="X315" s="259"/>
      <c r="Y315" s="260"/>
      <c r="Z315" s="260"/>
    </row>
    <row r="316">
      <c r="L316" s="259"/>
      <c r="X316" s="259"/>
      <c r="Y316" s="260"/>
      <c r="Z316" s="260"/>
    </row>
    <row r="317">
      <c r="L317" s="259"/>
      <c r="X317" s="259"/>
      <c r="Y317" s="260"/>
      <c r="Z317" s="260"/>
    </row>
    <row r="318">
      <c r="L318" s="259"/>
      <c r="X318" s="259"/>
      <c r="Y318" s="260"/>
      <c r="Z318" s="260"/>
    </row>
    <row r="319">
      <c r="L319" s="259"/>
      <c r="X319" s="259"/>
      <c r="Y319" s="260"/>
      <c r="Z319" s="260"/>
    </row>
    <row r="320">
      <c r="L320" s="259"/>
      <c r="X320" s="259"/>
      <c r="Y320" s="260"/>
      <c r="Z320" s="260"/>
    </row>
    <row r="321">
      <c r="L321" s="259"/>
      <c r="X321" s="259"/>
      <c r="Y321" s="260"/>
      <c r="Z321" s="260"/>
    </row>
    <row r="322">
      <c r="L322" s="259"/>
      <c r="X322" s="259"/>
      <c r="Y322" s="260"/>
      <c r="Z322" s="260"/>
    </row>
    <row r="323">
      <c r="L323" s="259"/>
      <c r="X323" s="259"/>
      <c r="Y323" s="260"/>
      <c r="Z323" s="260"/>
    </row>
    <row r="324">
      <c r="L324" s="259"/>
      <c r="X324" s="259"/>
      <c r="Y324" s="260"/>
      <c r="Z324" s="260"/>
    </row>
    <row r="325">
      <c r="L325" s="259"/>
      <c r="X325" s="259"/>
      <c r="Y325" s="260"/>
      <c r="Z325" s="260"/>
    </row>
    <row r="326">
      <c r="L326" s="259"/>
      <c r="X326" s="259"/>
      <c r="Y326" s="260"/>
      <c r="Z326" s="260"/>
    </row>
    <row r="327">
      <c r="L327" s="259"/>
      <c r="X327" s="259"/>
      <c r="Y327" s="260"/>
      <c r="Z327" s="260"/>
    </row>
    <row r="328">
      <c r="L328" s="259"/>
      <c r="X328" s="259"/>
      <c r="Y328" s="260"/>
      <c r="Z328" s="260"/>
    </row>
    <row r="329">
      <c r="L329" s="259"/>
      <c r="X329" s="259"/>
      <c r="Y329" s="260"/>
      <c r="Z329" s="260"/>
    </row>
    <row r="330">
      <c r="L330" s="259"/>
      <c r="X330" s="259"/>
      <c r="Y330" s="260"/>
      <c r="Z330" s="260"/>
    </row>
    <row r="331">
      <c r="L331" s="259"/>
      <c r="X331" s="259"/>
      <c r="Y331" s="260"/>
      <c r="Z331" s="260"/>
    </row>
    <row r="332">
      <c r="L332" s="259"/>
      <c r="X332" s="259"/>
      <c r="Y332" s="260"/>
      <c r="Z332" s="260"/>
    </row>
    <row r="333">
      <c r="L333" s="259"/>
      <c r="X333" s="259"/>
      <c r="Y333" s="260"/>
      <c r="Z333" s="260"/>
    </row>
    <row r="334">
      <c r="L334" s="259"/>
      <c r="X334" s="259"/>
      <c r="Y334" s="260"/>
      <c r="Z334" s="260"/>
    </row>
    <row r="335">
      <c r="L335" s="259"/>
      <c r="X335" s="259"/>
      <c r="Y335" s="260"/>
      <c r="Z335" s="260"/>
    </row>
    <row r="336">
      <c r="L336" s="259"/>
      <c r="X336" s="259"/>
      <c r="Y336" s="260"/>
      <c r="Z336" s="260"/>
    </row>
    <row r="337">
      <c r="L337" s="259"/>
      <c r="X337" s="259"/>
      <c r="Y337" s="260"/>
      <c r="Z337" s="260"/>
    </row>
    <row r="338">
      <c r="L338" s="259"/>
      <c r="X338" s="259"/>
      <c r="Y338" s="260"/>
      <c r="Z338" s="260"/>
    </row>
    <row r="339">
      <c r="L339" s="259"/>
      <c r="X339" s="259"/>
      <c r="Y339" s="260"/>
      <c r="Z339" s="260"/>
    </row>
    <row r="340">
      <c r="L340" s="259"/>
      <c r="X340" s="259"/>
      <c r="Y340" s="260"/>
      <c r="Z340" s="260"/>
    </row>
    <row r="341">
      <c r="L341" s="259"/>
      <c r="X341" s="259"/>
      <c r="Y341" s="260"/>
      <c r="Z341" s="260"/>
    </row>
    <row r="342">
      <c r="L342" s="259"/>
      <c r="X342" s="259"/>
      <c r="Y342" s="260"/>
      <c r="Z342" s="260"/>
    </row>
    <row r="343">
      <c r="L343" s="259"/>
      <c r="X343" s="259"/>
      <c r="Y343" s="260"/>
      <c r="Z343" s="260"/>
    </row>
    <row r="344">
      <c r="L344" s="259"/>
      <c r="X344" s="259"/>
      <c r="Y344" s="260"/>
      <c r="Z344" s="260"/>
    </row>
    <row r="345">
      <c r="L345" s="259"/>
      <c r="X345" s="259"/>
      <c r="Y345" s="260"/>
      <c r="Z345" s="260"/>
    </row>
    <row r="346">
      <c r="L346" s="259"/>
      <c r="X346" s="259"/>
      <c r="Y346" s="260"/>
      <c r="Z346" s="260"/>
    </row>
    <row r="347">
      <c r="L347" s="259"/>
      <c r="X347" s="259"/>
      <c r="Y347" s="260"/>
      <c r="Z347" s="260"/>
    </row>
    <row r="348">
      <c r="L348" s="259"/>
      <c r="X348" s="259"/>
      <c r="Y348" s="260"/>
      <c r="Z348" s="260"/>
    </row>
    <row r="349">
      <c r="L349" s="259"/>
      <c r="X349" s="259"/>
      <c r="Y349" s="260"/>
      <c r="Z349" s="260"/>
    </row>
    <row r="350">
      <c r="L350" s="259"/>
      <c r="X350" s="259"/>
      <c r="Y350" s="260"/>
      <c r="Z350" s="260"/>
    </row>
    <row r="351">
      <c r="L351" s="259"/>
      <c r="X351" s="259"/>
      <c r="Y351" s="260"/>
      <c r="Z351" s="260"/>
    </row>
    <row r="352">
      <c r="L352" s="259"/>
      <c r="X352" s="259"/>
      <c r="Y352" s="260"/>
      <c r="Z352" s="260"/>
    </row>
    <row r="353">
      <c r="L353" s="259"/>
      <c r="X353" s="259"/>
      <c r="Y353" s="260"/>
      <c r="Z353" s="260"/>
    </row>
    <row r="354">
      <c r="L354" s="259"/>
      <c r="X354" s="259"/>
      <c r="Y354" s="260"/>
      <c r="Z354" s="260"/>
    </row>
    <row r="355">
      <c r="L355" s="259"/>
      <c r="X355" s="259"/>
      <c r="Y355" s="260"/>
      <c r="Z355" s="260"/>
    </row>
    <row r="356">
      <c r="L356" s="259"/>
      <c r="X356" s="259"/>
      <c r="Y356" s="260"/>
      <c r="Z356" s="260"/>
    </row>
    <row r="357">
      <c r="L357" s="259"/>
      <c r="X357" s="259"/>
      <c r="Y357" s="260"/>
      <c r="Z357" s="260"/>
    </row>
    <row r="358">
      <c r="L358" s="259"/>
      <c r="X358" s="259"/>
      <c r="Y358" s="260"/>
      <c r="Z358" s="260"/>
    </row>
    <row r="359">
      <c r="L359" s="259"/>
      <c r="X359" s="259"/>
      <c r="Y359" s="260"/>
      <c r="Z359" s="260"/>
    </row>
    <row r="360">
      <c r="L360" s="259"/>
      <c r="X360" s="259"/>
      <c r="Y360" s="260"/>
      <c r="Z360" s="260"/>
    </row>
    <row r="361">
      <c r="L361" s="259"/>
      <c r="X361" s="259"/>
      <c r="Y361" s="260"/>
      <c r="Z361" s="260"/>
    </row>
    <row r="362">
      <c r="L362" s="259"/>
      <c r="X362" s="259"/>
      <c r="Y362" s="260"/>
      <c r="Z362" s="260"/>
    </row>
    <row r="363">
      <c r="L363" s="259"/>
      <c r="X363" s="259"/>
      <c r="Y363" s="260"/>
      <c r="Z363" s="260"/>
    </row>
    <row r="364">
      <c r="L364" s="259"/>
      <c r="X364" s="259"/>
      <c r="Y364" s="260"/>
      <c r="Z364" s="260"/>
    </row>
    <row r="365">
      <c r="L365" s="259"/>
      <c r="X365" s="259"/>
      <c r="Y365" s="260"/>
      <c r="Z365" s="260"/>
    </row>
    <row r="366">
      <c r="L366" s="259"/>
      <c r="X366" s="259"/>
      <c r="Y366" s="260"/>
      <c r="Z366" s="260"/>
    </row>
    <row r="367">
      <c r="L367" s="259"/>
      <c r="X367" s="259"/>
      <c r="Y367" s="260"/>
      <c r="Z367" s="260"/>
    </row>
    <row r="368">
      <c r="L368" s="259"/>
      <c r="X368" s="259"/>
      <c r="Y368" s="260"/>
      <c r="Z368" s="260"/>
    </row>
    <row r="369">
      <c r="L369" s="259"/>
      <c r="X369" s="259"/>
      <c r="Y369" s="260"/>
      <c r="Z369" s="260"/>
    </row>
    <row r="370">
      <c r="L370" s="259"/>
      <c r="X370" s="259"/>
      <c r="Y370" s="260"/>
      <c r="Z370" s="260"/>
    </row>
    <row r="371">
      <c r="L371" s="259"/>
      <c r="X371" s="259"/>
      <c r="Y371" s="260"/>
      <c r="Z371" s="260"/>
    </row>
    <row r="372">
      <c r="L372" s="259"/>
      <c r="X372" s="259"/>
      <c r="Y372" s="260"/>
      <c r="Z372" s="260"/>
    </row>
    <row r="373">
      <c r="L373" s="259"/>
      <c r="X373" s="259"/>
      <c r="Y373" s="260"/>
      <c r="Z373" s="260"/>
    </row>
    <row r="374">
      <c r="L374" s="259"/>
      <c r="X374" s="259"/>
      <c r="Y374" s="260"/>
      <c r="Z374" s="260"/>
    </row>
    <row r="375">
      <c r="L375" s="259"/>
      <c r="X375" s="259"/>
      <c r="Y375" s="260"/>
      <c r="Z375" s="260"/>
    </row>
    <row r="376">
      <c r="L376" s="259"/>
      <c r="X376" s="259"/>
      <c r="Y376" s="260"/>
      <c r="Z376" s="260"/>
    </row>
    <row r="377">
      <c r="L377" s="259"/>
      <c r="X377" s="259"/>
      <c r="Y377" s="260"/>
      <c r="Z377" s="260"/>
    </row>
    <row r="378">
      <c r="L378" s="259"/>
      <c r="X378" s="259"/>
      <c r="Y378" s="260"/>
      <c r="Z378" s="260"/>
    </row>
    <row r="379">
      <c r="L379" s="259"/>
      <c r="X379" s="259"/>
      <c r="Y379" s="260"/>
      <c r="Z379" s="260"/>
    </row>
    <row r="380">
      <c r="L380" s="259"/>
      <c r="X380" s="259"/>
      <c r="Y380" s="260"/>
      <c r="Z380" s="260"/>
    </row>
    <row r="381">
      <c r="L381" s="259"/>
      <c r="X381" s="259"/>
      <c r="Y381" s="260"/>
      <c r="Z381" s="260"/>
    </row>
    <row r="382">
      <c r="L382" s="259"/>
      <c r="X382" s="259"/>
      <c r="Y382" s="260"/>
      <c r="Z382" s="260"/>
    </row>
    <row r="383">
      <c r="L383" s="259"/>
      <c r="X383" s="259"/>
      <c r="Y383" s="260"/>
      <c r="Z383" s="260"/>
    </row>
    <row r="384">
      <c r="L384" s="259"/>
      <c r="X384" s="259"/>
      <c r="Y384" s="260"/>
      <c r="Z384" s="260"/>
    </row>
    <row r="385">
      <c r="L385" s="259"/>
      <c r="X385" s="259"/>
      <c r="Y385" s="260"/>
      <c r="Z385" s="260"/>
    </row>
    <row r="386">
      <c r="L386" s="259"/>
      <c r="X386" s="259"/>
      <c r="Y386" s="260"/>
      <c r="Z386" s="260"/>
    </row>
    <row r="387">
      <c r="L387" s="259"/>
      <c r="X387" s="259"/>
      <c r="Y387" s="260"/>
      <c r="Z387" s="260"/>
    </row>
    <row r="388">
      <c r="L388" s="259"/>
      <c r="X388" s="259"/>
      <c r="Y388" s="260"/>
      <c r="Z388" s="260"/>
    </row>
    <row r="389">
      <c r="L389" s="259"/>
      <c r="X389" s="259"/>
      <c r="Y389" s="260"/>
      <c r="Z389" s="260"/>
    </row>
    <row r="390">
      <c r="L390" s="259"/>
      <c r="X390" s="259"/>
      <c r="Y390" s="260"/>
      <c r="Z390" s="260"/>
    </row>
    <row r="391">
      <c r="L391" s="259"/>
      <c r="X391" s="259"/>
      <c r="Y391" s="260"/>
      <c r="Z391" s="260"/>
    </row>
    <row r="392">
      <c r="L392" s="259"/>
      <c r="X392" s="259"/>
      <c r="Y392" s="260"/>
      <c r="Z392" s="260"/>
    </row>
    <row r="393">
      <c r="L393" s="259"/>
      <c r="X393" s="259"/>
      <c r="Y393" s="260"/>
      <c r="Z393" s="260"/>
    </row>
    <row r="394">
      <c r="L394" s="259"/>
      <c r="X394" s="259"/>
      <c r="Y394" s="260"/>
      <c r="Z394" s="260"/>
    </row>
    <row r="395">
      <c r="L395" s="259"/>
      <c r="X395" s="259"/>
      <c r="Y395" s="260"/>
      <c r="Z395" s="260"/>
    </row>
    <row r="396">
      <c r="L396" s="259"/>
      <c r="X396" s="259"/>
      <c r="Y396" s="260"/>
      <c r="Z396" s="260"/>
    </row>
    <row r="397">
      <c r="L397" s="259"/>
      <c r="X397" s="259"/>
      <c r="Y397" s="260"/>
      <c r="Z397" s="260"/>
    </row>
    <row r="398">
      <c r="L398" s="259"/>
      <c r="X398" s="259"/>
      <c r="Y398" s="260"/>
      <c r="Z398" s="260"/>
    </row>
    <row r="399">
      <c r="L399" s="259"/>
      <c r="X399" s="259"/>
      <c r="Y399" s="260"/>
      <c r="Z399" s="260"/>
    </row>
    <row r="400">
      <c r="L400" s="259"/>
      <c r="X400" s="259"/>
      <c r="Y400" s="260"/>
      <c r="Z400" s="260"/>
    </row>
    <row r="401">
      <c r="L401" s="259"/>
      <c r="X401" s="259"/>
      <c r="Y401" s="260"/>
      <c r="Z401" s="260"/>
    </row>
    <row r="402">
      <c r="L402" s="259"/>
      <c r="X402" s="259"/>
      <c r="Y402" s="260"/>
      <c r="Z402" s="260"/>
    </row>
    <row r="403">
      <c r="L403" s="259"/>
      <c r="X403" s="259"/>
      <c r="Y403" s="260"/>
      <c r="Z403" s="260"/>
    </row>
    <row r="404">
      <c r="L404" s="259"/>
      <c r="X404" s="259"/>
      <c r="Y404" s="260"/>
      <c r="Z404" s="260"/>
    </row>
    <row r="405">
      <c r="L405" s="259"/>
      <c r="X405" s="259"/>
      <c r="Y405" s="260"/>
      <c r="Z405" s="260"/>
    </row>
    <row r="406">
      <c r="L406" s="259"/>
      <c r="X406" s="259"/>
      <c r="Y406" s="260"/>
      <c r="Z406" s="260"/>
    </row>
    <row r="407">
      <c r="L407" s="259"/>
      <c r="X407" s="259"/>
      <c r="Y407" s="260"/>
      <c r="Z407" s="260"/>
    </row>
    <row r="408">
      <c r="L408" s="259"/>
      <c r="X408" s="259"/>
      <c r="Y408" s="260"/>
      <c r="Z408" s="260"/>
    </row>
    <row r="409">
      <c r="L409" s="259"/>
      <c r="X409" s="259"/>
      <c r="Y409" s="260"/>
      <c r="Z409" s="260"/>
    </row>
    <row r="410">
      <c r="L410" s="259"/>
      <c r="X410" s="259"/>
      <c r="Y410" s="260"/>
      <c r="Z410" s="260"/>
    </row>
    <row r="411">
      <c r="L411" s="259"/>
      <c r="X411" s="259"/>
      <c r="Y411" s="260"/>
      <c r="Z411" s="260"/>
    </row>
    <row r="412">
      <c r="L412" s="259"/>
      <c r="X412" s="259"/>
      <c r="Y412" s="260"/>
      <c r="Z412" s="260"/>
    </row>
    <row r="413">
      <c r="L413" s="259"/>
      <c r="X413" s="259"/>
      <c r="Y413" s="260"/>
      <c r="Z413" s="260"/>
    </row>
    <row r="414">
      <c r="L414" s="259"/>
      <c r="X414" s="259"/>
      <c r="Y414" s="260"/>
      <c r="Z414" s="260"/>
    </row>
    <row r="415">
      <c r="L415" s="259"/>
      <c r="X415" s="259"/>
      <c r="Y415" s="260"/>
      <c r="Z415" s="260"/>
    </row>
    <row r="416">
      <c r="L416" s="259"/>
      <c r="X416" s="259"/>
      <c r="Y416" s="260"/>
      <c r="Z416" s="260"/>
    </row>
    <row r="417">
      <c r="L417" s="259"/>
      <c r="X417" s="259"/>
      <c r="Y417" s="260"/>
      <c r="Z417" s="260"/>
    </row>
    <row r="418">
      <c r="L418" s="259"/>
      <c r="X418" s="259"/>
      <c r="Y418" s="260"/>
      <c r="Z418" s="260"/>
    </row>
    <row r="419">
      <c r="L419" s="259"/>
      <c r="X419" s="259"/>
      <c r="Y419" s="260"/>
      <c r="Z419" s="260"/>
    </row>
    <row r="420">
      <c r="L420" s="259"/>
      <c r="X420" s="259"/>
      <c r="Y420" s="260"/>
      <c r="Z420" s="260"/>
    </row>
    <row r="421">
      <c r="L421" s="259"/>
      <c r="X421" s="259"/>
      <c r="Y421" s="260"/>
      <c r="Z421" s="260"/>
    </row>
    <row r="422">
      <c r="L422" s="259"/>
      <c r="X422" s="259"/>
      <c r="Y422" s="260"/>
      <c r="Z422" s="260"/>
    </row>
    <row r="423">
      <c r="L423" s="259"/>
      <c r="X423" s="259"/>
      <c r="Y423" s="260"/>
      <c r="Z423" s="260"/>
    </row>
    <row r="424">
      <c r="L424" s="259"/>
      <c r="X424" s="259"/>
      <c r="Y424" s="260"/>
      <c r="Z424" s="260"/>
    </row>
    <row r="425">
      <c r="L425" s="259"/>
      <c r="X425" s="259"/>
      <c r="Y425" s="260"/>
      <c r="Z425" s="260"/>
    </row>
    <row r="426">
      <c r="L426" s="259"/>
      <c r="X426" s="259"/>
      <c r="Y426" s="260"/>
      <c r="Z426" s="260"/>
    </row>
    <row r="427">
      <c r="L427" s="259"/>
      <c r="X427" s="259"/>
      <c r="Y427" s="260"/>
      <c r="Z427" s="260"/>
    </row>
    <row r="428">
      <c r="L428" s="259"/>
      <c r="X428" s="259"/>
      <c r="Y428" s="260"/>
      <c r="Z428" s="260"/>
    </row>
    <row r="429">
      <c r="L429" s="259"/>
      <c r="X429" s="259"/>
      <c r="Y429" s="260"/>
      <c r="Z429" s="260"/>
    </row>
    <row r="430">
      <c r="L430" s="259"/>
      <c r="X430" s="259"/>
      <c r="Y430" s="260"/>
      <c r="Z430" s="260"/>
    </row>
    <row r="431">
      <c r="L431" s="259"/>
      <c r="X431" s="259"/>
      <c r="Y431" s="260"/>
      <c r="Z431" s="260"/>
    </row>
    <row r="432">
      <c r="L432" s="259"/>
      <c r="X432" s="259"/>
      <c r="Y432" s="260"/>
      <c r="Z432" s="260"/>
    </row>
    <row r="433">
      <c r="L433" s="259"/>
      <c r="X433" s="259"/>
      <c r="Y433" s="260"/>
      <c r="Z433" s="260"/>
    </row>
    <row r="434">
      <c r="L434" s="259"/>
      <c r="X434" s="259"/>
      <c r="Y434" s="260"/>
      <c r="Z434" s="260"/>
    </row>
    <row r="435">
      <c r="L435" s="259"/>
      <c r="X435" s="259"/>
      <c r="Y435" s="260"/>
      <c r="Z435" s="260"/>
    </row>
    <row r="436">
      <c r="L436" s="259"/>
      <c r="X436" s="259"/>
      <c r="Y436" s="260"/>
      <c r="Z436" s="260"/>
    </row>
    <row r="437">
      <c r="L437" s="259"/>
      <c r="X437" s="259"/>
      <c r="Y437" s="260"/>
      <c r="Z437" s="260"/>
    </row>
    <row r="438">
      <c r="L438" s="259"/>
      <c r="X438" s="259"/>
      <c r="Y438" s="260"/>
      <c r="Z438" s="260"/>
    </row>
    <row r="439">
      <c r="L439" s="259"/>
      <c r="X439" s="259"/>
      <c r="Y439" s="260"/>
      <c r="Z439" s="260"/>
    </row>
    <row r="440">
      <c r="L440" s="259"/>
      <c r="X440" s="259"/>
      <c r="Y440" s="260"/>
      <c r="Z440" s="260"/>
    </row>
    <row r="441">
      <c r="L441" s="259"/>
      <c r="X441" s="259"/>
      <c r="Y441" s="260"/>
      <c r="Z441" s="260"/>
    </row>
    <row r="442">
      <c r="L442" s="259"/>
      <c r="X442" s="259"/>
      <c r="Y442" s="260"/>
      <c r="Z442" s="260"/>
    </row>
    <row r="443">
      <c r="L443" s="259"/>
      <c r="X443" s="259"/>
      <c r="Y443" s="260"/>
      <c r="Z443" s="260"/>
    </row>
    <row r="444">
      <c r="L444" s="259"/>
      <c r="X444" s="259"/>
      <c r="Y444" s="260"/>
      <c r="Z444" s="260"/>
    </row>
    <row r="445">
      <c r="L445" s="259"/>
      <c r="X445" s="259"/>
      <c r="Y445" s="260"/>
      <c r="Z445" s="260"/>
    </row>
    <row r="446">
      <c r="L446" s="259"/>
      <c r="X446" s="259"/>
      <c r="Y446" s="260"/>
      <c r="Z446" s="260"/>
    </row>
    <row r="447">
      <c r="L447" s="259"/>
      <c r="X447" s="259"/>
      <c r="Y447" s="260"/>
      <c r="Z447" s="260"/>
    </row>
    <row r="448">
      <c r="L448" s="259"/>
      <c r="X448" s="259"/>
      <c r="Y448" s="260"/>
      <c r="Z448" s="260"/>
    </row>
    <row r="449">
      <c r="L449" s="259"/>
      <c r="X449" s="259"/>
      <c r="Y449" s="260"/>
      <c r="Z449" s="260"/>
    </row>
    <row r="450">
      <c r="L450" s="259"/>
      <c r="X450" s="259"/>
      <c r="Y450" s="260"/>
      <c r="Z450" s="260"/>
    </row>
    <row r="451">
      <c r="L451" s="259"/>
      <c r="X451" s="259"/>
      <c r="Y451" s="260"/>
      <c r="Z451" s="260"/>
    </row>
    <row r="452">
      <c r="L452" s="259"/>
      <c r="X452" s="259"/>
      <c r="Y452" s="260"/>
      <c r="Z452" s="260"/>
    </row>
    <row r="453">
      <c r="L453" s="259"/>
      <c r="X453" s="259"/>
      <c r="Y453" s="260"/>
      <c r="Z453" s="260"/>
    </row>
    <row r="454">
      <c r="L454" s="259"/>
      <c r="X454" s="259"/>
      <c r="Y454" s="260"/>
      <c r="Z454" s="260"/>
    </row>
    <row r="455">
      <c r="L455" s="259"/>
      <c r="X455" s="259"/>
      <c r="Y455" s="260"/>
      <c r="Z455" s="260"/>
    </row>
    <row r="456">
      <c r="L456" s="259"/>
      <c r="X456" s="259"/>
      <c r="Y456" s="260"/>
      <c r="Z456" s="260"/>
    </row>
    <row r="457">
      <c r="L457" s="259"/>
      <c r="X457" s="259"/>
      <c r="Y457" s="260"/>
      <c r="Z457" s="260"/>
    </row>
    <row r="458">
      <c r="L458" s="259"/>
      <c r="X458" s="259"/>
      <c r="Y458" s="260"/>
      <c r="Z458" s="260"/>
    </row>
    <row r="459">
      <c r="L459" s="259"/>
      <c r="X459" s="259"/>
      <c r="Y459" s="260"/>
      <c r="Z459" s="260"/>
    </row>
    <row r="460">
      <c r="L460" s="259"/>
      <c r="X460" s="259"/>
      <c r="Y460" s="260"/>
      <c r="Z460" s="260"/>
    </row>
    <row r="461">
      <c r="L461" s="259"/>
      <c r="X461" s="259"/>
      <c r="Y461" s="260"/>
      <c r="Z461" s="260"/>
    </row>
    <row r="462">
      <c r="L462" s="259"/>
      <c r="X462" s="259"/>
      <c r="Y462" s="260"/>
      <c r="Z462" s="260"/>
    </row>
    <row r="463">
      <c r="L463" s="259"/>
      <c r="X463" s="259"/>
      <c r="Y463" s="260"/>
      <c r="Z463" s="260"/>
    </row>
    <row r="464">
      <c r="L464" s="259"/>
      <c r="X464" s="259"/>
      <c r="Y464" s="260"/>
      <c r="Z464" s="260"/>
    </row>
    <row r="465">
      <c r="L465" s="259"/>
      <c r="X465" s="259"/>
      <c r="Y465" s="260"/>
      <c r="Z465" s="260"/>
    </row>
    <row r="466">
      <c r="L466" s="259"/>
      <c r="X466" s="259"/>
      <c r="Y466" s="260"/>
      <c r="Z466" s="260"/>
    </row>
    <row r="467">
      <c r="L467" s="259"/>
      <c r="X467" s="259"/>
      <c r="Y467" s="260"/>
      <c r="Z467" s="260"/>
    </row>
    <row r="468">
      <c r="L468" s="259"/>
      <c r="X468" s="259"/>
      <c r="Y468" s="260"/>
      <c r="Z468" s="260"/>
    </row>
    <row r="469">
      <c r="L469" s="259"/>
      <c r="X469" s="259"/>
      <c r="Y469" s="260"/>
      <c r="Z469" s="260"/>
    </row>
    <row r="470">
      <c r="L470" s="259"/>
      <c r="X470" s="259"/>
      <c r="Y470" s="260"/>
      <c r="Z470" s="260"/>
    </row>
    <row r="471">
      <c r="L471" s="259"/>
      <c r="X471" s="259"/>
      <c r="Y471" s="260"/>
      <c r="Z471" s="260"/>
    </row>
    <row r="472">
      <c r="L472" s="259"/>
      <c r="X472" s="259"/>
      <c r="Y472" s="260"/>
      <c r="Z472" s="260"/>
    </row>
    <row r="473">
      <c r="L473" s="259"/>
      <c r="X473" s="259"/>
      <c r="Y473" s="260"/>
      <c r="Z473" s="260"/>
    </row>
    <row r="474">
      <c r="L474" s="259"/>
      <c r="X474" s="259"/>
      <c r="Y474" s="260"/>
      <c r="Z474" s="260"/>
    </row>
    <row r="475">
      <c r="L475" s="259"/>
      <c r="X475" s="259"/>
      <c r="Y475" s="260"/>
      <c r="Z475" s="260"/>
    </row>
    <row r="476">
      <c r="L476" s="259"/>
      <c r="X476" s="259"/>
      <c r="Y476" s="260"/>
      <c r="Z476" s="260"/>
    </row>
    <row r="477">
      <c r="L477" s="259"/>
      <c r="X477" s="259"/>
      <c r="Y477" s="260"/>
      <c r="Z477" s="260"/>
    </row>
    <row r="478">
      <c r="L478" s="259"/>
      <c r="X478" s="259"/>
      <c r="Y478" s="260"/>
      <c r="Z478" s="260"/>
    </row>
    <row r="479">
      <c r="L479" s="259"/>
      <c r="X479" s="259"/>
      <c r="Y479" s="260"/>
      <c r="Z479" s="260"/>
    </row>
    <row r="480">
      <c r="L480" s="259"/>
      <c r="X480" s="259"/>
      <c r="Y480" s="260"/>
      <c r="Z480" s="260"/>
    </row>
    <row r="481">
      <c r="L481" s="259"/>
      <c r="X481" s="259"/>
      <c r="Y481" s="260"/>
      <c r="Z481" s="260"/>
    </row>
    <row r="482">
      <c r="L482" s="259"/>
      <c r="X482" s="259"/>
      <c r="Y482" s="260"/>
      <c r="Z482" s="260"/>
    </row>
    <row r="483">
      <c r="L483" s="259"/>
      <c r="X483" s="259"/>
      <c r="Y483" s="260"/>
      <c r="Z483" s="260"/>
    </row>
    <row r="484">
      <c r="L484" s="259"/>
      <c r="X484" s="259"/>
      <c r="Y484" s="260"/>
      <c r="Z484" s="260"/>
    </row>
    <row r="485">
      <c r="L485" s="259"/>
      <c r="X485" s="259"/>
      <c r="Y485" s="260"/>
      <c r="Z485" s="260"/>
    </row>
    <row r="486">
      <c r="L486" s="259"/>
      <c r="X486" s="259"/>
      <c r="Y486" s="260"/>
      <c r="Z486" s="260"/>
    </row>
    <row r="487">
      <c r="L487" s="259"/>
      <c r="X487" s="259"/>
      <c r="Y487" s="260"/>
      <c r="Z487" s="260"/>
    </row>
    <row r="488">
      <c r="L488" s="259"/>
      <c r="X488" s="259"/>
      <c r="Y488" s="260"/>
      <c r="Z488" s="260"/>
    </row>
    <row r="489">
      <c r="L489" s="259"/>
      <c r="X489" s="259"/>
      <c r="Y489" s="260"/>
      <c r="Z489" s="260"/>
    </row>
    <row r="490">
      <c r="L490" s="259"/>
      <c r="X490" s="259"/>
      <c r="Y490" s="260"/>
      <c r="Z490" s="260"/>
    </row>
    <row r="491">
      <c r="L491" s="259"/>
      <c r="X491" s="259"/>
      <c r="Y491" s="260"/>
      <c r="Z491" s="260"/>
    </row>
    <row r="492">
      <c r="L492" s="259"/>
      <c r="X492" s="259"/>
      <c r="Y492" s="260"/>
      <c r="Z492" s="260"/>
    </row>
    <row r="493">
      <c r="L493" s="259"/>
      <c r="X493" s="259"/>
      <c r="Y493" s="260"/>
      <c r="Z493" s="260"/>
    </row>
    <row r="494">
      <c r="L494" s="259"/>
      <c r="X494" s="259"/>
      <c r="Y494" s="260"/>
      <c r="Z494" s="260"/>
    </row>
    <row r="495">
      <c r="L495" s="259"/>
      <c r="X495" s="259"/>
      <c r="Y495" s="260"/>
      <c r="Z495" s="260"/>
    </row>
    <row r="496">
      <c r="L496" s="259"/>
      <c r="X496" s="259"/>
      <c r="Y496" s="260"/>
      <c r="Z496" s="260"/>
    </row>
    <row r="497">
      <c r="L497" s="259"/>
      <c r="X497" s="259"/>
      <c r="Y497" s="260"/>
      <c r="Z497" s="260"/>
    </row>
    <row r="498">
      <c r="L498" s="259"/>
      <c r="X498" s="259"/>
      <c r="Y498" s="260"/>
      <c r="Z498" s="260"/>
    </row>
    <row r="499">
      <c r="L499" s="259"/>
      <c r="X499" s="259"/>
      <c r="Y499" s="260"/>
      <c r="Z499" s="260"/>
    </row>
    <row r="500">
      <c r="L500" s="259"/>
      <c r="X500" s="259"/>
      <c r="Y500" s="260"/>
      <c r="Z500" s="260"/>
    </row>
    <row r="501">
      <c r="L501" s="259"/>
      <c r="X501" s="259"/>
      <c r="Y501" s="260"/>
      <c r="Z501" s="260"/>
    </row>
    <row r="502">
      <c r="L502" s="259"/>
      <c r="X502" s="259"/>
      <c r="Y502" s="260"/>
      <c r="Z502" s="260"/>
    </row>
    <row r="503">
      <c r="L503" s="259"/>
      <c r="X503" s="259"/>
      <c r="Y503" s="260"/>
      <c r="Z503" s="260"/>
    </row>
    <row r="504">
      <c r="L504" s="259"/>
      <c r="X504" s="259"/>
      <c r="Y504" s="260"/>
      <c r="Z504" s="260"/>
    </row>
    <row r="505">
      <c r="L505" s="259"/>
      <c r="X505" s="259"/>
      <c r="Y505" s="260"/>
      <c r="Z505" s="260"/>
    </row>
    <row r="506">
      <c r="L506" s="259"/>
      <c r="X506" s="259"/>
      <c r="Y506" s="260"/>
      <c r="Z506" s="260"/>
    </row>
    <row r="507">
      <c r="L507" s="259"/>
      <c r="X507" s="259"/>
      <c r="Y507" s="260"/>
      <c r="Z507" s="260"/>
    </row>
    <row r="508">
      <c r="L508" s="259"/>
      <c r="X508" s="259"/>
      <c r="Y508" s="260"/>
      <c r="Z508" s="260"/>
    </row>
    <row r="509">
      <c r="L509" s="259"/>
      <c r="X509" s="259"/>
      <c r="Y509" s="260"/>
      <c r="Z509" s="260"/>
    </row>
    <row r="510">
      <c r="L510" s="259"/>
      <c r="X510" s="259"/>
      <c r="Y510" s="260"/>
      <c r="Z510" s="260"/>
    </row>
    <row r="511">
      <c r="L511" s="259"/>
      <c r="X511" s="259"/>
      <c r="Y511" s="260"/>
      <c r="Z511" s="260"/>
    </row>
    <row r="512">
      <c r="L512" s="259"/>
      <c r="X512" s="259"/>
      <c r="Y512" s="260"/>
      <c r="Z512" s="260"/>
    </row>
    <row r="513">
      <c r="L513" s="259"/>
      <c r="X513" s="259"/>
      <c r="Y513" s="260"/>
      <c r="Z513" s="260"/>
    </row>
    <row r="514">
      <c r="L514" s="259"/>
      <c r="X514" s="259"/>
      <c r="Y514" s="260"/>
      <c r="Z514" s="260"/>
    </row>
    <row r="515">
      <c r="L515" s="259"/>
      <c r="X515" s="259"/>
      <c r="Y515" s="260"/>
      <c r="Z515" s="260"/>
    </row>
    <row r="516">
      <c r="L516" s="259"/>
      <c r="X516" s="259"/>
      <c r="Y516" s="260"/>
      <c r="Z516" s="260"/>
    </row>
    <row r="517">
      <c r="L517" s="259"/>
      <c r="X517" s="259"/>
      <c r="Y517" s="260"/>
      <c r="Z517" s="260"/>
    </row>
    <row r="518">
      <c r="L518" s="259"/>
      <c r="X518" s="259"/>
      <c r="Y518" s="260"/>
      <c r="Z518" s="260"/>
    </row>
    <row r="519">
      <c r="L519" s="259"/>
      <c r="X519" s="259"/>
      <c r="Y519" s="260"/>
      <c r="Z519" s="260"/>
    </row>
    <row r="520">
      <c r="L520" s="259"/>
      <c r="X520" s="259"/>
      <c r="Y520" s="260"/>
      <c r="Z520" s="260"/>
    </row>
    <row r="521">
      <c r="L521" s="259"/>
      <c r="X521" s="259"/>
      <c r="Y521" s="260"/>
      <c r="Z521" s="260"/>
    </row>
    <row r="522">
      <c r="L522" s="259"/>
      <c r="X522" s="259"/>
      <c r="Y522" s="260"/>
      <c r="Z522" s="260"/>
    </row>
    <row r="523">
      <c r="L523" s="259"/>
      <c r="X523" s="259"/>
      <c r="Y523" s="260"/>
      <c r="Z523" s="260"/>
    </row>
    <row r="524">
      <c r="L524" s="259"/>
      <c r="X524" s="259"/>
      <c r="Y524" s="260"/>
      <c r="Z524" s="260"/>
    </row>
    <row r="525">
      <c r="L525" s="259"/>
      <c r="X525" s="259"/>
      <c r="Y525" s="260"/>
      <c r="Z525" s="260"/>
    </row>
    <row r="526">
      <c r="L526" s="259"/>
      <c r="X526" s="259"/>
      <c r="Y526" s="260"/>
      <c r="Z526" s="260"/>
    </row>
    <row r="527">
      <c r="L527" s="259"/>
      <c r="X527" s="259"/>
      <c r="Y527" s="260"/>
      <c r="Z527" s="260"/>
    </row>
    <row r="528">
      <c r="L528" s="259"/>
      <c r="X528" s="259"/>
      <c r="Y528" s="260"/>
      <c r="Z528" s="260"/>
    </row>
    <row r="529">
      <c r="L529" s="259"/>
      <c r="X529" s="259"/>
      <c r="Y529" s="260"/>
      <c r="Z529" s="260"/>
    </row>
    <row r="530">
      <c r="L530" s="259"/>
      <c r="X530" s="259"/>
      <c r="Y530" s="260"/>
      <c r="Z530" s="260"/>
    </row>
    <row r="531">
      <c r="L531" s="259"/>
      <c r="X531" s="259"/>
      <c r="Y531" s="260"/>
      <c r="Z531" s="260"/>
    </row>
    <row r="532">
      <c r="L532" s="259"/>
      <c r="X532" s="259"/>
      <c r="Y532" s="260"/>
      <c r="Z532" s="260"/>
    </row>
    <row r="533">
      <c r="L533" s="259"/>
      <c r="X533" s="259"/>
      <c r="Y533" s="260"/>
      <c r="Z533" s="260"/>
    </row>
    <row r="534">
      <c r="L534" s="259"/>
      <c r="X534" s="259"/>
      <c r="Y534" s="260"/>
      <c r="Z534" s="260"/>
    </row>
    <row r="535">
      <c r="L535" s="259"/>
      <c r="X535" s="259"/>
      <c r="Y535" s="260"/>
      <c r="Z535" s="260"/>
    </row>
    <row r="536">
      <c r="L536" s="259"/>
      <c r="X536" s="259"/>
      <c r="Y536" s="260"/>
      <c r="Z536" s="260"/>
    </row>
    <row r="537">
      <c r="L537" s="259"/>
      <c r="X537" s="259"/>
      <c r="Y537" s="260"/>
      <c r="Z537" s="260"/>
    </row>
    <row r="538">
      <c r="L538" s="259"/>
      <c r="X538" s="259"/>
      <c r="Y538" s="260"/>
      <c r="Z538" s="260"/>
    </row>
    <row r="539">
      <c r="L539" s="259"/>
      <c r="X539" s="259"/>
      <c r="Y539" s="260"/>
      <c r="Z539" s="260"/>
    </row>
    <row r="540">
      <c r="L540" s="259"/>
      <c r="X540" s="259"/>
      <c r="Y540" s="260"/>
      <c r="Z540" s="260"/>
    </row>
    <row r="541">
      <c r="L541" s="259"/>
      <c r="X541" s="259"/>
      <c r="Y541" s="260"/>
      <c r="Z541" s="260"/>
    </row>
    <row r="542">
      <c r="L542" s="259"/>
      <c r="X542" s="259"/>
      <c r="Y542" s="260"/>
      <c r="Z542" s="260"/>
    </row>
    <row r="543">
      <c r="L543" s="259"/>
      <c r="X543" s="259"/>
      <c r="Y543" s="260"/>
      <c r="Z543" s="260"/>
    </row>
    <row r="544">
      <c r="L544" s="259"/>
      <c r="X544" s="259"/>
      <c r="Y544" s="260"/>
      <c r="Z544" s="260"/>
    </row>
    <row r="545">
      <c r="L545" s="259"/>
      <c r="X545" s="259"/>
      <c r="Y545" s="260"/>
      <c r="Z545" s="260"/>
    </row>
    <row r="546">
      <c r="L546" s="259"/>
      <c r="X546" s="259"/>
      <c r="Y546" s="260"/>
      <c r="Z546" s="260"/>
    </row>
    <row r="547">
      <c r="L547" s="259"/>
      <c r="X547" s="259"/>
      <c r="Y547" s="260"/>
      <c r="Z547" s="260"/>
    </row>
    <row r="548">
      <c r="L548" s="259"/>
      <c r="X548" s="259"/>
      <c r="Y548" s="260"/>
      <c r="Z548" s="260"/>
    </row>
    <row r="549">
      <c r="L549" s="259"/>
      <c r="X549" s="259"/>
      <c r="Y549" s="260"/>
      <c r="Z549" s="260"/>
    </row>
    <row r="550">
      <c r="L550" s="259"/>
      <c r="X550" s="259"/>
      <c r="Y550" s="260"/>
      <c r="Z550" s="260"/>
    </row>
    <row r="551">
      <c r="L551" s="259"/>
      <c r="X551" s="259"/>
      <c r="Y551" s="260"/>
      <c r="Z551" s="260"/>
    </row>
    <row r="552">
      <c r="L552" s="259"/>
      <c r="X552" s="259"/>
      <c r="Y552" s="260"/>
      <c r="Z552" s="260"/>
    </row>
    <row r="553">
      <c r="L553" s="259"/>
      <c r="X553" s="259"/>
      <c r="Y553" s="260"/>
      <c r="Z553" s="260"/>
    </row>
    <row r="554">
      <c r="L554" s="259"/>
      <c r="X554" s="259"/>
      <c r="Y554" s="260"/>
      <c r="Z554" s="260"/>
    </row>
    <row r="555">
      <c r="L555" s="259"/>
      <c r="X555" s="259"/>
      <c r="Y555" s="260"/>
      <c r="Z555" s="260"/>
    </row>
    <row r="556">
      <c r="L556" s="259"/>
      <c r="X556" s="259"/>
      <c r="Y556" s="260"/>
      <c r="Z556" s="260"/>
    </row>
    <row r="557">
      <c r="L557" s="259"/>
      <c r="X557" s="259"/>
      <c r="Y557" s="260"/>
      <c r="Z557" s="260"/>
    </row>
    <row r="558">
      <c r="L558" s="259"/>
      <c r="X558" s="259"/>
      <c r="Y558" s="260"/>
      <c r="Z558" s="260"/>
    </row>
    <row r="559">
      <c r="L559" s="259"/>
      <c r="X559" s="259"/>
      <c r="Y559" s="260"/>
      <c r="Z559" s="260"/>
    </row>
    <row r="560">
      <c r="L560" s="259"/>
      <c r="X560" s="259"/>
      <c r="Y560" s="260"/>
      <c r="Z560" s="260"/>
    </row>
    <row r="561">
      <c r="L561" s="259"/>
      <c r="X561" s="259"/>
      <c r="Y561" s="260"/>
      <c r="Z561" s="260"/>
    </row>
    <row r="562">
      <c r="L562" s="259"/>
      <c r="X562" s="259"/>
      <c r="Y562" s="260"/>
      <c r="Z562" s="260"/>
    </row>
    <row r="563">
      <c r="L563" s="259"/>
      <c r="X563" s="259"/>
      <c r="Y563" s="260"/>
      <c r="Z563" s="260"/>
    </row>
    <row r="564">
      <c r="L564" s="259"/>
      <c r="X564" s="259"/>
      <c r="Y564" s="260"/>
      <c r="Z564" s="260"/>
    </row>
    <row r="565">
      <c r="L565" s="259"/>
      <c r="X565" s="259"/>
      <c r="Y565" s="260"/>
      <c r="Z565" s="260"/>
    </row>
    <row r="566">
      <c r="L566" s="259"/>
      <c r="X566" s="259"/>
      <c r="Y566" s="260"/>
      <c r="Z566" s="260"/>
    </row>
    <row r="567">
      <c r="L567" s="259"/>
      <c r="X567" s="259"/>
      <c r="Y567" s="260"/>
      <c r="Z567" s="260"/>
    </row>
    <row r="568">
      <c r="L568" s="259"/>
      <c r="X568" s="259"/>
      <c r="Y568" s="260"/>
      <c r="Z568" s="260"/>
    </row>
    <row r="569">
      <c r="L569" s="259"/>
      <c r="X569" s="259"/>
      <c r="Y569" s="260"/>
      <c r="Z569" s="260"/>
    </row>
    <row r="570">
      <c r="L570" s="259"/>
      <c r="X570" s="259"/>
      <c r="Y570" s="260"/>
      <c r="Z570" s="260"/>
    </row>
    <row r="571">
      <c r="L571" s="259"/>
      <c r="X571" s="259"/>
      <c r="Y571" s="260"/>
      <c r="Z571" s="260"/>
    </row>
    <row r="572">
      <c r="L572" s="259"/>
      <c r="X572" s="259"/>
      <c r="Y572" s="260"/>
      <c r="Z572" s="260"/>
    </row>
    <row r="573">
      <c r="L573" s="259"/>
      <c r="X573" s="259"/>
      <c r="Y573" s="260"/>
      <c r="Z573" s="260"/>
    </row>
    <row r="574">
      <c r="L574" s="259"/>
      <c r="X574" s="259"/>
      <c r="Y574" s="260"/>
      <c r="Z574" s="260"/>
    </row>
    <row r="575">
      <c r="L575" s="259"/>
      <c r="X575" s="259"/>
      <c r="Y575" s="260"/>
      <c r="Z575" s="260"/>
    </row>
    <row r="576">
      <c r="L576" s="259"/>
      <c r="X576" s="259"/>
      <c r="Y576" s="260"/>
      <c r="Z576" s="260"/>
    </row>
    <row r="577">
      <c r="L577" s="259"/>
      <c r="X577" s="259"/>
      <c r="Y577" s="260"/>
      <c r="Z577" s="260"/>
    </row>
    <row r="578">
      <c r="L578" s="259"/>
      <c r="X578" s="259"/>
      <c r="Y578" s="260"/>
      <c r="Z578" s="260"/>
    </row>
    <row r="579">
      <c r="L579" s="259"/>
      <c r="X579" s="259"/>
      <c r="Y579" s="260"/>
      <c r="Z579" s="260"/>
    </row>
    <row r="580">
      <c r="L580" s="259"/>
      <c r="X580" s="259"/>
      <c r="Y580" s="260"/>
      <c r="Z580" s="260"/>
    </row>
    <row r="581">
      <c r="L581" s="259"/>
      <c r="X581" s="259"/>
      <c r="Y581" s="260"/>
      <c r="Z581" s="260"/>
    </row>
    <row r="582">
      <c r="L582" s="259"/>
      <c r="X582" s="259"/>
      <c r="Y582" s="260"/>
      <c r="Z582" s="260"/>
    </row>
    <row r="583">
      <c r="L583" s="259"/>
      <c r="X583" s="259"/>
      <c r="Y583" s="260"/>
      <c r="Z583" s="260"/>
    </row>
    <row r="584">
      <c r="L584" s="259"/>
      <c r="X584" s="259"/>
      <c r="Y584" s="260"/>
      <c r="Z584" s="260"/>
    </row>
    <row r="585">
      <c r="L585" s="259"/>
      <c r="X585" s="259"/>
      <c r="Y585" s="260"/>
      <c r="Z585" s="260"/>
    </row>
    <row r="586">
      <c r="L586" s="259"/>
      <c r="X586" s="259"/>
      <c r="Y586" s="260"/>
      <c r="Z586" s="260"/>
    </row>
    <row r="587">
      <c r="L587" s="259"/>
      <c r="X587" s="259"/>
      <c r="Y587" s="260"/>
      <c r="Z587" s="260"/>
    </row>
    <row r="588">
      <c r="L588" s="259"/>
      <c r="X588" s="259"/>
      <c r="Y588" s="260"/>
      <c r="Z588" s="260"/>
    </row>
    <row r="589">
      <c r="L589" s="259"/>
      <c r="X589" s="259"/>
      <c r="Y589" s="260"/>
      <c r="Z589" s="260"/>
    </row>
    <row r="590">
      <c r="L590" s="259"/>
      <c r="X590" s="259"/>
      <c r="Y590" s="260"/>
      <c r="Z590" s="260"/>
    </row>
    <row r="591">
      <c r="L591" s="259"/>
      <c r="X591" s="259"/>
      <c r="Y591" s="260"/>
      <c r="Z591" s="260"/>
    </row>
    <row r="592">
      <c r="L592" s="259"/>
      <c r="X592" s="259"/>
      <c r="Y592" s="260"/>
      <c r="Z592" s="260"/>
    </row>
    <row r="593">
      <c r="L593" s="259"/>
      <c r="X593" s="259"/>
      <c r="Y593" s="260"/>
      <c r="Z593" s="260"/>
    </row>
    <row r="594">
      <c r="L594" s="259"/>
      <c r="X594" s="259"/>
      <c r="Y594" s="260"/>
      <c r="Z594" s="260"/>
    </row>
    <row r="595">
      <c r="L595" s="259"/>
      <c r="X595" s="259"/>
      <c r="Y595" s="260"/>
      <c r="Z595" s="260"/>
    </row>
    <row r="596">
      <c r="L596" s="259"/>
      <c r="X596" s="259"/>
      <c r="Y596" s="260"/>
      <c r="Z596" s="260"/>
    </row>
    <row r="597">
      <c r="L597" s="259"/>
      <c r="X597" s="259"/>
      <c r="Y597" s="260"/>
      <c r="Z597" s="260"/>
    </row>
    <row r="598">
      <c r="L598" s="259"/>
      <c r="X598" s="259"/>
      <c r="Y598" s="260"/>
      <c r="Z598" s="260"/>
    </row>
    <row r="599">
      <c r="L599" s="259"/>
      <c r="X599" s="259"/>
      <c r="Y599" s="260"/>
      <c r="Z599" s="260"/>
    </row>
    <row r="600">
      <c r="L600" s="259"/>
      <c r="X600" s="259"/>
      <c r="Y600" s="260"/>
      <c r="Z600" s="260"/>
    </row>
    <row r="601">
      <c r="L601" s="259"/>
      <c r="X601" s="259"/>
      <c r="Y601" s="260"/>
      <c r="Z601" s="260"/>
    </row>
    <row r="602">
      <c r="L602" s="259"/>
      <c r="X602" s="259"/>
      <c r="Y602" s="260"/>
      <c r="Z602" s="260"/>
    </row>
    <row r="603">
      <c r="L603" s="259"/>
      <c r="X603" s="259"/>
      <c r="Y603" s="260"/>
      <c r="Z603" s="260"/>
    </row>
    <row r="604">
      <c r="L604" s="259"/>
      <c r="X604" s="259"/>
      <c r="Y604" s="260"/>
      <c r="Z604" s="260"/>
    </row>
    <row r="605">
      <c r="L605" s="259"/>
      <c r="X605" s="259"/>
      <c r="Y605" s="260"/>
      <c r="Z605" s="260"/>
    </row>
    <row r="606">
      <c r="L606" s="259"/>
      <c r="X606" s="259"/>
      <c r="Y606" s="260"/>
      <c r="Z606" s="260"/>
    </row>
    <row r="607">
      <c r="L607" s="259"/>
      <c r="X607" s="259"/>
      <c r="Y607" s="260"/>
      <c r="Z607" s="260"/>
    </row>
    <row r="608">
      <c r="L608" s="259"/>
      <c r="X608" s="259"/>
      <c r="Y608" s="260"/>
      <c r="Z608" s="260"/>
    </row>
    <row r="609">
      <c r="L609" s="259"/>
      <c r="X609" s="259"/>
      <c r="Y609" s="260"/>
      <c r="Z609" s="260"/>
    </row>
    <row r="610">
      <c r="L610" s="259"/>
      <c r="X610" s="259"/>
      <c r="Y610" s="260"/>
      <c r="Z610" s="260"/>
    </row>
    <row r="611">
      <c r="L611" s="259"/>
      <c r="X611" s="259"/>
      <c r="Y611" s="260"/>
      <c r="Z611" s="260"/>
    </row>
    <row r="612">
      <c r="L612" s="259"/>
      <c r="X612" s="259"/>
      <c r="Y612" s="260"/>
      <c r="Z612" s="260"/>
    </row>
    <row r="613">
      <c r="L613" s="259"/>
      <c r="X613" s="259"/>
      <c r="Y613" s="260"/>
      <c r="Z613" s="260"/>
    </row>
    <row r="614">
      <c r="L614" s="259"/>
      <c r="X614" s="259"/>
      <c r="Y614" s="260"/>
      <c r="Z614" s="260"/>
    </row>
    <row r="615">
      <c r="L615" s="259"/>
      <c r="X615" s="259"/>
      <c r="Y615" s="260"/>
      <c r="Z615" s="260"/>
    </row>
    <row r="616">
      <c r="L616" s="259"/>
      <c r="X616" s="259"/>
      <c r="Y616" s="260"/>
      <c r="Z616" s="260"/>
    </row>
    <row r="617">
      <c r="L617" s="259"/>
      <c r="X617" s="259"/>
      <c r="Y617" s="260"/>
      <c r="Z617" s="260"/>
    </row>
    <row r="618">
      <c r="L618" s="259"/>
      <c r="X618" s="259"/>
      <c r="Y618" s="260"/>
      <c r="Z618" s="260"/>
    </row>
    <row r="619">
      <c r="L619" s="259"/>
      <c r="X619" s="259"/>
      <c r="Y619" s="260"/>
      <c r="Z619" s="260"/>
    </row>
    <row r="620">
      <c r="L620" s="259"/>
      <c r="X620" s="259"/>
      <c r="Y620" s="260"/>
      <c r="Z620" s="260"/>
    </row>
    <row r="621">
      <c r="L621" s="259"/>
      <c r="X621" s="259"/>
      <c r="Y621" s="260"/>
      <c r="Z621" s="260"/>
    </row>
    <row r="622">
      <c r="L622" s="259"/>
      <c r="X622" s="259"/>
      <c r="Y622" s="260"/>
      <c r="Z622" s="260"/>
    </row>
    <row r="623">
      <c r="L623" s="259"/>
      <c r="X623" s="259"/>
      <c r="Y623" s="260"/>
      <c r="Z623" s="260"/>
    </row>
    <row r="624">
      <c r="L624" s="259"/>
      <c r="X624" s="259"/>
      <c r="Y624" s="260"/>
      <c r="Z624" s="260"/>
    </row>
    <row r="625">
      <c r="L625" s="259"/>
      <c r="X625" s="259"/>
      <c r="Y625" s="260"/>
      <c r="Z625" s="260"/>
    </row>
    <row r="626">
      <c r="L626" s="259"/>
      <c r="X626" s="259"/>
      <c r="Y626" s="260"/>
      <c r="Z626" s="260"/>
    </row>
    <row r="627">
      <c r="L627" s="259"/>
      <c r="X627" s="259"/>
      <c r="Y627" s="260"/>
      <c r="Z627" s="260"/>
    </row>
    <row r="628">
      <c r="L628" s="259"/>
      <c r="X628" s="259"/>
      <c r="Y628" s="260"/>
      <c r="Z628" s="260"/>
    </row>
    <row r="629">
      <c r="L629" s="259"/>
      <c r="X629" s="259"/>
      <c r="Y629" s="260"/>
      <c r="Z629" s="260"/>
    </row>
    <row r="630">
      <c r="L630" s="259"/>
      <c r="X630" s="259"/>
      <c r="Y630" s="260"/>
      <c r="Z630" s="260"/>
    </row>
    <row r="631">
      <c r="L631" s="259"/>
      <c r="X631" s="259"/>
      <c r="Y631" s="260"/>
      <c r="Z631" s="260"/>
    </row>
    <row r="632">
      <c r="L632" s="259"/>
      <c r="X632" s="259"/>
      <c r="Y632" s="260"/>
      <c r="Z632" s="260"/>
    </row>
    <row r="633">
      <c r="L633" s="259"/>
      <c r="X633" s="259"/>
      <c r="Y633" s="260"/>
      <c r="Z633" s="260"/>
    </row>
    <row r="634">
      <c r="L634" s="259"/>
      <c r="X634" s="259"/>
      <c r="Y634" s="260"/>
      <c r="Z634" s="260"/>
    </row>
    <row r="635">
      <c r="L635" s="259"/>
      <c r="X635" s="259"/>
      <c r="Y635" s="260"/>
      <c r="Z635" s="260"/>
    </row>
    <row r="636">
      <c r="L636" s="259"/>
      <c r="X636" s="259"/>
      <c r="Y636" s="260"/>
      <c r="Z636" s="260"/>
    </row>
    <row r="637">
      <c r="L637" s="259"/>
      <c r="X637" s="259"/>
      <c r="Y637" s="260"/>
      <c r="Z637" s="260"/>
    </row>
    <row r="638">
      <c r="L638" s="259"/>
      <c r="X638" s="259"/>
      <c r="Y638" s="260"/>
      <c r="Z638" s="260"/>
    </row>
    <row r="639">
      <c r="L639" s="259"/>
      <c r="X639" s="259"/>
      <c r="Y639" s="260"/>
      <c r="Z639" s="260"/>
    </row>
    <row r="640">
      <c r="L640" s="259"/>
      <c r="X640" s="259"/>
      <c r="Y640" s="260"/>
      <c r="Z640" s="260"/>
    </row>
    <row r="641">
      <c r="L641" s="259"/>
      <c r="X641" s="259"/>
      <c r="Y641" s="260"/>
      <c r="Z641" s="260"/>
    </row>
    <row r="642">
      <c r="L642" s="259"/>
      <c r="X642" s="259"/>
      <c r="Y642" s="260"/>
      <c r="Z642" s="260"/>
    </row>
    <row r="643">
      <c r="L643" s="259"/>
      <c r="X643" s="259"/>
      <c r="Y643" s="260"/>
      <c r="Z643" s="260"/>
    </row>
    <row r="644">
      <c r="L644" s="259"/>
      <c r="X644" s="259"/>
      <c r="Y644" s="260"/>
      <c r="Z644" s="260"/>
    </row>
    <row r="645">
      <c r="L645" s="259"/>
      <c r="X645" s="259"/>
      <c r="Y645" s="260"/>
      <c r="Z645" s="260"/>
    </row>
    <row r="646">
      <c r="L646" s="259"/>
      <c r="X646" s="259"/>
      <c r="Y646" s="260"/>
      <c r="Z646" s="260"/>
    </row>
    <row r="647">
      <c r="L647" s="259"/>
      <c r="X647" s="259"/>
      <c r="Y647" s="260"/>
      <c r="Z647" s="260"/>
    </row>
    <row r="648">
      <c r="L648" s="259"/>
      <c r="X648" s="259"/>
      <c r="Y648" s="260"/>
      <c r="Z648" s="260"/>
    </row>
    <row r="649">
      <c r="L649" s="259"/>
      <c r="X649" s="259"/>
      <c r="Y649" s="260"/>
      <c r="Z649" s="260"/>
    </row>
    <row r="650">
      <c r="L650" s="259"/>
      <c r="X650" s="259"/>
      <c r="Y650" s="260"/>
      <c r="Z650" s="260"/>
    </row>
    <row r="651">
      <c r="L651" s="259"/>
      <c r="X651" s="259"/>
      <c r="Y651" s="260"/>
      <c r="Z651" s="260"/>
    </row>
    <row r="652">
      <c r="L652" s="259"/>
      <c r="X652" s="259"/>
      <c r="Y652" s="260"/>
      <c r="Z652" s="260"/>
    </row>
    <row r="653">
      <c r="L653" s="259"/>
      <c r="X653" s="259"/>
      <c r="Y653" s="260"/>
      <c r="Z653" s="260"/>
    </row>
    <row r="654">
      <c r="L654" s="259"/>
      <c r="X654" s="259"/>
      <c r="Y654" s="260"/>
      <c r="Z654" s="260"/>
    </row>
    <row r="655">
      <c r="L655" s="259"/>
      <c r="X655" s="259"/>
      <c r="Y655" s="260"/>
      <c r="Z655" s="260"/>
    </row>
    <row r="656">
      <c r="L656" s="259"/>
      <c r="X656" s="259"/>
      <c r="Y656" s="260"/>
      <c r="Z656" s="260"/>
    </row>
    <row r="657">
      <c r="L657" s="259"/>
      <c r="X657" s="259"/>
      <c r="Y657" s="260"/>
      <c r="Z657" s="260"/>
    </row>
    <row r="658">
      <c r="L658" s="259"/>
      <c r="X658" s="259"/>
      <c r="Y658" s="260"/>
      <c r="Z658" s="260"/>
    </row>
    <row r="659">
      <c r="L659" s="259"/>
      <c r="X659" s="259"/>
      <c r="Y659" s="260"/>
      <c r="Z659" s="260"/>
    </row>
    <row r="660">
      <c r="L660" s="259"/>
      <c r="X660" s="259"/>
      <c r="Y660" s="260"/>
      <c r="Z660" s="260"/>
    </row>
    <row r="661">
      <c r="L661" s="259"/>
      <c r="X661" s="259"/>
      <c r="Y661" s="260"/>
      <c r="Z661" s="260"/>
    </row>
    <row r="662">
      <c r="L662" s="259"/>
      <c r="X662" s="259"/>
      <c r="Y662" s="260"/>
      <c r="Z662" s="260"/>
    </row>
    <row r="663">
      <c r="L663" s="259"/>
      <c r="X663" s="259"/>
      <c r="Y663" s="260"/>
      <c r="Z663" s="260"/>
    </row>
    <row r="664">
      <c r="L664" s="259"/>
      <c r="X664" s="259"/>
      <c r="Y664" s="260"/>
      <c r="Z664" s="260"/>
    </row>
    <row r="665">
      <c r="L665" s="259"/>
      <c r="X665" s="259"/>
      <c r="Y665" s="260"/>
      <c r="Z665" s="260"/>
    </row>
    <row r="666">
      <c r="L666" s="259"/>
      <c r="X666" s="259"/>
      <c r="Y666" s="260"/>
      <c r="Z666" s="260"/>
    </row>
    <row r="667">
      <c r="L667" s="259"/>
      <c r="X667" s="259"/>
      <c r="Y667" s="260"/>
      <c r="Z667" s="260"/>
    </row>
    <row r="668">
      <c r="L668" s="259"/>
      <c r="X668" s="259"/>
      <c r="Y668" s="260"/>
      <c r="Z668" s="260"/>
    </row>
    <row r="669">
      <c r="L669" s="259"/>
      <c r="X669" s="259"/>
      <c r="Y669" s="260"/>
      <c r="Z669" s="260"/>
    </row>
    <row r="670">
      <c r="L670" s="259"/>
      <c r="X670" s="259"/>
      <c r="Y670" s="260"/>
      <c r="Z670" s="260"/>
    </row>
    <row r="671">
      <c r="L671" s="259"/>
      <c r="X671" s="259"/>
      <c r="Y671" s="260"/>
      <c r="Z671" s="260"/>
    </row>
    <row r="672">
      <c r="L672" s="259"/>
      <c r="X672" s="259"/>
      <c r="Y672" s="260"/>
      <c r="Z672" s="260"/>
    </row>
    <row r="673">
      <c r="L673" s="259"/>
      <c r="X673" s="259"/>
      <c r="Y673" s="260"/>
      <c r="Z673" s="260"/>
    </row>
    <row r="674">
      <c r="L674" s="259"/>
      <c r="X674" s="259"/>
      <c r="Y674" s="260"/>
      <c r="Z674" s="260"/>
    </row>
    <row r="675">
      <c r="L675" s="259"/>
      <c r="X675" s="259"/>
      <c r="Y675" s="260"/>
      <c r="Z675" s="260"/>
    </row>
    <row r="676">
      <c r="L676" s="259"/>
      <c r="X676" s="259"/>
      <c r="Y676" s="260"/>
      <c r="Z676" s="260"/>
    </row>
    <row r="677">
      <c r="L677" s="259"/>
      <c r="X677" s="259"/>
      <c r="Y677" s="260"/>
      <c r="Z677" s="260"/>
    </row>
    <row r="678">
      <c r="L678" s="259"/>
      <c r="X678" s="259"/>
      <c r="Y678" s="260"/>
      <c r="Z678" s="260"/>
    </row>
    <row r="679">
      <c r="L679" s="259"/>
      <c r="X679" s="259"/>
      <c r="Y679" s="260"/>
      <c r="Z679" s="260"/>
    </row>
    <row r="680">
      <c r="L680" s="259"/>
      <c r="X680" s="259"/>
      <c r="Y680" s="260"/>
      <c r="Z680" s="260"/>
    </row>
    <row r="681">
      <c r="L681" s="259"/>
      <c r="X681" s="259"/>
      <c r="Y681" s="260"/>
      <c r="Z681" s="260"/>
    </row>
    <row r="682">
      <c r="L682" s="259"/>
      <c r="X682" s="259"/>
      <c r="Y682" s="260"/>
      <c r="Z682" s="260"/>
    </row>
    <row r="683">
      <c r="L683" s="259"/>
      <c r="X683" s="259"/>
      <c r="Y683" s="260"/>
      <c r="Z683" s="260"/>
    </row>
    <row r="684">
      <c r="L684" s="259"/>
      <c r="X684" s="259"/>
      <c r="Y684" s="260"/>
      <c r="Z684" s="260"/>
    </row>
    <row r="685">
      <c r="L685" s="259"/>
      <c r="X685" s="259"/>
      <c r="Y685" s="260"/>
      <c r="Z685" s="260"/>
    </row>
    <row r="686">
      <c r="L686" s="259"/>
      <c r="X686" s="259"/>
      <c r="Y686" s="260"/>
      <c r="Z686" s="260"/>
    </row>
    <row r="687">
      <c r="L687" s="259"/>
      <c r="X687" s="259"/>
      <c r="Y687" s="260"/>
      <c r="Z687" s="260"/>
    </row>
    <row r="688">
      <c r="L688" s="259"/>
      <c r="X688" s="259"/>
      <c r="Y688" s="260"/>
      <c r="Z688" s="260"/>
    </row>
    <row r="689">
      <c r="L689" s="259"/>
      <c r="X689" s="259"/>
      <c r="Y689" s="260"/>
      <c r="Z689" s="260"/>
    </row>
    <row r="690">
      <c r="L690" s="259"/>
      <c r="X690" s="259"/>
      <c r="Y690" s="260"/>
      <c r="Z690" s="260"/>
    </row>
    <row r="691">
      <c r="L691" s="259"/>
      <c r="X691" s="259"/>
      <c r="Y691" s="260"/>
      <c r="Z691" s="260"/>
    </row>
    <row r="692">
      <c r="L692" s="259"/>
      <c r="X692" s="259"/>
      <c r="Y692" s="260"/>
      <c r="Z692" s="260"/>
    </row>
    <row r="693">
      <c r="L693" s="259"/>
      <c r="X693" s="259"/>
      <c r="Y693" s="260"/>
      <c r="Z693" s="260"/>
    </row>
    <row r="694">
      <c r="L694" s="259"/>
      <c r="X694" s="259"/>
      <c r="Y694" s="260"/>
      <c r="Z694" s="260"/>
    </row>
    <row r="695">
      <c r="L695" s="259"/>
      <c r="X695" s="259"/>
      <c r="Y695" s="260"/>
      <c r="Z695" s="260"/>
    </row>
    <row r="696">
      <c r="L696" s="259"/>
      <c r="X696" s="259"/>
      <c r="Y696" s="260"/>
      <c r="Z696" s="260"/>
    </row>
    <row r="697">
      <c r="L697" s="259"/>
      <c r="X697" s="259"/>
      <c r="Y697" s="260"/>
      <c r="Z697" s="260"/>
    </row>
    <row r="698">
      <c r="L698" s="259"/>
      <c r="X698" s="259"/>
      <c r="Y698" s="260"/>
      <c r="Z698" s="260"/>
    </row>
    <row r="699">
      <c r="L699" s="259"/>
      <c r="X699" s="259"/>
      <c r="Y699" s="260"/>
      <c r="Z699" s="260"/>
    </row>
    <row r="700">
      <c r="L700" s="259"/>
      <c r="X700" s="259"/>
      <c r="Y700" s="260"/>
      <c r="Z700" s="260"/>
    </row>
    <row r="701">
      <c r="L701" s="259"/>
      <c r="X701" s="259"/>
      <c r="Y701" s="260"/>
      <c r="Z701" s="260"/>
    </row>
    <row r="702">
      <c r="L702" s="259"/>
      <c r="X702" s="259"/>
      <c r="Y702" s="260"/>
      <c r="Z702" s="260"/>
    </row>
    <row r="703">
      <c r="L703" s="259"/>
      <c r="X703" s="259"/>
      <c r="Y703" s="260"/>
      <c r="Z703" s="260"/>
    </row>
    <row r="704">
      <c r="L704" s="259"/>
      <c r="X704" s="259"/>
      <c r="Y704" s="260"/>
      <c r="Z704" s="260"/>
    </row>
    <row r="705">
      <c r="L705" s="259"/>
      <c r="X705" s="259"/>
      <c r="Y705" s="260"/>
      <c r="Z705" s="260"/>
    </row>
    <row r="706">
      <c r="L706" s="259"/>
      <c r="X706" s="259"/>
      <c r="Y706" s="260"/>
      <c r="Z706" s="260"/>
    </row>
    <row r="707">
      <c r="L707" s="259"/>
      <c r="X707" s="259"/>
      <c r="Y707" s="260"/>
      <c r="Z707" s="260"/>
    </row>
    <row r="708">
      <c r="L708" s="259"/>
      <c r="X708" s="259"/>
      <c r="Y708" s="260"/>
      <c r="Z708" s="260"/>
    </row>
    <row r="709">
      <c r="L709" s="259"/>
      <c r="X709" s="259"/>
      <c r="Y709" s="260"/>
      <c r="Z709" s="260"/>
    </row>
    <row r="710">
      <c r="L710" s="259"/>
      <c r="X710" s="259"/>
      <c r="Y710" s="260"/>
      <c r="Z710" s="260"/>
    </row>
    <row r="711">
      <c r="L711" s="259"/>
      <c r="X711" s="259"/>
      <c r="Y711" s="260"/>
      <c r="Z711" s="260"/>
    </row>
    <row r="712">
      <c r="L712" s="259"/>
      <c r="X712" s="259"/>
      <c r="Y712" s="260"/>
      <c r="Z712" s="260"/>
    </row>
    <row r="713">
      <c r="L713" s="259"/>
      <c r="X713" s="259"/>
      <c r="Y713" s="260"/>
      <c r="Z713" s="260"/>
    </row>
    <row r="714">
      <c r="L714" s="259"/>
      <c r="X714" s="259"/>
      <c r="Y714" s="260"/>
      <c r="Z714" s="260"/>
    </row>
    <row r="715">
      <c r="L715" s="259"/>
      <c r="X715" s="259"/>
      <c r="Y715" s="260"/>
      <c r="Z715" s="260"/>
    </row>
    <row r="716">
      <c r="L716" s="259"/>
      <c r="X716" s="259"/>
      <c r="Y716" s="260"/>
      <c r="Z716" s="260"/>
    </row>
    <row r="717">
      <c r="L717" s="259"/>
      <c r="X717" s="259"/>
      <c r="Y717" s="260"/>
      <c r="Z717" s="260"/>
    </row>
    <row r="718">
      <c r="L718" s="259"/>
      <c r="X718" s="259"/>
      <c r="Y718" s="260"/>
      <c r="Z718" s="260"/>
    </row>
    <row r="719">
      <c r="L719" s="259"/>
      <c r="X719" s="259"/>
      <c r="Y719" s="260"/>
      <c r="Z719" s="260"/>
    </row>
    <row r="720">
      <c r="L720" s="259"/>
      <c r="X720" s="259"/>
      <c r="Y720" s="260"/>
      <c r="Z720" s="260"/>
    </row>
    <row r="721">
      <c r="L721" s="259"/>
      <c r="X721" s="259"/>
      <c r="Y721" s="260"/>
      <c r="Z721" s="260"/>
    </row>
    <row r="722">
      <c r="L722" s="259"/>
      <c r="X722" s="259"/>
      <c r="Y722" s="260"/>
      <c r="Z722" s="260"/>
    </row>
    <row r="723">
      <c r="L723" s="259"/>
      <c r="X723" s="259"/>
      <c r="Y723" s="260"/>
      <c r="Z723" s="260"/>
    </row>
    <row r="724">
      <c r="L724" s="259"/>
      <c r="X724" s="259"/>
      <c r="Y724" s="260"/>
      <c r="Z724" s="260"/>
    </row>
    <row r="725">
      <c r="L725" s="259"/>
      <c r="X725" s="259"/>
      <c r="Y725" s="260"/>
      <c r="Z725" s="260"/>
    </row>
    <row r="726">
      <c r="L726" s="259"/>
      <c r="X726" s="259"/>
      <c r="Y726" s="260"/>
      <c r="Z726" s="260"/>
    </row>
    <row r="727">
      <c r="L727" s="259"/>
      <c r="X727" s="259"/>
      <c r="Y727" s="260"/>
      <c r="Z727" s="260"/>
    </row>
    <row r="728">
      <c r="L728" s="259"/>
      <c r="X728" s="259"/>
      <c r="Y728" s="260"/>
      <c r="Z728" s="260"/>
    </row>
    <row r="729">
      <c r="L729" s="259"/>
      <c r="X729" s="259"/>
      <c r="Y729" s="260"/>
      <c r="Z729" s="260"/>
    </row>
    <row r="730">
      <c r="L730" s="259"/>
      <c r="X730" s="259"/>
      <c r="Y730" s="260"/>
      <c r="Z730" s="260"/>
    </row>
    <row r="731">
      <c r="L731" s="259"/>
      <c r="X731" s="259"/>
      <c r="Y731" s="260"/>
      <c r="Z731" s="260"/>
    </row>
    <row r="732">
      <c r="L732" s="259"/>
      <c r="X732" s="259"/>
      <c r="Y732" s="260"/>
      <c r="Z732" s="260"/>
    </row>
    <row r="733">
      <c r="L733" s="259"/>
      <c r="X733" s="259"/>
      <c r="Y733" s="260"/>
      <c r="Z733" s="260"/>
    </row>
    <row r="734">
      <c r="L734" s="259"/>
      <c r="X734" s="259"/>
      <c r="Y734" s="260"/>
      <c r="Z734" s="260"/>
    </row>
    <row r="735">
      <c r="L735" s="259"/>
      <c r="X735" s="259"/>
      <c r="Y735" s="260"/>
      <c r="Z735" s="260"/>
    </row>
    <row r="736">
      <c r="L736" s="259"/>
      <c r="X736" s="259"/>
      <c r="Y736" s="260"/>
      <c r="Z736" s="260"/>
    </row>
    <row r="737">
      <c r="L737" s="259"/>
      <c r="X737" s="259"/>
      <c r="Y737" s="260"/>
      <c r="Z737" s="260"/>
    </row>
    <row r="738">
      <c r="L738" s="259"/>
      <c r="X738" s="259"/>
      <c r="Y738" s="260"/>
      <c r="Z738" s="260"/>
    </row>
    <row r="739">
      <c r="L739" s="259"/>
      <c r="X739" s="259"/>
      <c r="Y739" s="260"/>
      <c r="Z739" s="260"/>
    </row>
    <row r="740">
      <c r="L740" s="259"/>
      <c r="X740" s="259"/>
      <c r="Y740" s="260"/>
      <c r="Z740" s="260"/>
    </row>
    <row r="741">
      <c r="L741" s="259"/>
      <c r="X741" s="259"/>
      <c r="Y741" s="260"/>
      <c r="Z741" s="260"/>
    </row>
    <row r="742">
      <c r="L742" s="259"/>
      <c r="X742" s="259"/>
      <c r="Y742" s="260"/>
      <c r="Z742" s="260"/>
    </row>
    <row r="743">
      <c r="L743" s="259"/>
      <c r="X743" s="259"/>
      <c r="Y743" s="260"/>
      <c r="Z743" s="260"/>
    </row>
    <row r="744">
      <c r="L744" s="259"/>
      <c r="X744" s="259"/>
      <c r="Y744" s="260"/>
      <c r="Z744" s="260"/>
    </row>
    <row r="745">
      <c r="L745" s="259"/>
      <c r="X745" s="259"/>
      <c r="Y745" s="260"/>
      <c r="Z745" s="260"/>
    </row>
    <row r="746">
      <c r="L746" s="259"/>
      <c r="X746" s="259"/>
      <c r="Y746" s="260"/>
      <c r="Z746" s="260"/>
    </row>
    <row r="747">
      <c r="L747" s="259"/>
      <c r="X747" s="259"/>
      <c r="Y747" s="260"/>
      <c r="Z747" s="260"/>
    </row>
    <row r="748">
      <c r="L748" s="259"/>
      <c r="X748" s="259"/>
      <c r="Y748" s="260"/>
      <c r="Z748" s="260"/>
    </row>
    <row r="749">
      <c r="L749" s="259"/>
      <c r="X749" s="259"/>
      <c r="Y749" s="260"/>
      <c r="Z749" s="260"/>
    </row>
    <row r="750">
      <c r="L750" s="259"/>
      <c r="X750" s="259"/>
      <c r="Y750" s="260"/>
      <c r="Z750" s="260"/>
    </row>
    <row r="751">
      <c r="L751" s="259"/>
      <c r="X751" s="259"/>
      <c r="Y751" s="260"/>
      <c r="Z751" s="260"/>
    </row>
    <row r="752">
      <c r="L752" s="259"/>
      <c r="X752" s="259"/>
      <c r="Y752" s="260"/>
      <c r="Z752" s="260"/>
    </row>
    <row r="753">
      <c r="L753" s="259"/>
      <c r="X753" s="259"/>
      <c r="Y753" s="260"/>
      <c r="Z753" s="260"/>
    </row>
    <row r="754">
      <c r="L754" s="259"/>
      <c r="X754" s="259"/>
      <c r="Y754" s="260"/>
      <c r="Z754" s="260"/>
    </row>
    <row r="755">
      <c r="L755" s="259"/>
      <c r="X755" s="259"/>
      <c r="Y755" s="260"/>
      <c r="Z755" s="260"/>
    </row>
    <row r="756">
      <c r="L756" s="259"/>
      <c r="X756" s="259"/>
      <c r="Y756" s="260"/>
      <c r="Z756" s="260"/>
    </row>
    <row r="757">
      <c r="L757" s="259"/>
      <c r="X757" s="259"/>
      <c r="Y757" s="260"/>
      <c r="Z757" s="260"/>
    </row>
    <row r="758">
      <c r="L758" s="259"/>
      <c r="X758" s="259"/>
      <c r="Y758" s="260"/>
      <c r="Z758" s="260"/>
    </row>
    <row r="759">
      <c r="L759" s="259"/>
      <c r="X759" s="259"/>
      <c r="Y759" s="260"/>
      <c r="Z759" s="260"/>
    </row>
    <row r="760">
      <c r="L760" s="259"/>
      <c r="X760" s="259"/>
      <c r="Y760" s="260"/>
      <c r="Z760" s="260"/>
    </row>
    <row r="761">
      <c r="L761" s="259"/>
      <c r="X761" s="259"/>
      <c r="Y761" s="260"/>
      <c r="Z761" s="260"/>
    </row>
    <row r="762">
      <c r="L762" s="259"/>
      <c r="X762" s="259"/>
      <c r="Y762" s="260"/>
      <c r="Z762" s="260"/>
    </row>
    <row r="763">
      <c r="L763" s="259"/>
      <c r="X763" s="259"/>
      <c r="Y763" s="260"/>
      <c r="Z763" s="260"/>
    </row>
    <row r="764">
      <c r="L764" s="259"/>
      <c r="X764" s="259"/>
      <c r="Y764" s="260"/>
      <c r="Z764" s="260"/>
    </row>
    <row r="765">
      <c r="L765" s="259"/>
      <c r="X765" s="259"/>
      <c r="Y765" s="260"/>
      <c r="Z765" s="260"/>
    </row>
    <row r="766">
      <c r="L766" s="259"/>
      <c r="X766" s="259"/>
      <c r="Y766" s="260"/>
      <c r="Z766" s="260"/>
    </row>
    <row r="767">
      <c r="L767" s="259"/>
      <c r="X767" s="259"/>
      <c r="Y767" s="260"/>
      <c r="Z767" s="260"/>
    </row>
    <row r="768">
      <c r="L768" s="259"/>
      <c r="X768" s="259"/>
      <c r="Y768" s="260"/>
      <c r="Z768" s="260"/>
    </row>
    <row r="769">
      <c r="L769" s="259"/>
      <c r="X769" s="259"/>
      <c r="Y769" s="260"/>
      <c r="Z769" s="260"/>
    </row>
    <row r="770">
      <c r="L770" s="259"/>
      <c r="X770" s="259"/>
      <c r="Y770" s="260"/>
      <c r="Z770" s="260"/>
    </row>
    <row r="771">
      <c r="L771" s="259"/>
      <c r="X771" s="259"/>
      <c r="Y771" s="260"/>
      <c r="Z771" s="260"/>
    </row>
    <row r="772">
      <c r="L772" s="259"/>
      <c r="X772" s="259"/>
      <c r="Y772" s="260"/>
      <c r="Z772" s="260"/>
    </row>
    <row r="773">
      <c r="L773" s="259"/>
      <c r="X773" s="259"/>
      <c r="Y773" s="260"/>
      <c r="Z773" s="260"/>
    </row>
    <row r="774">
      <c r="L774" s="259"/>
      <c r="X774" s="259"/>
      <c r="Y774" s="260"/>
      <c r="Z774" s="260"/>
    </row>
    <row r="775">
      <c r="L775" s="259"/>
      <c r="X775" s="259"/>
      <c r="Y775" s="260"/>
      <c r="Z775" s="260"/>
    </row>
    <row r="776">
      <c r="L776" s="259"/>
      <c r="X776" s="259"/>
      <c r="Y776" s="260"/>
      <c r="Z776" s="260"/>
    </row>
    <row r="777">
      <c r="L777" s="259"/>
      <c r="X777" s="259"/>
      <c r="Y777" s="260"/>
      <c r="Z777" s="260"/>
    </row>
    <row r="778">
      <c r="L778" s="259"/>
      <c r="X778" s="259"/>
      <c r="Y778" s="260"/>
      <c r="Z778" s="260"/>
    </row>
    <row r="779">
      <c r="L779" s="259"/>
      <c r="X779" s="259"/>
      <c r="Y779" s="260"/>
      <c r="Z779" s="260"/>
    </row>
    <row r="780">
      <c r="L780" s="259"/>
      <c r="X780" s="259"/>
      <c r="Y780" s="260"/>
      <c r="Z780" s="260"/>
    </row>
    <row r="781">
      <c r="L781" s="259"/>
      <c r="X781" s="259"/>
      <c r="Y781" s="260"/>
      <c r="Z781" s="260"/>
    </row>
    <row r="782">
      <c r="L782" s="259"/>
      <c r="X782" s="259"/>
      <c r="Y782" s="260"/>
      <c r="Z782" s="260"/>
    </row>
    <row r="783">
      <c r="L783" s="259"/>
      <c r="X783" s="259"/>
      <c r="Y783" s="260"/>
      <c r="Z783" s="260"/>
    </row>
    <row r="784">
      <c r="L784" s="259"/>
      <c r="X784" s="259"/>
      <c r="Y784" s="260"/>
      <c r="Z784" s="260"/>
    </row>
    <row r="785">
      <c r="L785" s="259"/>
      <c r="X785" s="259"/>
      <c r="Y785" s="260"/>
      <c r="Z785" s="260"/>
    </row>
    <row r="786">
      <c r="L786" s="259"/>
      <c r="X786" s="259"/>
      <c r="Y786" s="260"/>
      <c r="Z786" s="260"/>
    </row>
    <row r="787">
      <c r="L787" s="259"/>
      <c r="X787" s="259"/>
      <c r="Y787" s="260"/>
      <c r="Z787" s="260"/>
    </row>
    <row r="788">
      <c r="L788" s="259"/>
      <c r="X788" s="259"/>
      <c r="Y788" s="260"/>
      <c r="Z788" s="260"/>
    </row>
    <row r="789">
      <c r="L789" s="259"/>
      <c r="X789" s="259"/>
      <c r="Y789" s="260"/>
      <c r="Z789" s="260"/>
    </row>
    <row r="790">
      <c r="L790" s="259"/>
      <c r="X790" s="259"/>
      <c r="Y790" s="260"/>
      <c r="Z790" s="260"/>
    </row>
    <row r="791">
      <c r="L791" s="259"/>
      <c r="X791" s="259"/>
      <c r="Y791" s="260"/>
      <c r="Z791" s="260"/>
    </row>
    <row r="792">
      <c r="L792" s="259"/>
      <c r="X792" s="259"/>
      <c r="Y792" s="260"/>
      <c r="Z792" s="260"/>
    </row>
    <row r="793">
      <c r="L793" s="259"/>
      <c r="X793" s="259"/>
      <c r="Y793" s="260"/>
      <c r="Z793" s="260"/>
    </row>
    <row r="794">
      <c r="L794" s="259"/>
      <c r="X794" s="259"/>
      <c r="Y794" s="260"/>
      <c r="Z794" s="260"/>
    </row>
    <row r="795">
      <c r="L795" s="259"/>
      <c r="X795" s="259"/>
      <c r="Y795" s="260"/>
      <c r="Z795" s="260"/>
    </row>
    <row r="796">
      <c r="L796" s="259"/>
      <c r="X796" s="259"/>
      <c r="Y796" s="260"/>
      <c r="Z796" s="260"/>
    </row>
    <row r="797">
      <c r="L797" s="259"/>
      <c r="X797" s="259"/>
      <c r="Y797" s="260"/>
      <c r="Z797" s="260"/>
    </row>
    <row r="798">
      <c r="L798" s="259"/>
      <c r="X798" s="259"/>
      <c r="Y798" s="260"/>
      <c r="Z798" s="260"/>
    </row>
    <row r="799">
      <c r="L799" s="259"/>
      <c r="X799" s="259"/>
      <c r="Y799" s="260"/>
      <c r="Z799" s="260"/>
    </row>
    <row r="800">
      <c r="L800" s="259"/>
      <c r="X800" s="259"/>
      <c r="Y800" s="260"/>
      <c r="Z800" s="260"/>
    </row>
    <row r="801">
      <c r="L801" s="259"/>
      <c r="X801" s="259"/>
      <c r="Y801" s="260"/>
      <c r="Z801" s="260"/>
    </row>
    <row r="802">
      <c r="L802" s="259"/>
      <c r="X802" s="259"/>
      <c r="Y802" s="260"/>
      <c r="Z802" s="260"/>
    </row>
    <row r="803">
      <c r="L803" s="259"/>
      <c r="X803" s="259"/>
      <c r="Y803" s="260"/>
      <c r="Z803" s="260"/>
    </row>
    <row r="804">
      <c r="L804" s="259"/>
      <c r="X804" s="259"/>
      <c r="Y804" s="260"/>
      <c r="Z804" s="260"/>
    </row>
    <row r="805">
      <c r="L805" s="259"/>
      <c r="X805" s="259"/>
      <c r="Y805" s="260"/>
      <c r="Z805" s="260"/>
    </row>
    <row r="806">
      <c r="L806" s="259"/>
      <c r="X806" s="259"/>
      <c r="Y806" s="260"/>
      <c r="Z806" s="260"/>
    </row>
    <row r="807">
      <c r="L807" s="259"/>
      <c r="X807" s="259"/>
      <c r="Y807" s="260"/>
      <c r="Z807" s="260"/>
    </row>
    <row r="808">
      <c r="L808" s="259"/>
      <c r="X808" s="259"/>
      <c r="Y808" s="260"/>
      <c r="Z808" s="260"/>
    </row>
    <row r="809">
      <c r="L809" s="259"/>
      <c r="X809" s="259"/>
      <c r="Y809" s="260"/>
      <c r="Z809" s="260"/>
    </row>
    <row r="810">
      <c r="L810" s="259"/>
      <c r="X810" s="259"/>
      <c r="Y810" s="260"/>
      <c r="Z810" s="260"/>
    </row>
    <row r="811">
      <c r="L811" s="259"/>
      <c r="X811" s="259"/>
      <c r="Y811" s="260"/>
      <c r="Z811" s="260"/>
    </row>
    <row r="812">
      <c r="L812" s="259"/>
      <c r="X812" s="259"/>
      <c r="Y812" s="260"/>
      <c r="Z812" s="260"/>
    </row>
    <row r="813">
      <c r="L813" s="259"/>
      <c r="X813" s="259"/>
      <c r="Y813" s="260"/>
      <c r="Z813" s="260"/>
    </row>
    <row r="814">
      <c r="L814" s="259"/>
      <c r="X814" s="259"/>
      <c r="Y814" s="260"/>
      <c r="Z814" s="260"/>
    </row>
    <row r="815">
      <c r="L815" s="259"/>
      <c r="X815" s="259"/>
      <c r="Y815" s="260"/>
      <c r="Z815" s="260"/>
    </row>
    <row r="816">
      <c r="L816" s="259"/>
      <c r="X816" s="259"/>
      <c r="Y816" s="260"/>
      <c r="Z816" s="260"/>
    </row>
    <row r="817">
      <c r="L817" s="259"/>
      <c r="X817" s="259"/>
      <c r="Y817" s="260"/>
      <c r="Z817" s="260"/>
    </row>
    <row r="818">
      <c r="L818" s="259"/>
      <c r="X818" s="259"/>
      <c r="Y818" s="260"/>
      <c r="Z818" s="260"/>
    </row>
    <row r="819">
      <c r="L819" s="259"/>
      <c r="X819" s="259"/>
      <c r="Y819" s="260"/>
      <c r="Z819" s="260"/>
    </row>
    <row r="820">
      <c r="L820" s="259"/>
      <c r="X820" s="259"/>
      <c r="Y820" s="260"/>
      <c r="Z820" s="260"/>
    </row>
    <row r="821">
      <c r="L821" s="259"/>
      <c r="X821" s="259"/>
      <c r="Y821" s="260"/>
      <c r="Z821" s="260"/>
    </row>
    <row r="822">
      <c r="L822" s="259"/>
      <c r="X822" s="259"/>
      <c r="Y822" s="260"/>
      <c r="Z822" s="260"/>
    </row>
    <row r="823">
      <c r="L823" s="259"/>
      <c r="X823" s="259"/>
      <c r="Y823" s="260"/>
      <c r="Z823" s="260"/>
    </row>
    <row r="824">
      <c r="L824" s="259"/>
      <c r="X824" s="259"/>
      <c r="Y824" s="260"/>
      <c r="Z824" s="260"/>
    </row>
    <row r="825">
      <c r="L825" s="259"/>
      <c r="X825" s="259"/>
      <c r="Y825" s="260"/>
      <c r="Z825" s="260"/>
    </row>
    <row r="826">
      <c r="L826" s="259"/>
      <c r="X826" s="259"/>
      <c r="Y826" s="260"/>
      <c r="Z826" s="260"/>
    </row>
    <row r="827">
      <c r="L827" s="259"/>
      <c r="X827" s="259"/>
      <c r="Y827" s="260"/>
      <c r="Z827" s="260"/>
    </row>
    <row r="828">
      <c r="L828" s="259"/>
      <c r="X828" s="259"/>
      <c r="Y828" s="260"/>
      <c r="Z828" s="260"/>
    </row>
    <row r="829">
      <c r="L829" s="259"/>
      <c r="X829" s="259"/>
      <c r="Y829" s="260"/>
      <c r="Z829" s="260"/>
    </row>
    <row r="830">
      <c r="L830" s="259"/>
      <c r="X830" s="259"/>
      <c r="Y830" s="260"/>
      <c r="Z830" s="260"/>
    </row>
    <row r="831">
      <c r="L831" s="259"/>
      <c r="X831" s="259"/>
      <c r="Y831" s="260"/>
      <c r="Z831" s="260"/>
    </row>
    <row r="832">
      <c r="L832" s="259"/>
      <c r="X832" s="259"/>
      <c r="Y832" s="260"/>
      <c r="Z832" s="260"/>
    </row>
    <row r="833">
      <c r="L833" s="259"/>
      <c r="X833" s="259"/>
      <c r="Y833" s="260"/>
      <c r="Z833" s="260"/>
    </row>
    <row r="834">
      <c r="L834" s="259"/>
      <c r="X834" s="259"/>
      <c r="Y834" s="260"/>
      <c r="Z834" s="260"/>
    </row>
    <row r="835">
      <c r="L835" s="259"/>
      <c r="X835" s="259"/>
      <c r="Y835" s="260"/>
      <c r="Z835" s="260"/>
    </row>
    <row r="836">
      <c r="L836" s="259"/>
      <c r="X836" s="259"/>
      <c r="Y836" s="260"/>
      <c r="Z836" s="260"/>
    </row>
    <row r="837">
      <c r="L837" s="259"/>
      <c r="X837" s="259"/>
      <c r="Y837" s="260"/>
      <c r="Z837" s="260"/>
    </row>
    <row r="838">
      <c r="L838" s="259"/>
      <c r="X838" s="259"/>
      <c r="Y838" s="260"/>
      <c r="Z838" s="260"/>
    </row>
    <row r="839">
      <c r="L839" s="259"/>
      <c r="X839" s="259"/>
      <c r="Y839" s="260"/>
      <c r="Z839" s="260"/>
    </row>
    <row r="840">
      <c r="L840" s="259"/>
      <c r="X840" s="259"/>
      <c r="Y840" s="260"/>
      <c r="Z840" s="260"/>
    </row>
    <row r="841">
      <c r="L841" s="259"/>
      <c r="X841" s="259"/>
      <c r="Y841" s="260"/>
      <c r="Z841" s="260"/>
    </row>
    <row r="842">
      <c r="L842" s="259"/>
      <c r="X842" s="259"/>
      <c r="Y842" s="260"/>
      <c r="Z842" s="260"/>
    </row>
    <row r="843">
      <c r="L843" s="259"/>
      <c r="X843" s="259"/>
      <c r="Y843" s="260"/>
      <c r="Z843" s="260"/>
    </row>
    <row r="844">
      <c r="L844" s="259"/>
      <c r="X844" s="259"/>
      <c r="Y844" s="260"/>
      <c r="Z844" s="260"/>
    </row>
    <row r="845">
      <c r="L845" s="259"/>
      <c r="X845" s="259"/>
      <c r="Y845" s="260"/>
      <c r="Z845" s="260"/>
    </row>
    <row r="846">
      <c r="L846" s="259"/>
      <c r="X846" s="259"/>
      <c r="Y846" s="260"/>
      <c r="Z846" s="260"/>
    </row>
    <row r="847">
      <c r="L847" s="259"/>
      <c r="X847" s="259"/>
      <c r="Y847" s="260"/>
      <c r="Z847" s="260"/>
    </row>
    <row r="848">
      <c r="L848" s="259"/>
      <c r="X848" s="259"/>
      <c r="Y848" s="260"/>
      <c r="Z848" s="260"/>
    </row>
    <row r="849">
      <c r="L849" s="259"/>
      <c r="X849" s="259"/>
      <c r="Y849" s="260"/>
      <c r="Z849" s="260"/>
    </row>
    <row r="850">
      <c r="L850" s="259"/>
      <c r="X850" s="259"/>
      <c r="Y850" s="260"/>
      <c r="Z850" s="260"/>
    </row>
    <row r="851">
      <c r="L851" s="259"/>
      <c r="X851" s="259"/>
      <c r="Y851" s="260"/>
      <c r="Z851" s="260"/>
    </row>
    <row r="852">
      <c r="L852" s="259"/>
      <c r="X852" s="259"/>
      <c r="Y852" s="260"/>
      <c r="Z852" s="260"/>
    </row>
    <row r="853">
      <c r="L853" s="259"/>
      <c r="X853" s="259"/>
      <c r="Y853" s="260"/>
      <c r="Z853" s="260"/>
    </row>
    <row r="854">
      <c r="L854" s="259"/>
      <c r="X854" s="259"/>
      <c r="Y854" s="260"/>
      <c r="Z854" s="260"/>
    </row>
    <row r="855">
      <c r="L855" s="259"/>
      <c r="X855" s="259"/>
      <c r="Y855" s="260"/>
      <c r="Z855" s="260"/>
    </row>
    <row r="856">
      <c r="L856" s="259"/>
      <c r="X856" s="259"/>
      <c r="Y856" s="260"/>
      <c r="Z856" s="260"/>
    </row>
    <row r="857">
      <c r="L857" s="259"/>
      <c r="X857" s="259"/>
      <c r="Y857" s="260"/>
      <c r="Z857" s="260"/>
    </row>
    <row r="858">
      <c r="L858" s="259"/>
      <c r="X858" s="259"/>
      <c r="Y858" s="260"/>
      <c r="Z858" s="260"/>
    </row>
    <row r="859">
      <c r="L859" s="259"/>
      <c r="X859" s="259"/>
      <c r="Y859" s="260"/>
      <c r="Z859" s="260"/>
    </row>
    <row r="860">
      <c r="L860" s="259"/>
      <c r="X860" s="259"/>
      <c r="Y860" s="260"/>
      <c r="Z860" s="260"/>
    </row>
    <row r="861">
      <c r="L861" s="259"/>
      <c r="X861" s="259"/>
      <c r="Y861" s="260"/>
      <c r="Z861" s="260"/>
    </row>
    <row r="862">
      <c r="L862" s="259"/>
      <c r="X862" s="259"/>
      <c r="Y862" s="260"/>
      <c r="Z862" s="260"/>
    </row>
    <row r="863">
      <c r="L863" s="259"/>
      <c r="X863" s="259"/>
      <c r="Y863" s="260"/>
      <c r="Z863" s="260"/>
    </row>
    <row r="864">
      <c r="L864" s="259"/>
      <c r="X864" s="259"/>
      <c r="Y864" s="260"/>
      <c r="Z864" s="260"/>
    </row>
    <row r="865">
      <c r="L865" s="259"/>
      <c r="X865" s="259"/>
      <c r="Y865" s="260"/>
      <c r="Z865" s="260"/>
    </row>
    <row r="866">
      <c r="L866" s="259"/>
      <c r="X866" s="259"/>
      <c r="Y866" s="260"/>
      <c r="Z866" s="260"/>
    </row>
    <row r="867">
      <c r="L867" s="259"/>
      <c r="X867" s="259"/>
      <c r="Y867" s="260"/>
      <c r="Z867" s="260"/>
    </row>
    <row r="868">
      <c r="L868" s="259"/>
      <c r="X868" s="259"/>
      <c r="Y868" s="260"/>
      <c r="Z868" s="260"/>
    </row>
    <row r="869">
      <c r="L869" s="259"/>
      <c r="X869" s="259"/>
      <c r="Y869" s="260"/>
      <c r="Z869" s="260"/>
    </row>
    <row r="870">
      <c r="L870" s="259"/>
      <c r="X870" s="259"/>
      <c r="Y870" s="260"/>
      <c r="Z870" s="260"/>
    </row>
    <row r="871">
      <c r="L871" s="259"/>
      <c r="X871" s="259"/>
      <c r="Y871" s="260"/>
      <c r="Z871" s="260"/>
    </row>
    <row r="872">
      <c r="L872" s="259"/>
      <c r="X872" s="259"/>
      <c r="Y872" s="260"/>
      <c r="Z872" s="260"/>
    </row>
    <row r="873">
      <c r="L873" s="259"/>
      <c r="X873" s="259"/>
      <c r="Y873" s="260"/>
      <c r="Z873" s="260"/>
    </row>
    <row r="874">
      <c r="L874" s="259"/>
      <c r="X874" s="259"/>
      <c r="Y874" s="260"/>
      <c r="Z874" s="260"/>
    </row>
    <row r="875">
      <c r="L875" s="259"/>
      <c r="X875" s="259"/>
      <c r="Y875" s="260"/>
      <c r="Z875" s="260"/>
    </row>
    <row r="876">
      <c r="L876" s="259"/>
      <c r="X876" s="259"/>
      <c r="Y876" s="260"/>
      <c r="Z876" s="260"/>
    </row>
    <row r="877">
      <c r="L877" s="259"/>
      <c r="X877" s="259"/>
      <c r="Y877" s="260"/>
      <c r="Z877" s="260"/>
    </row>
    <row r="878">
      <c r="L878" s="259"/>
      <c r="X878" s="259"/>
      <c r="Y878" s="260"/>
      <c r="Z878" s="260"/>
    </row>
    <row r="879">
      <c r="L879" s="259"/>
      <c r="X879" s="259"/>
      <c r="Y879" s="260"/>
      <c r="Z879" s="260"/>
    </row>
    <row r="880">
      <c r="L880" s="259"/>
      <c r="X880" s="259"/>
      <c r="Y880" s="260"/>
      <c r="Z880" s="260"/>
    </row>
    <row r="881">
      <c r="L881" s="259"/>
      <c r="X881" s="259"/>
      <c r="Y881" s="260"/>
      <c r="Z881" s="260"/>
    </row>
    <row r="882">
      <c r="L882" s="259"/>
      <c r="X882" s="259"/>
      <c r="Y882" s="260"/>
      <c r="Z882" s="260"/>
    </row>
    <row r="883">
      <c r="L883" s="259"/>
      <c r="X883" s="259"/>
      <c r="Y883" s="260"/>
      <c r="Z883" s="260"/>
    </row>
    <row r="884">
      <c r="L884" s="259"/>
      <c r="X884" s="259"/>
      <c r="Y884" s="260"/>
      <c r="Z884" s="260"/>
    </row>
    <row r="885">
      <c r="L885" s="259"/>
      <c r="X885" s="259"/>
      <c r="Y885" s="260"/>
      <c r="Z885" s="260"/>
    </row>
    <row r="886">
      <c r="L886" s="259"/>
      <c r="X886" s="259"/>
      <c r="Y886" s="260"/>
      <c r="Z886" s="260"/>
    </row>
    <row r="887">
      <c r="L887" s="259"/>
      <c r="X887" s="259"/>
      <c r="Y887" s="260"/>
      <c r="Z887" s="260"/>
    </row>
    <row r="888">
      <c r="L888" s="259"/>
      <c r="X888" s="259"/>
      <c r="Y888" s="260"/>
      <c r="Z888" s="260"/>
    </row>
    <row r="889">
      <c r="L889" s="259"/>
      <c r="X889" s="259"/>
      <c r="Y889" s="260"/>
      <c r="Z889" s="260"/>
    </row>
    <row r="890">
      <c r="L890" s="259"/>
      <c r="X890" s="259"/>
      <c r="Y890" s="260"/>
      <c r="Z890" s="260"/>
    </row>
    <row r="891">
      <c r="L891" s="259"/>
      <c r="X891" s="259"/>
      <c r="Y891" s="260"/>
      <c r="Z891" s="260"/>
    </row>
    <row r="892">
      <c r="L892" s="259"/>
      <c r="X892" s="259"/>
      <c r="Y892" s="260"/>
      <c r="Z892" s="260"/>
    </row>
    <row r="893">
      <c r="L893" s="259"/>
      <c r="X893" s="259"/>
      <c r="Y893" s="260"/>
      <c r="Z893" s="260"/>
    </row>
    <row r="894">
      <c r="L894" s="259"/>
      <c r="X894" s="259"/>
      <c r="Y894" s="260"/>
      <c r="Z894" s="260"/>
    </row>
    <row r="895">
      <c r="L895" s="259"/>
      <c r="X895" s="259"/>
      <c r="Y895" s="260"/>
      <c r="Z895" s="260"/>
    </row>
    <row r="896">
      <c r="L896" s="259"/>
      <c r="X896" s="259"/>
      <c r="Y896" s="260"/>
      <c r="Z896" s="260"/>
    </row>
    <row r="897">
      <c r="L897" s="259"/>
      <c r="X897" s="259"/>
      <c r="Y897" s="260"/>
      <c r="Z897" s="260"/>
    </row>
    <row r="898">
      <c r="L898" s="259"/>
      <c r="X898" s="259"/>
      <c r="Y898" s="260"/>
      <c r="Z898" s="260"/>
    </row>
    <row r="899">
      <c r="L899" s="259"/>
      <c r="X899" s="259"/>
      <c r="Y899" s="260"/>
      <c r="Z899" s="260"/>
    </row>
    <row r="900">
      <c r="L900" s="259"/>
      <c r="X900" s="259"/>
      <c r="Y900" s="260"/>
      <c r="Z900" s="260"/>
    </row>
    <row r="901">
      <c r="L901" s="259"/>
      <c r="X901" s="259"/>
      <c r="Y901" s="260"/>
      <c r="Z901" s="260"/>
    </row>
    <row r="902">
      <c r="L902" s="259"/>
      <c r="X902" s="259"/>
      <c r="Y902" s="260"/>
      <c r="Z902" s="260"/>
    </row>
    <row r="903">
      <c r="L903" s="259"/>
      <c r="X903" s="259"/>
      <c r="Y903" s="260"/>
      <c r="Z903" s="260"/>
    </row>
    <row r="904">
      <c r="L904" s="259"/>
      <c r="X904" s="259"/>
      <c r="Y904" s="260"/>
      <c r="Z904" s="260"/>
    </row>
    <row r="905">
      <c r="L905" s="259"/>
      <c r="X905" s="259"/>
      <c r="Y905" s="260"/>
      <c r="Z905" s="260"/>
    </row>
    <row r="906">
      <c r="L906" s="259"/>
      <c r="X906" s="259"/>
      <c r="Y906" s="260"/>
      <c r="Z906" s="260"/>
    </row>
    <row r="907">
      <c r="L907" s="259"/>
      <c r="X907" s="259"/>
      <c r="Y907" s="260"/>
      <c r="Z907" s="260"/>
    </row>
    <row r="908">
      <c r="L908" s="259"/>
      <c r="X908" s="259"/>
      <c r="Y908" s="260"/>
      <c r="Z908" s="260"/>
    </row>
    <row r="909">
      <c r="L909" s="259"/>
      <c r="X909" s="259"/>
      <c r="Y909" s="260"/>
      <c r="Z909" s="260"/>
    </row>
    <row r="910">
      <c r="L910" s="259"/>
      <c r="X910" s="259"/>
      <c r="Y910" s="260"/>
      <c r="Z910" s="260"/>
    </row>
    <row r="911">
      <c r="L911" s="259"/>
      <c r="X911" s="259"/>
      <c r="Y911" s="260"/>
      <c r="Z911" s="260"/>
    </row>
    <row r="912">
      <c r="L912" s="259"/>
      <c r="X912" s="259"/>
      <c r="Y912" s="260"/>
      <c r="Z912" s="260"/>
    </row>
    <row r="913">
      <c r="L913" s="259"/>
      <c r="X913" s="259"/>
      <c r="Y913" s="260"/>
      <c r="Z913" s="260"/>
    </row>
    <row r="914">
      <c r="L914" s="259"/>
      <c r="X914" s="259"/>
      <c r="Y914" s="260"/>
      <c r="Z914" s="260"/>
    </row>
    <row r="915">
      <c r="L915" s="259"/>
      <c r="X915" s="259"/>
      <c r="Y915" s="260"/>
      <c r="Z915" s="260"/>
    </row>
    <row r="916">
      <c r="L916" s="259"/>
      <c r="X916" s="259"/>
      <c r="Y916" s="260"/>
      <c r="Z916" s="260"/>
    </row>
    <row r="917">
      <c r="L917" s="259"/>
      <c r="X917" s="259"/>
      <c r="Y917" s="260"/>
      <c r="Z917" s="260"/>
    </row>
    <row r="918">
      <c r="L918" s="259"/>
      <c r="X918" s="259"/>
      <c r="Y918" s="260"/>
      <c r="Z918" s="260"/>
    </row>
    <row r="919">
      <c r="L919" s="259"/>
      <c r="X919" s="259"/>
      <c r="Y919" s="260"/>
      <c r="Z919" s="260"/>
    </row>
    <row r="920">
      <c r="L920" s="259"/>
      <c r="X920" s="259"/>
      <c r="Y920" s="260"/>
      <c r="Z920" s="260"/>
    </row>
    <row r="921">
      <c r="L921" s="259"/>
      <c r="X921" s="259"/>
      <c r="Y921" s="260"/>
      <c r="Z921" s="260"/>
    </row>
    <row r="922">
      <c r="L922" s="259"/>
      <c r="X922" s="259"/>
      <c r="Y922" s="260"/>
      <c r="Z922" s="260"/>
    </row>
    <row r="923">
      <c r="L923" s="259"/>
      <c r="X923" s="259"/>
      <c r="Y923" s="260"/>
      <c r="Z923" s="260"/>
    </row>
    <row r="924">
      <c r="L924" s="259"/>
      <c r="X924" s="259"/>
      <c r="Y924" s="260"/>
      <c r="Z924" s="260"/>
    </row>
    <row r="925">
      <c r="L925" s="259"/>
      <c r="X925" s="259"/>
      <c r="Y925" s="260"/>
      <c r="Z925" s="260"/>
    </row>
    <row r="926">
      <c r="L926" s="259"/>
      <c r="X926" s="259"/>
      <c r="Y926" s="260"/>
      <c r="Z926" s="260"/>
    </row>
    <row r="927">
      <c r="L927" s="259"/>
      <c r="X927" s="259"/>
      <c r="Y927" s="260"/>
      <c r="Z927" s="260"/>
    </row>
    <row r="928">
      <c r="L928" s="259"/>
      <c r="X928" s="259"/>
      <c r="Y928" s="260"/>
      <c r="Z928" s="260"/>
    </row>
    <row r="929">
      <c r="L929" s="259"/>
      <c r="X929" s="259"/>
      <c r="Y929" s="260"/>
      <c r="Z929" s="260"/>
    </row>
    <row r="930">
      <c r="L930" s="259"/>
      <c r="X930" s="259"/>
      <c r="Y930" s="260"/>
      <c r="Z930" s="260"/>
    </row>
    <row r="931">
      <c r="L931" s="259"/>
      <c r="X931" s="259"/>
      <c r="Y931" s="260"/>
      <c r="Z931" s="260"/>
    </row>
    <row r="932">
      <c r="L932" s="259"/>
      <c r="X932" s="259"/>
      <c r="Y932" s="260"/>
      <c r="Z932" s="260"/>
    </row>
    <row r="933">
      <c r="L933" s="259"/>
      <c r="X933" s="259"/>
      <c r="Y933" s="260"/>
      <c r="Z933" s="260"/>
    </row>
    <row r="934">
      <c r="L934" s="259"/>
      <c r="X934" s="259"/>
      <c r="Y934" s="260"/>
      <c r="Z934" s="260"/>
    </row>
    <row r="935">
      <c r="L935" s="259"/>
      <c r="X935" s="259"/>
      <c r="Y935" s="260"/>
      <c r="Z935" s="260"/>
    </row>
    <row r="936">
      <c r="L936" s="259"/>
      <c r="X936" s="259"/>
      <c r="Y936" s="260"/>
      <c r="Z936" s="260"/>
    </row>
    <row r="937">
      <c r="L937" s="259"/>
      <c r="X937" s="259"/>
      <c r="Y937" s="260"/>
      <c r="Z937" s="260"/>
    </row>
    <row r="938">
      <c r="L938" s="259"/>
      <c r="X938" s="259"/>
      <c r="Y938" s="260"/>
      <c r="Z938" s="260"/>
    </row>
    <row r="939">
      <c r="L939" s="259"/>
      <c r="X939" s="259"/>
      <c r="Y939" s="260"/>
      <c r="Z939" s="260"/>
    </row>
    <row r="940">
      <c r="L940" s="259"/>
      <c r="X940" s="259"/>
      <c r="Y940" s="260"/>
      <c r="Z940" s="260"/>
    </row>
    <row r="941">
      <c r="L941" s="259"/>
      <c r="X941" s="259"/>
      <c r="Y941" s="260"/>
      <c r="Z941" s="260"/>
    </row>
    <row r="942">
      <c r="L942" s="259"/>
      <c r="X942" s="259"/>
      <c r="Y942" s="260"/>
      <c r="Z942" s="260"/>
    </row>
    <row r="943">
      <c r="L943" s="259"/>
      <c r="X943" s="259"/>
      <c r="Y943" s="260"/>
      <c r="Z943" s="260"/>
    </row>
    <row r="944">
      <c r="L944" s="259"/>
      <c r="X944" s="259"/>
      <c r="Y944" s="260"/>
      <c r="Z944" s="260"/>
    </row>
    <row r="945">
      <c r="L945" s="259"/>
      <c r="X945" s="259"/>
      <c r="Y945" s="260"/>
      <c r="Z945" s="260"/>
    </row>
    <row r="946">
      <c r="L946" s="259"/>
      <c r="X946" s="259"/>
      <c r="Y946" s="260"/>
      <c r="Z946" s="260"/>
    </row>
    <row r="947">
      <c r="L947" s="259"/>
      <c r="X947" s="259"/>
      <c r="Y947" s="260"/>
      <c r="Z947" s="260"/>
    </row>
    <row r="948">
      <c r="L948" s="259"/>
      <c r="X948" s="259"/>
      <c r="Y948" s="260"/>
      <c r="Z948" s="260"/>
    </row>
    <row r="949">
      <c r="L949" s="259"/>
      <c r="X949" s="259"/>
      <c r="Y949" s="260"/>
      <c r="Z949" s="260"/>
    </row>
    <row r="950">
      <c r="L950" s="259"/>
      <c r="X950" s="259"/>
      <c r="Y950" s="260"/>
      <c r="Z950" s="260"/>
    </row>
    <row r="951">
      <c r="L951" s="259"/>
      <c r="X951" s="259"/>
      <c r="Y951" s="260"/>
      <c r="Z951" s="260"/>
    </row>
    <row r="952">
      <c r="L952" s="259"/>
      <c r="X952" s="259"/>
      <c r="Y952" s="260"/>
      <c r="Z952" s="260"/>
    </row>
    <row r="953">
      <c r="L953" s="259"/>
      <c r="X953" s="259"/>
      <c r="Y953" s="260"/>
      <c r="Z953" s="260"/>
    </row>
    <row r="954">
      <c r="L954" s="259"/>
      <c r="X954" s="259"/>
      <c r="Y954" s="260"/>
      <c r="Z954" s="260"/>
    </row>
    <row r="955">
      <c r="L955" s="259"/>
      <c r="X955" s="259"/>
      <c r="Y955" s="260"/>
      <c r="Z955" s="260"/>
    </row>
    <row r="956">
      <c r="L956" s="259"/>
      <c r="X956" s="259"/>
      <c r="Y956" s="260"/>
      <c r="Z956" s="260"/>
    </row>
    <row r="957">
      <c r="L957" s="259"/>
      <c r="X957" s="259"/>
      <c r="Y957" s="260"/>
      <c r="Z957" s="260"/>
    </row>
    <row r="958">
      <c r="L958" s="259"/>
      <c r="X958" s="259"/>
      <c r="Y958" s="260"/>
      <c r="Z958" s="260"/>
    </row>
    <row r="959">
      <c r="L959" s="259"/>
      <c r="X959" s="259"/>
      <c r="Y959" s="260"/>
      <c r="Z959" s="260"/>
    </row>
    <row r="960">
      <c r="L960" s="259"/>
      <c r="X960" s="259"/>
      <c r="Y960" s="260"/>
      <c r="Z960" s="260"/>
    </row>
    <row r="961">
      <c r="L961" s="259"/>
      <c r="X961" s="259"/>
      <c r="Y961" s="260"/>
      <c r="Z961" s="260"/>
    </row>
    <row r="962">
      <c r="L962" s="259"/>
      <c r="X962" s="259"/>
      <c r="Y962" s="260"/>
      <c r="Z962" s="260"/>
    </row>
    <row r="963">
      <c r="L963" s="259"/>
      <c r="X963" s="259"/>
      <c r="Y963" s="260"/>
      <c r="Z963" s="260"/>
    </row>
    <row r="964">
      <c r="L964" s="259"/>
      <c r="X964" s="259"/>
      <c r="Y964" s="260"/>
      <c r="Z964" s="260"/>
    </row>
    <row r="965">
      <c r="L965" s="259"/>
      <c r="X965" s="259"/>
      <c r="Y965" s="260"/>
      <c r="Z965" s="260"/>
    </row>
    <row r="966">
      <c r="L966" s="259"/>
      <c r="X966" s="259"/>
      <c r="Y966" s="260"/>
      <c r="Z966" s="260"/>
    </row>
    <row r="967">
      <c r="L967" s="259"/>
      <c r="X967" s="259"/>
      <c r="Y967" s="260"/>
      <c r="Z967" s="260"/>
    </row>
    <row r="968">
      <c r="L968" s="259"/>
      <c r="X968" s="259"/>
      <c r="Y968" s="260"/>
      <c r="Z968" s="260"/>
    </row>
    <row r="969">
      <c r="L969" s="259"/>
      <c r="X969" s="259"/>
      <c r="Y969" s="260"/>
      <c r="Z969" s="260"/>
    </row>
    <row r="970">
      <c r="L970" s="259"/>
      <c r="X970" s="259"/>
      <c r="Y970" s="260"/>
      <c r="Z970" s="260"/>
    </row>
    <row r="971">
      <c r="L971" s="259"/>
      <c r="X971" s="259"/>
      <c r="Y971" s="260"/>
      <c r="Z971" s="260"/>
    </row>
    <row r="972">
      <c r="L972" s="259"/>
      <c r="X972" s="259"/>
      <c r="Y972" s="260"/>
      <c r="Z972" s="260"/>
    </row>
    <row r="973">
      <c r="L973" s="259"/>
      <c r="X973" s="259"/>
      <c r="Y973" s="260"/>
      <c r="Z973" s="260"/>
    </row>
    <row r="974">
      <c r="L974" s="259"/>
      <c r="X974" s="259"/>
      <c r="Y974" s="260"/>
      <c r="Z974" s="260"/>
    </row>
    <row r="975">
      <c r="L975" s="259"/>
      <c r="X975" s="259"/>
      <c r="Y975" s="260"/>
      <c r="Z975" s="260"/>
    </row>
    <row r="976">
      <c r="L976" s="259"/>
      <c r="X976" s="259"/>
      <c r="Y976" s="260"/>
      <c r="Z976" s="260"/>
    </row>
    <row r="977">
      <c r="L977" s="259"/>
      <c r="X977" s="259"/>
      <c r="Y977" s="260"/>
      <c r="Z977" s="260"/>
    </row>
    <row r="978">
      <c r="L978" s="259"/>
      <c r="X978" s="259"/>
      <c r="Y978" s="260"/>
      <c r="Z978" s="260"/>
    </row>
    <row r="979">
      <c r="L979" s="259"/>
      <c r="X979" s="259"/>
      <c r="Y979" s="260"/>
      <c r="Z979" s="260"/>
    </row>
    <row r="980">
      <c r="L980" s="259"/>
      <c r="X980" s="259"/>
      <c r="Y980" s="260"/>
      <c r="Z980" s="260"/>
    </row>
    <row r="981">
      <c r="L981" s="259"/>
      <c r="X981" s="259"/>
      <c r="Y981" s="260"/>
      <c r="Z981" s="260"/>
    </row>
    <row r="982">
      <c r="L982" s="259"/>
      <c r="X982" s="259"/>
      <c r="Y982" s="260"/>
      <c r="Z982" s="260"/>
    </row>
    <row r="983">
      <c r="L983" s="259"/>
      <c r="X983" s="259"/>
      <c r="Y983" s="260"/>
      <c r="Z983" s="260"/>
    </row>
    <row r="984">
      <c r="L984" s="259"/>
      <c r="X984" s="259"/>
      <c r="Y984" s="260"/>
      <c r="Z984" s="260"/>
    </row>
    <row r="985">
      <c r="L985" s="259"/>
      <c r="X985" s="259"/>
      <c r="Y985" s="260"/>
      <c r="Z985" s="260"/>
    </row>
    <row r="986">
      <c r="L986" s="259"/>
      <c r="X986" s="259"/>
      <c r="Y986" s="260"/>
      <c r="Z986" s="260"/>
    </row>
    <row r="987">
      <c r="L987" s="259"/>
      <c r="X987" s="259"/>
      <c r="Y987" s="260"/>
      <c r="Z987" s="260"/>
    </row>
    <row r="988">
      <c r="L988" s="259"/>
      <c r="X988" s="259"/>
      <c r="Y988" s="260"/>
      <c r="Z988" s="260"/>
    </row>
  </sheetData>
  <autoFilter ref="$A$2:$AH$167">
    <filterColumn colId="7">
      <filters>
        <filter val="RDD"/>
        <filter val="Mobile network operator"/>
      </filters>
    </filterColumn>
    <filterColumn colId="11">
      <filters blank="1">
        <filter val="Wave 1"/>
      </filters>
    </filterColumn>
    <sortState ref="A2:AH167">
      <sortCondition ref="A2:A167"/>
      <sortCondition ref="F2:F167"/>
      <sortCondition ref="K2:K167"/>
      <sortCondition ref="H2:H167"/>
      <sortCondition ref="G2:G167"/>
    </sortState>
  </autoFilter>
  <mergeCells count="4">
    <mergeCell ref="N1:O1"/>
    <mergeCell ref="P1:V1"/>
    <mergeCell ref="X1:Z1"/>
    <mergeCell ref="AA1:A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5.25"/>
    <col customWidth="1" min="4" max="4" width="9.0"/>
    <col customWidth="1" min="5" max="5" width="10.88"/>
    <col customWidth="1" min="6" max="6" width="12.13"/>
    <col customWidth="1" min="7" max="7" width="10.0"/>
    <col customWidth="1" min="8" max="8" width="42.63"/>
    <col customWidth="1" min="9" max="9" width="20.0"/>
    <col customWidth="1" min="10" max="10" width="25.88"/>
    <col customWidth="1" min="13" max="13" width="13.25"/>
  </cols>
  <sheetData>
    <row r="1">
      <c r="A1" s="261" t="s">
        <v>0</v>
      </c>
      <c r="B1" s="261" t="s">
        <v>2</v>
      </c>
      <c r="C1" s="261" t="s">
        <v>235</v>
      </c>
      <c r="D1" s="261" t="s">
        <v>5</v>
      </c>
      <c r="E1" s="261" t="s">
        <v>236</v>
      </c>
      <c r="F1" s="261" t="s">
        <v>279</v>
      </c>
      <c r="G1" s="261" t="s">
        <v>237</v>
      </c>
      <c r="H1" s="261" t="s">
        <v>409</v>
      </c>
      <c r="I1" s="261" t="s">
        <v>323</v>
      </c>
      <c r="J1" s="261" t="s">
        <v>410</v>
      </c>
      <c r="K1" s="262" t="s">
        <v>411</v>
      </c>
      <c r="L1" s="262" t="s">
        <v>412</v>
      </c>
      <c r="M1" s="262" t="s">
        <v>413</v>
      </c>
      <c r="N1" s="262" t="s">
        <v>414</v>
      </c>
      <c r="O1" s="262" t="s">
        <v>415</v>
      </c>
    </row>
    <row r="2">
      <c r="A2" s="263">
        <v>4.0</v>
      </c>
      <c r="B2" s="264" t="str">
        <f t="array" ref="B2">IFerror(INDEX(Papers!C$2:C$998,MATCH($A2, Papers!$A$2:$A$998,0)),"")</f>
        <v>Measuring Employment: Experimental Evidence from Ghana</v>
      </c>
      <c r="C2" s="264" t="str">
        <f t="array" ref="C2">IFerror(INDEX(Papers!D$2:D$998,MATCH($A2, Papers!$A$2:$A$998,0)),"")</f>
        <v>Rachel Health, Ghazala Mansuri, Bob Rijkers, William Seitz, and Dhiraj Sharma</v>
      </c>
      <c r="D2" s="265">
        <f t="array" ref="D2">IFerror(INDEX(Papers!F$2:F$998,MATCH($A2, Papers!$A$2:$A$998,0)),"")</f>
        <v>2017</v>
      </c>
      <c r="E2" s="265">
        <f t="array" ref="E2">IFerror(INDEX(Papers!G$2:G$998,MATCH($A2, Papers!$A$2:$A$998,0)),"")</f>
        <v>2013</v>
      </c>
      <c r="F2" s="265" t="s">
        <v>243</v>
      </c>
      <c r="G2" s="266" t="s">
        <v>9</v>
      </c>
      <c r="H2" s="267" t="s">
        <v>416</v>
      </c>
      <c r="I2" s="267" t="s">
        <v>417</v>
      </c>
      <c r="J2" s="268" t="s">
        <v>418</v>
      </c>
      <c r="K2" s="269">
        <v>35.55</v>
      </c>
      <c r="L2" s="270">
        <v>34.665</v>
      </c>
      <c r="M2" s="270">
        <v>35.760999999999996</v>
      </c>
      <c r="N2" s="271">
        <f t="shared" ref="N2:N10" si="1">if(AND(K2&lt;&gt;0,M2&lt;&gt;0),K2-M2,"")</f>
        <v>-0.211</v>
      </c>
      <c r="O2" s="271">
        <f t="shared" ref="O2:O10" si="2">if(AND(L2&lt;&gt;0,M2&lt;&gt;0),L2-M2,"")</f>
        <v>-1.096</v>
      </c>
    </row>
    <row r="3">
      <c r="A3" s="272">
        <v>4.0</v>
      </c>
      <c r="B3" s="273" t="str">
        <f t="array" ref="B3">IFerror(INDEX(Papers!C$2:C$998,MATCH($A3, Papers!$A$2:$A$998,0)),"")</f>
        <v>Measuring Employment: Experimental Evidence from Ghana</v>
      </c>
      <c r="C3" s="273" t="str">
        <f t="array" ref="C3">IFerror(INDEX(Papers!D$2:D$998,MATCH($A3, Papers!$A$2:$A$998,0)),"")</f>
        <v>Rachel Health, Ghazala Mansuri, Bob Rijkers, William Seitz, and Dhiraj Sharma</v>
      </c>
      <c r="D3" s="274">
        <f t="array" ref="D3">IFerror(INDEX(Papers!F$2:F$998,MATCH($A3, Papers!$A$2:$A$998,0)),"")</f>
        <v>2017</v>
      </c>
      <c r="E3" s="274">
        <f t="array" ref="E3">IFerror(INDEX(Papers!G$2:G$998,MATCH($A3, Papers!$A$2:$A$998,0)),"")</f>
        <v>2013</v>
      </c>
      <c r="F3" s="274" t="s">
        <v>243</v>
      </c>
      <c r="G3" s="275" t="s">
        <v>9</v>
      </c>
      <c r="H3" s="276" t="s">
        <v>416</v>
      </c>
      <c r="I3" s="277" t="s">
        <v>419</v>
      </c>
      <c r="J3" s="278" t="s">
        <v>418</v>
      </c>
      <c r="K3" s="279">
        <v>35.55</v>
      </c>
      <c r="L3" s="280">
        <v>34.665</v>
      </c>
      <c r="M3" s="280">
        <v>35.551</v>
      </c>
      <c r="N3" s="281">
        <f t="shared" si="1"/>
        <v>-0.001</v>
      </c>
      <c r="O3" s="281">
        <f t="shared" si="2"/>
        <v>-0.886</v>
      </c>
    </row>
    <row r="4">
      <c r="A4" s="263">
        <v>4.0</v>
      </c>
      <c r="B4" s="264" t="str">
        <f t="array" ref="B4">IFerror(INDEX(Papers!C$2:C$998,MATCH($A4, Papers!$A$2:$A$998,0)),"")</f>
        <v>Measuring Employment: Experimental Evidence from Ghana</v>
      </c>
      <c r="C4" s="264" t="str">
        <f t="array" ref="C4">IFerror(INDEX(Papers!D$2:D$998,MATCH($A4, Papers!$A$2:$A$998,0)),"")</f>
        <v>Rachel Health, Ghazala Mansuri, Bob Rijkers, William Seitz, and Dhiraj Sharma</v>
      </c>
      <c r="D4" s="265">
        <f t="array" ref="D4">IFerror(INDEX(Papers!F$2:F$998,MATCH($A4, Papers!$A$2:$A$998,0)),"")</f>
        <v>2017</v>
      </c>
      <c r="E4" s="265">
        <f t="array" ref="E4">IFerror(INDEX(Papers!G$2:G$998,MATCH($A4, Papers!$A$2:$A$998,0)),"")</f>
        <v>2013</v>
      </c>
      <c r="F4" s="265" t="s">
        <v>243</v>
      </c>
      <c r="G4" s="266" t="s">
        <v>9</v>
      </c>
      <c r="H4" s="267" t="s">
        <v>416</v>
      </c>
      <c r="I4" s="282" t="s">
        <v>420</v>
      </c>
      <c r="J4" s="268" t="s">
        <v>418</v>
      </c>
      <c r="K4" s="269">
        <v>35.55</v>
      </c>
      <c r="L4" s="270">
        <v>34.665</v>
      </c>
      <c r="M4" s="270">
        <v>34.814</v>
      </c>
      <c r="N4" s="271">
        <f t="shared" si="1"/>
        <v>0.736</v>
      </c>
      <c r="O4" s="271">
        <f t="shared" si="2"/>
        <v>-0.149</v>
      </c>
    </row>
    <row r="5">
      <c r="A5" s="272">
        <v>4.0</v>
      </c>
      <c r="B5" s="273" t="str">
        <f t="array" ref="B5">IFerror(INDEX(Papers!C$2:C$998,MATCH($A5, Papers!$A$2:$A$998,0)),"")</f>
        <v>Measuring Employment: Experimental Evidence from Ghana</v>
      </c>
      <c r="C5" s="273" t="str">
        <f t="array" ref="C5">IFerror(INDEX(Papers!D$2:D$998,MATCH($A5, Papers!$A$2:$A$998,0)),"")</f>
        <v>Rachel Health, Ghazala Mansuri, Bob Rijkers, William Seitz, and Dhiraj Sharma</v>
      </c>
      <c r="D5" s="274">
        <f t="array" ref="D5">IFerror(INDEX(Papers!F$2:F$998,MATCH($A5, Papers!$A$2:$A$998,0)),"")</f>
        <v>2017</v>
      </c>
      <c r="E5" s="274">
        <f t="array" ref="E5">IFerror(INDEX(Papers!G$2:G$998,MATCH($A5, Papers!$A$2:$A$998,0)),"")</f>
        <v>2013</v>
      </c>
      <c r="F5" s="274" t="s">
        <v>243</v>
      </c>
      <c r="G5" s="275" t="s">
        <v>9</v>
      </c>
      <c r="H5" s="276" t="s">
        <v>416</v>
      </c>
      <c r="I5" s="277" t="s">
        <v>421</v>
      </c>
      <c r="J5" s="278" t="s">
        <v>418</v>
      </c>
      <c r="K5" s="279">
        <v>35.55</v>
      </c>
      <c r="L5" s="280">
        <v>34.665</v>
      </c>
      <c r="M5" s="280">
        <v>34.716</v>
      </c>
      <c r="N5" s="281">
        <f t="shared" si="1"/>
        <v>0.834</v>
      </c>
      <c r="O5" s="281">
        <f t="shared" si="2"/>
        <v>-0.051</v>
      </c>
    </row>
    <row r="6">
      <c r="A6" s="263">
        <v>4.0</v>
      </c>
      <c r="B6" s="264" t="str">
        <f t="array" ref="B6">IFerror(INDEX(Papers!C$2:C$998,MATCH($A6, Papers!$A$2:$A$998,0)),"")</f>
        <v>Measuring Employment: Experimental Evidence from Ghana</v>
      </c>
      <c r="C6" s="264" t="str">
        <f t="array" ref="C6">IFerror(INDEX(Papers!D$2:D$998,MATCH($A6, Papers!$A$2:$A$998,0)),"")</f>
        <v>Rachel Health, Ghazala Mansuri, Bob Rijkers, William Seitz, and Dhiraj Sharma</v>
      </c>
      <c r="D6" s="265">
        <f t="array" ref="D6">IFerror(INDEX(Papers!F$2:F$998,MATCH($A6, Papers!$A$2:$A$998,0)),"")</f>
        <v>2017</v>
      </c>
      <c r="E6" s="265">
        <f t="array" ref="E6">IFerror(INDEX(Papers!G$2:G$998,MATCH($A6, Papers!$A$2:$A$998,0)),"")</f>
        <v>2013</v>
      </c>
      <c r="F6" s="265" t="s">
        <v>243</v>
      </c>
      <c r="G6" s="266" t="s">
        <v>9</v>
      </c>
      <c r="H6" s="267" t="s">
        <v>416</v>
      </c>
      <c r="I6" s="282"/>
      <c r="J6" s="268" t="s">
        <v>418</v>
      </c>
      <c r="K6" s="269">
        <v>35.55</v>
      </c>
      <c r="L6" s="269"/>
      <c r="M6" s="270">
        <v>34.665</v>
      </c>
      <c r="N6" s="271">
        <f t="shared" si="1"/>
        <v>0.885</v>
      </c>
      <c r="O6" s="271" t="str">
        <f t="shared" si="2"/>
        <v/>
      </c>
    </row>
    <row r="7">
      <c r="A7" s="272">
        <v>4.0</v>
      </c>
      <c r="B7" s="273" t="str">
        <f t="array" ref="B7">IFerror(INDEX(Papers!C$2:C$998,MATCH($A7, Papers!$A$2:$A$998,0)),"")</f>
        <v>Measuring Employment: Experimental Evidence from Ghana</v>
      </c>
      <c r="C7" s="273" t="str">
        <f t="array" ref="C7">IFerror(INDEX(Papers!D$2:D$998,MATCH($A7, Papers!$A$2:$A$998,0)),"")</f>
        <v>Rachel Health, Ghazala Mansuri, Bob Rijkers, William Seitz, and Dhiraj Sharma</v>
      </c>
      <c r="D7" s="274">
        <f t="array" ref="D7">IFerror(INDEX(Papers!F$2:F$998,MATCH($A7, Papers!$A$2:$A$998,0)),"")</f>
        <v>2017</v>
      </c>
      <c r="E7" s="274">
        <f t="array" ref="E7">IFerror(INDEX(Papers!G$2:G$998,MATCH($A7, Papers!$A$2:$A$998,0)),"")</f>
        <v>2013</v>
      </c>
      <c r="F7" s="274" t="s">
        <v>243</v>
      </c>
      <c r="G7" s="275" t="s">
        <v>9</v>
      </c>
      <c r="H7" s="276" t="s">
        <v>416</v>
      </c>
      <c r="I7" s="277" t="s">
        <v>421</v>
      </c>
      <c r="J7" s="278" t="s">
        <v>422</v>
      </c>
      <c r="K7" s="283">
        <v>9.0</v>
      </c>
      <c r="L7" s="279">
        <v>10.36</v>
      </c>
      <c r="M7" s="280">
        <v>10.270999999999999</v>
      </c>
      <c r="N7" s="281">
        <f t="shared" si="1"/>
        <v>-1.271</v>
      </c>
      <c r="O7" s="281">
        <f t="shared" si="2"/>
        <v>0.089</v>
      </c>
    </row>
    <row r="8">
      <c r="A8" s="263">
        <v>4.0</v>
      </c>
      <c r="B8" s="264" t="str">
        <f t="array" ref="B8">IFerror(INDEX(Papers!C$2:C$998,MATCH($A8, Papers!$A$2:$A$998,0)),"")</f>
        <v>Measuring Employment: Experimental Evidence from Ghana</v>
      </c>
      <c r="C8" s="264" t="str">
        <f t="array" ref="C8">IFerror(INDEX(Papers!D$2:D$998,MATCH($A8, Papers!$A$2:$A$998,0)),"")</f>
        <v>Rachel Health, Ghazala Mansuri, Bob Rijkers, William Seitz, and Dhiraj Sharma</v>
      </c>
      <c r="D8" s="265">
        <f t="array" ref="D8">IFerror(INDEX(Papers!F$2:F$998,MATCH($A8, Papers!$A$2:$A$998,0)),"")</f>
        <v>2017</v>
      </c>
      <c r="E8" s="265">
        <f t="array" ref="E8">IFerror(INDEX(Papers!G$2:G$998,MATCH($A8, Papers!$A$2:$A$998,0)),"")</f>
        <v>2013</v>
      </c>
      <c r="F8" s="265" t="s">
        <v>243</v>
      </c>
      <c r="G8" s="266" t="s">
        <v>9</v>
      </c>
      <c r="H8" s="267" t="s">
        <v>416</v>
      </c>
      <c r="I8" s="282" t="s">
        <v>420</v>
      </c>
      <c r="J8" s="268" t="s">
        <v>422</v>
      </c>
      <c r="K8" s="284">
        <v>9.0</v>
      </c>
      <c r="L8" s="269">
        <v>10.36</v>
      </c>
      <c r="M8" s="270">
        <v>10.247</v>
      </c>
      <c r="N8" s="271">
        <f t="shared" si="1"/>
        <v>-1.247</v>
      </c>
      <c r="O8" s="271">
        <f t="shared" si="2"/>
        <v>0.113</v>
      </c>
    </row>
    <row r="9">
      <c r="A9" s="272">
        <v>4.0</v>
      </c>
      <c r="B9" s="273" t="str">
        <f t="array" ref="B9">IFerror(INDEX(Papers!C$2:C$998,MATCH($A9, Papers!$A$2:$A$998,0)),"")</f>
        <v>Measuring Employment: Experimental Evidence from Ghana</v>
      </c>
      <c r="C9" s="273" t="str">
        <f t="array" ref="C9">IFerror(INDEX(Papers!D$2:D$998,MATCH($A9, Papers!$A$2:$A$998,0)),"")</f>
        <v>Rachel Health, Ghazala Mansuri, Bob Rijkers, William Seitz, and Dhiraj Sharma</v>
      </c>
      <c r="D9" s="274">
        <f t="array" ref="D9">IFerror(INDEX(Papers!F$2:F$998,MATCH($A9, Papers!$A$2:$A$998,0)),"")</f>
        <v>2017</v>
      </c>
      <c r="E9" s="274">
        <f t="array" ref="E9">IFerror(INDEX(Papers!G$2:G$998,MATCH($A9, Papers!$A$2:$A$998,0)),"")</f>
        <v>2013</v>
      </c>
      <c r="F9" s="274" t="s">
        <v>243</v>
      </c>
      <c r="G9" s="275" t="s">
        <v>9</v>
      </c>
      <c r="H9" s="276" t="s">
        <v>416</v>
      </c>
      <c r="I9" s="277" t="s">
        <v>419</v>
      </c>
      <c r="J9" s="278" t="s">
        <v>422</v>
      </c>
      <c r="K9" s="283">
        <v>9.0</v>
      </c>
      <c r="L9" s="279">
        <v>10.36</v>
      </c>
      <c r="M9" s="280">
        <v>10.24</v>
      </c>
      <c r="N9" s="281">
        <f t="shared" si="1"/>
        <v>-1.24</v>
      </c>
      <c r="O9" s="281">
        <f t="shared" si="2"/>
        <v>0.12</v>
      </c>
    </row>
    <row r="10">
      <c r="A10" s="263">
        <v>4.0</v>
      </c>
      <c r="B10" s="264" t="str">
        <f t="array" ref="B10">IFerror(INDEX(Papers!C$2:C$998,MATCH($A10, Papers!$A$2:$A$998,0)),"")</f>
        <v>Measuring Employment: Experimental Evidence from Ghana</v>
      </c>
      <c r="C10" s="264" t="str">
        <f t="array" ref="C10">IFerror(INDEX(Papers!D$2:D$998,MATCH($A10, Papers!$A$2:$A$998,0)),"")</f>
        <v>Rachel Health, Ghazala Mansuri, Bob Rijkers, William Seitz, and Dhiraj Sharma</v>
      </c>
      <c r="D10" s="265">
        <f t="array" ref="D10">IFerror(INDEX(Papers!F$2:F$998,MATCH($A10, Papers!$A$2:$A$998,0)),"")</f>
        <v>2017</v>
      </c>
      <c r="E10" s="265">
        <f t="array" ref="E10">IFerror(INDEX(Papers!G$2:G$998,MATCH($A10, Papers!$A$2:$A$998,0)),"")</f>
        <v>2013</v>
      </c>
      <c r="F10" s="265" t="s">
        <v>243</v>
      </c>
      <c r="G10" s="266" t="s">
        <v>9</v>
      </c>
      <c r="H10" s="267" t="s">
        <v>416</v>
      </c>
      <c r="I10" s="267" t="s">
        <v>417</v>
      </c>
      <c r="J10" s="268" t="s">
        <v>422</v>
      </c>
      <c r="K10" s="269">
        <v>9.0</v>
      </c>
      <c r="L10" s="269">
        <v>10.36</v>
      </c>
      <c r="M10" s="270">
        <v>9.91</v>
      </c>
      <c r="N10" s="271">
        <f t="shared" si="1"/>
        <v>-0.91</v>
      </c>
      <c r="O10" s="271">
        <f t="shared" si="2"/>
        <v>0.45</v>
      </c>
    </row>
    <row r="11">
      <c r="A11" s="272">
        <v>4.0</v>
      </c>
      <c r="B11" s="273" t="str">
        <f t="array" ref="B11">IFerror(INDEX(Papers!C$2:C$998,MATCH($A11, Papers!$A$2:$A$998,0)),"")</f>
        <v>Measuring Employment: Experimental Evidence from Ghana</v>
      </c>
      <c r="C11" s="273" t="str">
        <f t="array" ref="C11">IFerror(INDEX(Papers!D$2:D$998,MATCH($A11, Papers!$A$2:$A$998,0)),"")</f>
        <v>Rachel Health, Ghazala Mansuri, Bob Rijkers, William Seitz, and Dhiraj Sharma</v>
      </c>
      <c r="D11" s="274">
        <f t="array" ref="D11">IFerror(INDEX(Papers!F$2:F$998,MATCH($A11, Papers!$A$2:$A$998,0)),"")</f>
        <v>2017</v>
      </c>
      <c r="E11" s="274">
        <f t="array" ref="E11">IFerror(INDEX(Papers!G$2:G$998,MATCH($A11, Papers!$A$2:$A$998,0)),"")</f>
        <v>2013</v>
      </c>
      <c r="F11" s="274" t="s">
        <v>243</v>
      </c>
      <c r="G11" s="275" t="s">
        <v>9</v>
      </c>
      <c r="H11" s="276" t="s">
        <v>416</v>
      </c>
      <c r="I11" s="277"/>
      <c r="J11" s="278" t="s">
        <v>422</v>
      </c>
      <c r="K11" s="279">
        <v>9.0</v>
      </c>
      <c r="L11" s="279"/>
      <c r="M11" s="279">
        <v>10.36</v>
      </c>
      <c r="N11" s="281"/>
      <c r="O11" s="281"/>
    </row>
    <row r="12">
      <c r="A12" s="263">
        <v>4.0</v>
      </c>
      <c r="B12" s="264" t="str">
        <f t="array" ref="B12">IFerror(INDEX(Papers!C$2:C$998,MATCH($A12, Papers!$A$2:$A$998,0)),"")</f>
        <v>Measuring Employment: Experimental Evidence from Ghana</v>
      </c>
      <c r="C12" s="264" t="str">
        <f t="array" ref="C12">IFerror(INDEX(Papers!D$2:D$998,MATCH($A12, Papers!$A$2:$A$998,0)),"")</f>
        <v>Rachel Health, Ghazala Mansuri, Bob Rijkers, William Seitz, and Dhiraj Sharma</v>
      </c>
      <c r="D12" s="265">
        <f t="array" ref="D12">IFerror(INDEX(Papers!F$2:F$998,MATCH($A12, Papers!$A$2:$A$998,0)),"")</f>
        <v>2017</v>
      </c>
      <c r="E12" s="265">
        <f t="array" ref="E12">IFerror(INDEX(Papers!G$2:G$998,MATCH($A12, Papers!$A$2:$A$998,0)),"")</f>
        <v>2013</v>
      </c>
      <c r="F12" s="265" t="s">
        <v>243</v>
      </c>
      <c r="G12" s="266" t="s">
        <v>9</v>
      </c>
      <c r="H12" s="267" t="s">
        <v>416</v>
      </c>
      <c r="I12" s="267" t="s">
        <v>417</v>
      </c>
      <c r="J12" s="268" t="s">
        <v>423</v>
      </c>
      <c r="K12" s="285">
        <v>0.683</v>
      </c>
      <c r="L12" s="271">
        <v>0.623</v>
      </c>
      <c r="M12" s="271">
        <v>0.663</v>
      </c>
      <c r="N12" s="271">
        <f t="shared" ref="N12:N15" si="3">if(AND(K12&lt;&gt;0,M12&lt;&gt;0),K12-M12,"")</f>
        <v>0.02</v>
      </c>
      <c r="O12" s="271">
        <f t="shared" ref="O12:O15" si="4">if(AND(L12&lt;&gt;0,M12&lt;&gt;0),L12-M12,"")</f>
        <v>-0.04</v>
      </c>
    </row>
    <row r="13">
      <c r="A13" s="272">
        <v>4.0</v>
      </c>
      <c r="B13" s="273" t="str">
        <f t="array" ref="B13">IFerror(INDEX(Papers!C$2:C$998,MATCH($A13, Papers!$A$2:$A$998,0)),"")</f>
        <v>Measuring Employment: Experimental Evidence from Ghana</v>
      </c>
      <c r="C13" s="273" t="str">
        <f t="array" ref="C13">IFerror(INDEX(Papers!D$2:D$998,MATCH($A13, Papers!$A$2:$A$998,0)),"")</f>
        <v>Rachel Health, Ghazala Mansuri, Bob Rijkers, William Seitz, and Dhiraj Sharma</v>
      </c>
      <c r="D13" s="274">
        <f t="array" ref="D13">IFerror(INDEX(Papers!F$2:F$998,MATCH($A13, Papers!$A$2:$A$998,0)),"")</f>
        <v>2017</v>
      </c>
      <c r="E13" s="274">
        <f t="array" ref="E13">IFerror(INDEX(Papers!G$2:G$998,MATCH($A13, Papers!$A$2:$A$998,0)),"")</f>
        <v>2013</v>
      </c>
      <c r="F13" s="274" t="s">
        <v>243</v>
      </c>
      <c r="G13" s="275" t="s">
        <v>9</v>
      </c>
      <c r="H13" s="276" t="s">
        <v>416</v>
      </c>
      <c r="I13" s="277" t="s">
        <v>420</v>
      </c>
      <c r="J13" s="278" t="s">
        <v>423</v>
      </c>
      <c r="K13" s="286">
        <v>0.683</v>
      </c>
      <c r="L13" s="281">
        <v>0.623</v>
      </c>
      <c r="M13" s="281">
        <v>0.612</v>
      </c>
      <c r="N13" s="281">
        <f t="shared" si="3"/>
        <v>0.071</v>
      </c>
      <c r="O13" s="281">
        <f t="shared" si="4"/>
        <v>0.011</v>
      </c>
    </row>
    <row r="14">
      <c r="A14" s="263">
        <v>4.0</v>
      </c>
      <c r="B14" s="264" t="str">
        <f t="array" ref="B14">IFerror(INDEX(Papers!C$2:C$998,MATCH($A14, Papers!$A$2:$A$998,0)),"")</f>
        <v>Measuring Employment: Experimental Evidence from Ghana</v>
      </c>
      <c r="C14" s="264" t="str">
        <f t="array" ref="C14">IFerror(INDEX(Papers!D$2:D$998,MATCH($A14, Papers!$A$2:$A$998,0)),"")</f>
        <v>Rachel Health, Ghazala Mansuri, Bob Rijkers, William Seitz, and Dhiraj Sharma</v>
      </c>
      <c r="D14" s="265">
        <f t="array" ref="D14">IFerror(INDEX(Papers!F$2:F$998,MATCH($A14, Papers!$A$2:$A$998,0)),"")</f>
        <v>2017</v>
      </c>
      <c r="E14" s="265">
        <f t="array" ref="E14">IFerror(INDEX(Papers!G$2:G$998,MATCH($A14, Papers!$A$2:$A$998,0)),"")</f>
        <v>2013</v>
      </c>
      <c r="F14" s="265" t="s">
        <v>243</v>
      </c>
      <c r="G14" s="266" t="s">
        <v>9</v>
      </c>
      <c r="H14" s="267" t="s">
        <v>416</v>
      </c>
      <c r="I14" s="282" t="s">
        <v>421</v>
      </c>
      <c r="J14" s="268" t="s">
        <v>423</v>
      </c>
      <c r="K14" s="287">
        <v>0.683</v>
      </c>
      <c r="L14" s="271">
        <v>0.623</v>
      </c>
      <c r="M14" s="271">
        <v>0.597</v>
      </c>
      <c r="N14" s="271">
        <f t="shared" si="3"/>
        <v>0.086</v>
      </c>
      <c r="O14" s="271">
        <f t="shared" si="4"/>
        <v>0.026</v>
      </c>
    </row>
    <row r="15">
      <c r="A15" s="272">
        <v>4.0</v>
      </c>
      <c r="B15" s="273" t="str">
        <f t="array" ref="B15">IFerror(INDEX(Papers!C$2:C$998,MATCH($A15, Papers!$A$2:$A$998,0)),"")</f>
        <v>Measuring Employment: Experimental Evidence from Ghana</v>
      </c>
      <c r="C15" s="273" t="str">
        <f t="array" ref="C15">IFerror(INDEX(Papers!D$2:D$998,MATCH($A15, Papers!$A$2:$A$998,0)),"")</f>
        <v>Rachel Health, Ghazala Mansuri, Bob Rijkers, William Seitz, and Dhiraj Sharma</v>
      </c>
      <c r="D15" s="274">
        <f t="array" ref="D15">IFerror(INDEX(Papers!F$2:F$998,MATCH($A15, Papers!$A$2:$A$998,0)),"")</f>
        <v>2017</v>
      </c>
      <c r="E15" s="274">
        <f t="array" ref="E15">IFerror(INDEX(Papers!G$2:G$998,MATCH($A15, Papers!$A$2:$A$998,0)),"")</f>
        <v>2013</v>
      </c>
      <c r="F15" s="274" t="s">
        <v>243</v>
      </c>
      <c r="G15" s="275" t="s">
        <v>9</v>
      </c>
      <c r="H15" s="276" t="s">
        <v>416</v>
      </c>
      <c r="I15" s="277" t="s">
        <v>419</v>
      </c>
      <c r="J15" s="278" t="s">
        <v>423</v>
      </c>
      <c r="K15" s="286">
        <v>0.683</v>
      </c>
      <c r="L15" s="281">
        <v>0.623</v>
      </c>
      <c r="M15" s="281">
        <v>0.597</v>
      </c>
      <c r="N15" s="281">
        <f t="shared" si="3"/>
        <v>0.086</v>
      </c>
      <c r="O15" s="281">
        <f t="shared" si="4"/>
        <v>0.026</v>
      </c>
    </row>
    <row r="16">
      <c r="A16" s="263">
        <v>4.0</v>
      </c>
      <c r="B16" s="264" t="str">
        <f t="array" ref="B16">IFerror(INDEX(Papers!C$2:C$998,MATCH($A16, Papers!$A$2:$A$998,0)),"")</f>
        <v>Measuring Employment: Experimental Evidence from Ghana</v>
      </c>
      <c r="C16" s="264" t="str">
        <f t="array" ref="C16">IFerror(INDEX(Papers!D$2:D$998,MATCH($A16, Papers!$A$2:$A$998,0)),"")</f>
        <v>Rachel Health, Ghazala Mansuri, Bob Rijkers, William Seitz, and Dhiraj Sharma</v>
      </c>
      <c r="D16" s="265">
        <f t="array" ref="D16">IFerror(INDEX(Papers!F$2:F$998,MATCH($A16, Papers!$A$2:$A$998,0)),"")</f>
        <v>2017</v>
      </c>
      <c r="E16" s="265">
        <f t="array" ref="E16">IFerror(INDEX(Papers!G$2:G$998,MATCH($A16, Papers!$A$2:$A$998,0)),"")</f>
        <v>2013</v>
      </c>
      <c r="F16" s="265" t="s">
        <v>243</v>
      </c>
      <c r="G16" s="266" t="s">
        <v>9</v>
      </c>
      <c r="H16" s="267" t="s">
        <v>416</v>
      </c>
      <c r="I16" s="282"/>
      <c r="J16" s="268" t="s">
        <v>423</v>
      </c>
      <c r="K16" s="285">
        <v>0.683</v>
      </c>
      <c r="L16" s="285"/>
      <c r="M16" s="271">
        <v>0.623</v>
      </c>
      <c r="N16" s="271"/>
      <c r="O16" s="271"/>
    </row>
    <row r="17">
      <c r="A17" s="272">
        <v>4.0</v>
      </c>
      <c r="B17" s="273" t="str">
        <f t="array" ref="B17">IFerror(INDEX(Papers!C$2:C$998,MATCH($A17, Papers!$A$2:$A$998,0)),"")</f>
        <v>Measuring Employment: Experimental Evidence from Ghana</v>
      </c>
      <c r="C17" s="273" t="str">
        <f t="array" ref="C17">IFerror(INDEX(Papers!D$2:D$998,MATCH($A17, Papers!$A$2:$A$998,0)),"")</f>
        <v>Rachel Health, Ghazala Mansuri, Bob Rijkers, William Seitz, and Dhiraj Sharma</v>
      </c>
      <c r="D17" s="274">
        <f t="array" ref="D17">IFerror(INDEX(Papers!F$2:F$998,MATCH($A17, Papers!$A$2:$A$998,0)),"")</f>
        <v>2017</v>
      </c>
      <c r="E17" s="274">
        <f t="array" ref="E17">IFerror(INDEX(Papers!G$2:G$998,MATCH($A17, Papers!$A$2:$A$998,0)),"")</f>
        <v>2013</v>
      </c>
      <c r="F17" s="274" t="s">
        <v>243</v>
      </c>
      <c r="G17" s="275" t="s">
        <v>9</v>
      </c>
      <c r="H17" s="276" t="s">
        <v>416</v>
      </c>
      <c r="I17" s="277" t="s">
        <v>419</v>
      </c>
      <c r="J17" s="278" t="s">
        <v>424</v>
      </c>
      <c r="K17" s="288">
        <f t="shared" ref="K17:K21" si="5">1-0.431</f>
        <v>0.569</v>
      </c>
      <c r="L17" s="288">
        <v>0.597</v>
      </c>
      <c r="M17" s="281">
        <v>0.596</v>
      </c>
      <c r="N17" s="281">
        <f t="shared" ref="N17:N20" si="6">if(AND(K17&lt;&gt;0,M17&lt;&gt;0),K17-M17,"")</f>
        <v>-0.027</v>
      </c>
      <c r="O17" s="281">
        <f t="shared" ref="O17:O20" si="7">if(AND(L17&lt;&gt;0,M17&lt;&gt;0),L17-M17,"")</f>
        <v>0.001</v>
      </c>
    </row>
    <row r="18">
      <c r="A18" s="263">
        <v>4.0</v>
      </c>
      <c r="B18" s="264" t="str">
        <f t="array" ref="B18">IFerror(INDEX(Papers!C$2:C$998,MATCH($A18, Papers!$A$2:$A$998,0)),"")</f>
        <v>Measuring Employment: Experimental Evidence from Ghana</v>
      </c>
      <c r="C18" s="264" t="str">
        <f t="array" ref="C18">IFerror(INDEX(Papers!D$2:D$998,MATCH($A18, Papers!$A$2:$A$998,0)),"")</f>
        <v>Rachel Health, Ghazala Mansuri, Bob Rijkers, William Seitz, and Dhiraj Sharma</v>
      </c>
      <c r="D18" s="265">
        <f t="array" ref="D18">IFerror(INDEX(Papers!F$2:F$998,MATCH($A18, Papers!$A$2:$A$998,0)),"")</f>
        <v>2017</v>
      </c>
      <c r="E18" s="265">
        <f t="array" ref="E18">IFerror(INDEX(Papers!G$2:G$998,MATCH($A18, Papers!$A$2:$A$998,0)),"")</f>
        <v>2013</v>
      </c>
      <c r="F18" s="265" t="s">
        <v>243</v>
      </c>
      <c r="G18" s="266" t="s">
        <v>9</v>
      </c>
      <c r="H18" s="267" t="s">
        <v>416</v>
      </c>
      <c r="I18" s="282" t="s">
        <v>420</v>
      </c>
      <c r="J18" s="268" t="s">
        <v>424</v>
      </c>
      <c r="K18" s="285">
        <f t="shared" si="5"/>
        <v>0.569</v>
      </c>
      <c r="L18" s="285">
        <v>0.597</v>
      </c>
      <c r="M18" s="271">
        <v>0.5945</v>
      </c>
      <c r="N18" s="271">
        <f t="shared" si="6"/>
        <v>-0.0255</v>
      </c>
      <c r="O18" s="271">
        <f t="shared" si="7"/>
        <v>0.0025</v>
      </c>
    </row>
    <row r="19">
      <c r="A19" s="272">
        <v>4.0</v>
      </c>
      <c r="B19" s="273" t="str">
        <f t="array" ref="B19">IFerror(INDEX(Papers!C$2:C$998,MATCH($A19, Papers!$A$2:$A$998,0)),"")</f>
        <v>Measuring Employment: Experimental Evidence from Ghana</v>
      </c>
      <c r="C19" s="273" t="str">
        <f t="array" ref="C19">IFerror(INDEX(Papers!D$2:D$998,MATCH($A19, Papers!$A$2:$A$998,0)),"")</f>
        <v>Rachel Health, Ghazala Mansuri, Bob Rijkers, William Seitz, and Dhiraj Sharma</v>
      </c>
      <c r="D19" s="274">
        <f t="array" ref="D19">IFerror(INDEX(Papers!F$2:F$998,MATCH($A19, Papers!$A$2:$A$998,0)),"")</f>
        <v>2017</v>
      </c>
      <c r="E19" s="274">
        <f t="array" ref="E19">IFerror(INDEX(Papers!G$2:G$998,MATCH($A19, Papers!$A$2:$A$998,0)),"")</f>
        <v>2013</v>
      </c>
      <c r="F19" s="274" t="s">
        <v>243</v>
      </c>
      <c r="G19" s="275" t="s">
        <v>9</v>
      </c>
      <c r="H19" s="276" t="s">
        <v>416</v>
      </c>
      <c r="I19" s="277" t="s">
        <v>421</v>
      </c>
      <c r="J19" s="278" t="s">
        <v>424</v>
      </c>
      <c r="K19" s="288">
        <f t="shared" si="5"/>
        <v>0.569</v>
      </c>
      <c r="L19" s="288">
        <v>0.597</v>
      </c>
      <c r="M19" s="281">
        <v>0.594</v>
      </c>
      <c r="N19" s="281">
        <f t="shared" si="6"/>
        <v>-0.025</v>
      </c>
      <c r="O19" s="281">
        <f t="shared" si="7"/>
        <v>0.003</v>
      </c>
    </row>
    <row r="20">
      <c r="A20" s="263">
        <v>4.0</v>
      </c>
      <c r="B20" s="264" t="str">
        <f t="array" ref="B20">IFerror(INDEX(Papers!C$2:C$998,MATCH($A20, Papers!$A$2:$A$998,0)),"")</f>
        <v>Measuring Employment: Experimental Evidence from Ghana</v>
      </c>
      <c r="C20" s="264" t="str">
        <f t="array" ref="C20">IFerror(INDEX(Papers!D$2:D$998,MATCH($A20, Papers!$A$2:$A$998,0)),"")</f>
        <v>Rachel Health, Ghazala Mansuri, Bob Rijkers, William Seitz, and Dhiraj Sharma</v>
      </c>
      <c r="D20" s="265">
        <f t="array" ref="D20">IFerror(INDEX(Papers!F$2:F$998,MATCH($A20, Papers!$A$2:$A$998,0)),"")</f>
        <v>2017</v>
      </c>
      <c r="E20" s="265">
        <f t="array" ref="E20">IFerror(INDEX(Papers!G$2:G$998,MATCH($A20, Papers!$A$2:$A$998,0)),"")</f>
        <v>2013</v>
      </c>
      <c r="F20" s="265" t="s">
        <v>243</v>
      </c>
      <c r="G20" s="266" t="s">
        <v>9</v>
      </c>
      <c r="H20" s="267" t="s">
        <v>416</v>
      </c>
      <c r="I20" s="267" t="s">
        <v>417</v>
      </c>
      <c r="J20" s="268" t="s">
        <v>424</v>
      </c>
      <c r="K20" s="285">
        <f t="shared" si="5"/>
        <v>0.569</v>
      </c>
      <c r="L20" s="285">
        <v>0.597</v>
      </c>
      <c r="M20" s="271">
        <v>0.571</v>
      </c>
      <c r="N20" s="271">
        <f t="shared" si="6"/>
        <v>-0.002</v>
      </c>
      <c r="O20" s="271">
        <f t="shared" si="7"/>
        <v>0.026</v>
      </c>
    </row>
    <row r="21">
      <c r="A21" s="272">
        <v>4.0</v>
      </c>
      <c r="B21" s="273" t="str">
        <f t="array" ref="B21">IFerror(INDEX(Papers!C$2:C$998,MATCH($A21, Papers!$A$2:$A$998,0)),"")</f>
        <v>Measuring Employment: Experimental Evidence from Ghana</v>
      </c>
      <c r="C21" s="273" t="str">
        <f t="array" ref="C21">IFerror(INDEX(Papers!D$2:D$998,MATCH($A21, Papers!$A$2:$A$998,0)),"")</f>
        <v>Rachel Health, Ghazala Mansuri, Bob Rijkers, William Seitz, and Dhiraj Sharma</v>
      </c>
      <c r="D21" s="274">
        <f t="array" ref="D21">IFerror(INDEX(Papers!F$2:F$998,MATCH($A21, Papers!$A$2:$A$998,0)),"")</f>
        <v>2017</v>
      </c>
      <c r="E21" s="274">
        <f t="array" ref="E21">IFerror(INDEX(Papers!G$2:G$998,MATCH($A21, Papers!$A$2:$A$998,0)),"")</f>
        <v>2013</v>
      </c>
      <c r="F21" s="274" t="s">
        <v>243</v>
      </c>
      <c r="G21" s="275" t="s">
        <v>9</v>
      </c>
      <c r="H21" s="276" t="s">
        <v>416</v>
      </c>
      <c r="I21" s="277"/>
      <c r="J21" s="278" t="s">
        <v>424</v>
      </c>
      <c r="K21" s="288">
        <f t="shared" si="5"/>
        <v>0.569</v>
      </c>
      <c r="L21" s="288"/>
      <c r="M21" s="288">
        <v>0.597</v>
      </c>
      <c r="N21" s="281"/>
      <c r="O21" s="281"/>
    </row>
    <row r="22">
      <c r="A22" s="263">
        <v>4.0</v>
      </c>
      <c r="B22" s="264" t="str">
        <f t="array" ref="B22">IFerror(INDEX(Papers!C$2:C$998,MATCH($A22, Papers!$A$2:$A$998,0)),"")</f>
        <v>Measuring Employment: Experimental Evidence from Ghana</v>
      </c>
      <c r="C22" s="264" t="str">
        <f t="array" ref="C22">IFerror(INDEX(Papers!D$2:D$998,MATCH($A22, Papers!$A$2:$A$998,0)),"")</f>
        <v>Rachel Health, Ghazala Mansuri, Bob Rijkers, William Seitz, and Dhiraj Sharma</v>
      </c>
      <c r="D22" s="265">
        <f t="array" ref="D22">IFerror(INDEX(Papers!F$2:F$998,MATCH($A22, Papers!$A$2:$A$998,0)),"")</f>
        <v>2017</v>
      </c>
      <c r="E22" s="265">
        <f t="array" ref="E22">IFerror(INDEX(Papers!G$2:G$998,MATCH($A22, Papers!$A$2:$A$998,0)),"")</f>
        <v>2013</v>
      </c>
      <c r="F22" s="265" t="s">
        <v>243</v>
      </c>
      <c r="G22" s="266" t="s">
        <v>9</v>
      </c>
      <c r="H22" s="267" t="s">
        <v>416</v>
      </c>
      <c r="I22" s="267" t="s">
        <v>417</v>
      </c>
      <c r="J22" s="268" t="s">
        <v>425</v>
      </c>
      <c r="K22" s="289"/>
      <c r="L22" s="269">
        <v>30.891</v>
      </c>
      <c r="M22" s="270">
        <v>32.165</v>
      </c>
      <c r="N22" s="271" t="str">
        <f t="shared" ref="N22:N126" si="8">if(AND(K22&lt;&gt;0,M22&lt;&gt;0),K22-M22,"")</f>
        <v/>
      </c>
      <c r="O22" s="271">
        <f t="shared" ref="O22:O35" si="9">if(AND(L22&lt;&gt;0,M22&lt;&gt;0),L22-M22,"")</f>
        <v>-1.274</v>
      </c>
    </row>
    <row r="23">
      <c r="A23" s="272">
        <v>4.0</v>
      </c>
      <c r="B23" s="273" t="str">
        <f t="array" ref="B23">IFerror(INDEX(Papers!C$2:C$998,MATCH($A23, Papers!$A$2:$A$998,0)),"")</f>
        <v>Measuring Employment: Experimental Evidence from Ghana</v>
      </c>
      <c r="C23" s="273" t="str">
        <f t="array" ref="C23">IFerror(INDEX(Papers!D$2:D$998,MATCH($A23, Papers!$A$2:$A$998,0)),"")</f>
        <v>Rachel Health, Ghazala Mansuri, Bob Rijkers, William Seitz, and Dhiraj Sharma</v>
      </c>
      <c r="D23" s="274">
        <f t="array" ref="D23">IFerror(INDEX(Papers!F$2:F$998,MATCH($A23, Papers!$A$2:$A$998,0)),"")</f>
        <v>2017</v>
      </c>
      <c r="E23" s="274">
        <f t="array" ref="E23">IFerror(INDEX(Papers!G$2:G$998,MATCH($A23, Papers!$A$2:$A$998,0)),"")</f>
        <v>2013</v>
      </c>
      <c r="F23" s="274" t="s">
        <v>243</v>
      </c>
      <c r="G23" s="275" t="s">
        <v>9</v>
      </c>
      <c r="H23" s="276" t="s">
        <v>416</v>
      </c>
      <c r="I23" s="277" t="s">
        <v>420</v>
      </c>
      <c r="J23" s="278" t="s">
        <v>425</v>
      </c>
      <c r="K23" s="286"/>
      <c r="L23" s="279">
        <v>30.891</v>
      </c>
      <c r="M23" s="280">
        <v>29.837999999999997</v>
      </c>
      <c r="N23" s="281" t="str">
        <f t="shared" si="8"/>
        <v/>
      </c>
      <c r="O23" s="281">
        <f t="shared" si="9"/>
        <v>1.053</v>
      </c>
    </row>
    <row r="24">
      <c r="A24" s="263">
        <v>4.0</v>
      </c>
      <c r="B24" s="264" t="str">
        <f t="array" ref="B24">IFerror(INDEX(Papers!C$2:C$998,MATCH($A24, Papers!$A$2:$A$998,0)),"")</f>
        <v>Measuring Employment: Experimental Evidence from Ghana</v>
      </c>
      <c r="C24" s="264" t="str">
        <f t="array" ref="C24">IFerror(INDEX(Papers!D$2:D$998,MATCH($A24, Papers!$A$2:$A$998,0)),"")</f>
        <v>Rachel Health, Ghazala Mansuri, Bob Rijkers, William Seitz, and Dhiraj Sharma</v>
      </c>
      <c r="D24" s="265">
        <f t="array" ref="D24">IFerror(INDEX(Papers!F$2:F$998,MATCH($A24, Papers!$A$2:$A$998,0)),"")</f>
        <v>2017</v>
      </c>
      <c r="E24" s="265">
        <f t="array" ref="E24">IFerror(INDEX(Papers!G$2:G$998,MATCH($A24, Papers!$A$2:$A$998,0)),"")</f>
        <v>2013</v>
      </c>
      <c r="F24" s="265" t="s">
        <v>243</v>
      </c>
      <c r="G24" s="266" t="s">
        <v>9</v>
      </c>
      <c r="H24" s="267" t="s">
        <v>416</v>
      </c>
      <c r="I24" s="282" t="s">
        <v>421</v>
      </c>
      <c r="J24" s="268" t="s">
        <v>425</v>
      </c>
      <c r="K24" s="287"/>
      <c r="L24" s="269">
        <v>30.891</v>
      </c>
      <c r="M24" s="270">
        <v>27.191</v>
      </c>
      <c r="N24" s="271" t="str">
        <f t="shared" si="8"/>
        <v/>
      </c>
      <c r="O24" s="271">
        <f t="shared" si="9"/>
        <v>3.7</v>
      </c>
    </row>
    <row r="25">
      <c r="A25" s="272">
        <v>4.0</v>
      </c>
      <c r="B25" s="273" t="str">
        <f t="array" ref="B25">IFerror(INDEX(Papers!C$2:C$998,MATCH($A25, Papers!$A$2:$A$998,0)),"")</f>
        <v>Measuring Employment: Experimental Evidence from Ghana</v>
      </c>
      <c r="C25" s="273" t="str">
        <f t="array" ref="C25">IFerror(INDEX(Papers!D$2:D$998,MATCH($A25, Papers!$A$2:$A$998,0)),"")</f>
        <v>Rachel Health, Ghazala Mansuri, Bob Rijkers, William Seitz, and Dhiraj Sharma</v>
      </c>
      <c r="D25" s="274">
        <f t="array" ref="D25">IFerror(INDEX(Papers!F$2:F$998,MATCH($A25, Papers!$A$2:$A$998,0)),"")</f>
        <v>2017</v>
      </c>
      <c r="E25" s="274">
        <f t="array" ref="E25">IFerror(INDEX(Papers!G$2:G$998,MATCH($A25, Papers!$A$2:$A$998,0)),"")</f>
        <v>2013</v>
      </c>
      <c r="F25" s="274" t="s">
        <v>243</v>
      </c>
      <c r="G25" s="275" t="s">
        <v>9</v>
      </c>
      <c r="H25" s="276" t="s">
        <v>416</v>
      </c>
      <c r="I25" s="277" t="s">
        <v>419</v>
      </c>
      <c r="J25" s="278" t="s">
        <v>425</v>
      </c>
      <c r="K25" s="286"/>
      <c r="L25" s="279">
        <v>30.891</v>
      </c>
      <c r="M25" s="280">
        <v>27.191</v>
      </c>
      <c r="N25" s="281" t="str">
        <f t="shared" si="8"/>
        <v/>
      </c>
      <c r="O25" s="281">
        <f t="shared" si="9"/>
        <v>3.7</v>
      </c>
    </row>
    <row r="26">
      <c r="A26" s="263">
        <v>7.0</v>
      </c>
      <c r="B26" s="264" t="str">
        <f t="array" ref="B26">IFerror(INDEX(Papers!C$2:C$998,MATCH($A26, Papers!$A$2:$A$998,0)),"")</f>
        <v>The Socio-Economic Impacts of Ebola in Liberia : Results from a High Frequency Cell Phone Survey Round Five.”</v>
      </c>
      <c r="C26" s="264" t="str">
        <f t="array" ref="C26">IFerror(INDEX(Papers!D$2:D$998,MATCH($A26, Papers!$A$2:$A$998,0)),"")</f>
        <v>Kristen Himelein Kastelic and Jonathan Kastelic</v>
      </c>
      <c r="D26" s="265">
        <f t="array" ref="D26">IFerror(INDEX(Papers!F$2:F$998,MATCH($A26, Papers!$A$2:$A$998,0)),"")</f>
        <v>2015</v>
      </c>
      <c r="E26" s="265">
        <f t="array" ref="E26">IFerror(INDEX(Papers!G$2:G$998,MATCH($A26, Papers!$A$2:$A$998,0)),"")</f>
        <v>2014</v>
      </c>
      <c r="F26" s="265" t="s">
        <v>246</v>
      </c>
      <c r="G26" s="266" t="s">
        <v>9</v>
      </c>
      <c r="H26" s="282" t="s">
        <v>426</v>
      </c>
      <c r="I26" s="282"/>
      <c r="J26" s="268" t="s">
        <v>427</v>
      </c>
      <c r="K26" s="285">
        <v>0.562</v>
      </c>
      <c r="L26" s="271"/>
      <c r="M26" s="271">
        <v>0.715</v>
      </c>
      <c r="N26" s="271">
        <f t="shared" si="8"/>
        <v>-0.153</v>
      </c>
      <c r="O26" s="271" t="str">
        <f t="shared" si="9"/>
        <v/>
      </c>
    </row>
    <row r="27">
      <c r="A27" s="272">
        <v>9.0</v>
      </c>
      <c r="B27" s="273" t="str">
        <f t="array" ref="B27">IFerror(INDEX(Papers!C$2:C$998,MATCH($A27, Papers!$A$2:$A$998,0)),"")</f>
        <v>In Search of the Optimal Mode for Mobile Phone Surveys in Developing Countries. A Comparison of IVR, SMS, and CATI in Nigeria</v>
      </c>
      <c r="C27" s="273" t="str">
        <f t="array" ref="C27">IFerror(INDEX(Papers!D$2:D$998,MATCH($A27, Papers!$A$2:$A$998,0)),"")</f>
        <v>Charles Lau, Alexandra Cronberg, Leenisha Marks, and Ashley Amaya</v>
      </c>
      <c r="D27" s="274">
        <f t="array" ref="D27">IFerror(INDEX(Papers!F$2:F$998,MATCH($A27, Papers!$A$2:$A$998,0)),"")</f>
        <v>2019</v>
      </c>
      <c r="E27" s="275">
        <v>2017.0</v>
      </c>
      <c r="F27" s="274" t="s">
        <v>251</v>
      </c>
      <c r="G27" s="275" t="s">
        <v>10</v>
      </c>
      <c r="H27" s="277" t="s">
        <v>293</v>
      </c>
      <c r="I27" s="277"/>
      <c r="J27" s="278" t="s">
        <v>428</v>
      </c>
      <c r="K27" s="288">
        <v>0.4</v>
      </c>
      <c r="L27" s="281"/>
      <c r="M27" s="281">
        <v>0.65</v>
      </c>
      <c r="N27" s="281">
        <f t="shared" si="8"/>
        <v>-0.25</v>
      </c>
      <c r="O27" s="281" t="str">
        <f t="shared" si="9"/>
        <v/>
      </c>
    </row>
    <row r="28">
      <c r="A28" s="263">
        <v>9.0</v>
      </c>
      <c r="B28" s="264" t="str">
        <f t="array" ref="B28">IFerror(INDEX(Papers!C$2:C$998,MATCH($A28, Papers!$A$2:$A$998,0)),"")</f>
        <v>In Search of the Optimal Mode for Mobile Phone Surveys in Developing Countries. A Comparison of IVR, SMS, and CATI in Nigeria</v>
      </c>
      <c r="C28" s="264" t="str">
        <f t="array" ref="C28">IFerror(INDEX(Papers!D$2:D$998,MATCH($A28, Papers!$A$2:$A$998,0)),"")</f>
        <v>Charles Lau, Alexandra Cronberg, Leenisha Marks, and Ashley Amaya</v>
      </c>
      <c r="D28" s="265">
        <f t="array" ref="D28">IFerror(INDEX(Papers!F$2:F$998,MATCH($A28, Papers!$A$2:$A$998,0)),"")</f>
        <v>2019</v>
      </c>
      <c r="E28" s="266">
        <v>2017.0</v>
      </c>
      <c r="F28" s="265" t="s">
        <v>251</v>
      </c>
      <c r="G28" s="266" t="s">
        <v>11</v>
      </c>
      <c r="H28" s="282" t="s">
        <v>293</v>
      </c>
      <c r="I28" s="282"/>
      <c r="J28" s="268" t="s">
        <v>428</v>
      </c>
      <c r="K28" s="285">
        <v>0.4</v>
      </c>
      <c r="L28" s="271"/>
      <c r="M28" s="271">
        <v>0.62</v>
      </c>
      <c r="N28" s="271">
        <f t="shared" si="8"/>
        <v>-0.22</v>
      </c>
      <c r="O28" s="271" t="str">
        <f t="shared" si="9"/>
        <v/>
      </c>
    </row>
    <row r="29">
      <c r="A29" s="272">
        <v>9.0</v>
      </c>
      <c r="B29" s="273" t="str">
        <f t="array" ref="B29">IFerror(INDEX(Papers!C$2:C$998,MATCH($A29, Papers!$A$2:$A$998,0)),"")</f>
        <v>In Search of the Optimal Mode for Mobile Phone Surveys in Developing Countries. A Comparison of IVR, SMS, and CATI in Nigeria</v>
      </c>
      <c r="C29" s="273" t="str">
        <f t="array" ref="C29">IFerror(INDEX(Papers!D$2:D$998,MATCH($A29, Papers!$A$2:$A$998,0)),"")</f>
        <v>Charles Lau, Alexandra Cronberg, Leenisha Marks, and Ashley Amaya</v>
      </c>
      <c r="D29" s="274">
        <f t="array" ref="D29">IFerror(INDEX(Papers!F$2:F$998,MATCH($A29, Papers!$A$2:$A$998,0)),"")</f>
        <v>2019</v>
      </c>
      <c r="E29" s="275">
        <v>2016.0</v>
      </c>
      <c r="F29" s="274" t="s">
        <v>251</v>
      </c>
      <c r="G29" s="275" t="s">
        <v>9</v>
      </c>
      <c r="H29" s="277" t="s">
        <v>293</v>
      </c>
      <c r="I29" s="277"/>
      <c r="J29" s="278" t="s">
        <v>428</v>
      </c>
      <c r="K29" s="288">
        <v>0.4</v>
      </c>
      <c r="L29" s="281"/>
      <c r="M29" s="281">
        <v>0.54</v>
      </c>
      <c r="N29" s="281">
        <f t="shared" si="8"/>
        <v>-0.14</v>
      </c>
      <c r="O29" s="281" t="str">
        <f t="shared" si="9"/>
        <v/>
      </c>
    </row>
    <row r="30">
      <c r="A30" s="263">
        <v>9.0</v>
      </c>
      <c r="B30" s="264" t="str">
        <f t="array" ref="B30">IFerror(INDEX(Papers!C$2:C$998,MATCH($A30, Papers!$A$2:$A$998,0)),"")</f>
        <v>In Search of the Optimal Mode for Mobile Phone Surveys in Developing Countries. A Comparison of IVR, SMS, and CATI in Nigeria</v>
      </c>
      <c r="C30" s="264" t="str">
        <f t="array" ref="C30">IFerror(INDEX(Papers!D$2:D$998,MATCH($A30, Papers!$A$2:$A$998,0)),"")</f>
        <v>Charles Lau, Alexandra Cronberg, Leenisha Marks, and Ashley Amaya</v>
      </c>
      <c r="D30" s="265">
        <f t="array" ref="D30">IFerror(INDEX(Papers!F$2:F$998,MATCH($A30, Papers!$A$2:$A$998,0)),"")</f>
        <v>2019</v>
      </c>
      <c r="E30" s="266">
        <v>2016.0</v>
      </c>
      <c r="F30" s="265" t="s">
        <v>251</v>
      </c>
      <c r="G30" s="266" t="s">
        <v>9</v>
      </c>
      <c r="H30" s="282" t="s">
        <v>293</v>
      </c>
      <c r="I30" s="282"/>
      <c r="J30" s="268" t="s">
        <v>429</v>
      </c>
      <c r="K30" s="285">
        <v>0.25</v>
      </c>
      <c r="L30" s="271"/>
      <c r="M30" s="271">
        <v>0.27</v>
      </c>
      <c r="N30" s="271">
        <f t="shared" si="8"/>
        <v>-0.02</v>
      </c>
      <c r="O30" s="271" t="str">
        <f t="shared" si="9"/>
        <v/>
      </c>
    </row>
    <row r="31">
      <c r="A31" s="272">
        <v>9.0</v>
      </c>
      <c r="B31" s="273" t="str">
        <f t="array" ref="B31">IFerror(INDEX(Papers!C$2:C$998,MATCH($A31, Papers!$A$2:$A$998,0)),"")</f>
        <v>In Search of the Optimal Mode for Mobile Phone Surveys in Developing Countries. A Comparison of IVR, SMS, and CATI in Nigeria</v>
      </c>
      <c r="C31" s="273" t="str">
        <f t="array" ref="C31">IFerror(INDEX(Papers!D$2:D$998,MATCH($A31, Papers!$A$2:$A$998,0)),"")</f>
        <v>Charles Lau, Alexandra Cronberg, Leenisha Marks, and Ashley Amaya</v>
      </c>
      <c r="D31" s="274">
        <f t="array" ref="D31">IFerror(INDEX(Papers!F$2:F$998,MATCH($A31, Papers!$A$2:$A$998,0)),"")</f>
        <v>2019</v>
      </c>
      <c r="E31" s="275">
        <v>2017.0</v>
      </c>
      <c r="F31" s="274" t="s">
        <v>251</v>
      </c>
      <c r="G31" s="275" t="s">
        <v>11</v>
      </c>
      <c r="H31" s="277" t="s">
        <v>293</v>
      </c>
      <c r="I31" s="277"/>
      <c r="J31" s="278" t="s">
        <v>429</v>
      </c>
      <c r="K31" s="288">
        <v>0.25</v>
      </c>
      <c r="L31" s="281"/>
      <c r="M31" s="281">
        <v>0.27</v>
      </c>
      <c r="N31" s="281">
        <f t="shared" si="8"/>
        <v>-0.02</v>
      </c>
      <c r="O31" s="281" t="str">
        <f t="shared" si="9"/>
        <v/>
      </c>
    </row>
    <row r="32">
      <c r="A32" s="263">
        <v>9.0</v>
      </c>
      <c r="B32" s="264" t="str">
        <f t="array" ref="B32">IFerror(INDEX(Papers!C$2:C$998,MATCH($A32, Papers!$A$2:$A$998,0)),"")</f>
        <v>In Search of the Optimal Mode for Mobile Phone Surveys in Developing Countries. A Comparison of IVR, SMS, and CATI in Nigeria</v>
      </c>
      <c r="C32" s="264" t="str">
        <f t="array" ref="C32">IFerror(INDEX(Papers!D$2:D$998,MATCH($A32, Papers!$A$2:$A$998,0)),"")</f>
        <v>Charles Lau, Alexandra Cronberg, Leenisha Marks, and Ashley Amaya</v>
      </c>
      <c r="D32" s="265">
        <f t="array" ref="D32">IFerror(INDEX(Papers!F$2:F$998,MATCH($A32, Papers!$A$2:$A$998,0)),"")</f>
        <v>2019</v>
      </c>
      <c r="E32" s="266">
        <v>2017.0</v>
      </c>
      <c r="F32" s="265" t="s">
        <v>251</v>
      </c>
      <c r="G32" s="266" t="s">
        <v>10</v>
      </c>
      <c r="H32" s="282" t="s">
        <v>293</v>
      </c>
      <c r="I32" s="282"/>
      <c r="J32" s="268" t="s">
        <v>429</v>
      </c>
      <c r="K32" s="285">
        <v>0.25</v>
      </c>
      <c r="L32" s="271"/>
      <c r="M32" s="271">
        <v>0.23</v>
      </c>
      <c r="N32" s="271">
        <f t="shared" si="8"/>
        <v>0.02</v>
      </c>
      <c r="O32" s="271" t="str">
        <f t="shared" si="9"/>
        <v/>
      </c>
    </row>
    <row r="33">
      <c r="A33" s="272">
        <v>9.0</v>
      </c>
      <c r="B33" s="273" t="str">
        <f t="array" ref="B33">IFerror(INDEX(Papers!C$2:C$998,MATCH($A33, Papers!$A$2:$A$998,0)),"")</f>
        <v>In Search of the Optimal Mode for Mobile Phone Surveys in Developing Countries. A Comparison of IVR, SMS, and CATI in Nigeria</v>
      </c>
      <c r="C33" s="273" t="str">
        <f t="array" ref="C33">IFerror(INDEX(Papers!D$2:D$998,MATCH($A33, Papers!$A$2:$A$998,0)),"")</f>
        <v>Charles Lau, Alexandra Cronberg, Leenisha Marks, and Ashley Amaya</v>
      </c>
      <c r="D33" s="274">
        <f t="array" ref="D33">IFerror(INDEX(Papers!F$2:F$998,MATCH($A33, Papers!$A$2:$A$998,0)),"")</f>
        <v>2019</v>
      </c>
      <c r="E33" s="275">
        <v>2016.0</v>
      </c>
      <c r="F33" s="274" t="s">
        <v>251</v>
      </c>
      <c r="G33" s="275" t="s">
        <v>9</v>
      </c>
      <c r="H33" s="277" t="s">
        <v>293</v>
      </c>
      <c r="I33" s="277"/>
      <c r="J33" s="278" t="s">
        <v>430</v>
      </c>
      <c r="K33" s="288">
        <v>0.18</v>
      </c>
      <c r="L33" s="281"/>
      <c r="M33" s="281">
        <v>0.12</v>
      </c>
      <c r="N33" s="281">
        <f t="shared" si="8"/>
        <v>0.06</v>
      </c>
      <c r="O33" s="281" t="str">
        <f t="shared" si="9"/>
        <v/>
      </c>
    </row>
    <row r="34">
      <c r="A34" s="263">
        <v>9.0</v>
      </c>
      <c r="B34" s="264" t="str">
        <f t="array" ref="B34">IFerror(INDEX(Papers!C$2:C$998,MATCH($A34, Papers!$A$2:$A$998,0)),"")</f>
        <v>In Search of the Optimal Mode for Mobile Phone Surveys in Developing Countries. A Comparison of IVR, SMS, and CATI in Nigeria</v>
      </c>
      <c r="C34" s="264" t="str">
        <f t="array" ref="C34">IFerror(INDEX(Papers!D$2:D$998,MATCH($A34, Papers!$A$2:$A$998,0)),"")</f>
        <v>Charles Lau, Alexandra Cronberg, Leenisha Marks, and Ashley Amaya</v>
      </c>
      <c r="D34" s="265">
        <f t="array" ref="D34">IFerror(INDEX(Papers!F$2:F$998,MATCH($A34, Papers!$A$2:$A$998,0)),"")</f>
        <v>2019</v>
      </c>
      <c r="E34" s="266">
        <v>2017.0</v>
      </c>
      <c r="F34" s="265" t="s">
        <v>251</v>
      </c>
      <c r="G34" s="266" t="s">
        <v>10</v>
      </c>
      <c r="H34" s="282" t="s">
        <v>293</v>
      </c>
      <c r="I34" s="282"/>
      <c r="J34" s="268" t="s">
        <v>430</v>
      </c>
      <c r="K34" s="285">
        <v>0.18</v>
      </c>
      <c r="L34" s="271"/>
      <c r="M34" s="271">
        <v>0.09</v>
      </c>
      <c r="N34" s="271">
        <f t="shared" si="8"/>
        <v>0.09</v>
      </c>
      <c r="O34" s="271" t="str">
        <f t="shared" si="9"/>
        <v/>
      </c>
    </row>
    <row r="35">
      <c r="A35" s="272">
        <v>9.0</v>
      </c>
      <c r="B35" s="273" t="str">
        <f t="array" ref="B35">IFerror(INDEX(Papers!C$2:C$998,MATCH($A35, Papers!$A$2:$A$998,0)),"")</f>
        <v>In Search of the Optimal Mode for Mobile Phone Surveys in Developing Countries. A Comparison of IVR, SMS, and CATI in Nigeria</v>
      </c>
      <c r="C35" s="273" t="str">
        <f t="array" ref="C35">IFerror(INDEX(Papers!D$2:D$998,MATCH($A35, Papers!$A$2:$A$998,0)),"")</f>
        <v>Charles Lau, Alexandra Cronberg, Leenisha Marks, and Ashley Amaya</v>
      </c>
      <c r="D35" s="274">
        <f t="array" ref="D35">IFerror(INDEX(Papers!F$2:F$998,MATCH($A35, Papers!$A$2:$A$998,0)),"")</f>
        <v>2019</v>
      </c>
      <c r="E35" s="275">
        <v>2017.0</v>
      </c>
      <c r="F35" s="274" t="s">
        <v>251</v>
      </c>
      <c r="G35" s="275" t="s">
        <v>11</v>
      </c>
      <c r="H35" s="277" t="s">
        <v>293</v>
      </c>
      <c r="I35" s="277"/>
      <c r="J35" s="278" t="s">
        <v>430</v>
      </c>
      <c r="K35" s="288">
        <v>0.18</v>
      </c>
      <c r="L35" s="281"/>
      <c r="M35" s="288">
        <v>0.08</v>
      </c>
      <c r="N35" s="281">
        <f t="shared" si="8"/>
        <v>0.1</v>
      </c>
      <c r="O35" s="281" t="str">
        <f t="shared" si="9"/>
        <v/>
      </c>
    </row>
    <row r="36">
      <c r="A36" s="290">
        <v>9.0</v>
      </c>
      <c r="B36" s="264" t="str">
        <f t="array" ref="B36">IFerror(INDEX(Papers!C$2:C$998,MATCH($A36, Papers!$A$2:$A$998,0)),"")</f>
        <v>In Search of the Optimal Mode for Mobile Phone Surveys in Developing Countries. A Comparison of IVR, SMS, and CATI in Nigeria</v>
      </c>
      <c r="C36" s="264" t="str">
        <f t="array" ref="C36">IFerror(INDEX(Papers!D$2:D$998,MATCH($A36, Papers!$A$2:$A$998,0)),"")</f>
        <v>Charles Lau, Alexandra Cronberg, Leenisha Marks, and Ashley Amaya</v>
      </c>
      <c r="D36" s="265">
        <f t="array" ref="D36">IFerror(INDEX(Papers!F$2:F$998,MATCH($A36, Papers!$A$2:$A$998,0)),"")</f>
        <v>2019</v>
      </c>
      <c r="E36" s="266">
        <v>2017.0</v>
      </c>
      <c r="F36" s="265" t="s">
        <v>251</v>
      </c>
      <c r="G36" s="266" t="s">
        <v>11</v>
      </c>
      <c r="H36" s="282" t="s">
        <v>293</v>
      </c>
      <c r="I36" s="282"/>
      <c r="J36" s="291" t="s">
        <v>431</v>
      </c>
      <c r="K36" s="292">
        <v>0.17</v>
      </c>
      <c r="L36" s="292"/>
      <c r="M36" s="293">
        <v>0.02</v>
      </c>
      <c r="N36" s="271">
        <f t="shared" si="8"/>
        <v>0.15</v>
      </c>
      <c r="O36" s="271"/>
    </row>
    <row r="37">
      <c r="A37" s="294">
        <v>9.0</v>
      </c>
      <c r="B37" s="273" t="str">
        <f t="array" ref="B37">IFerror(INDEX(Papers!C$2:C$998,MATCH($A37, Papers!$A$2:$A$998,0)),"")</f>
        <v>In Search of the Optimal Mode for Mobile Phone Surveys in Developing Countries. A Comparison of IVR, SMS, and CATI in Nigeria</v>
      </c>
      <c r="C37" s="273" t="str">
        <f t="array" ref="C37">IFerror(INDEX(Papers!D$2:D$998,MATCH($A37, Papers!$A$2:$A$998,0)),"")</f>
        <v>Charles Lau, Alexandra Cronberg, Leenisha Marks, and Ashley Amaya</v>
      </c>
      <c r="D37" s="274">
        <f t="array" ref="D37">IFerror(INDEX(Papers!F$2:F$998,MATCH($A37, Papers!$A$2:$A$998,0)),"")</f>
        <v>2019</v>
      </c>
      <c r="E37" s="275">
        <v>2017.0</v>
      </c>
      <c r="F37" s="274" t="s">
        <v>251</v>
      </c>
      <c r="G37" s="295" t="s">
        <v>9</v>
      </c>
      <c r="H37" s="277" t="s">
        <v>293</v>
      </c>
      <c r="I37" s="277"/>
      <c r="J37" s="296" t="s">
        <v>431</v>
      </c>
      <c r="K37" s="297">
        <v>0.17</v>
      </c>
      <c r="L37" s="297"/>
      <c r="M37" s="298">
        <v>0.07</v>
      </c>
      <c r="N37" s="281">
        <f t="shared" si="8"/>
        <v>0.1</v>
      </c>
      <c r="O37" s="281"/>
    </row>
    <row r="38">
      <c r="A38" s="290">
        <v>9.0</v>
      </c>
      <c r="B38" s="264" t="str">
        <f t="array" ref="B38">IFerror(INDEX(Papers!C$2:C$998,MATCH($A38, Papers!$A$2:$A$998,0)),"")</f>
        <v>In Search of the Optimal Mode for Mobile Phone Surveys in Developing Countries. A Comparison of IVR, SMS, and CATI in Nigeria</v>
      </c>
      <c r="C38" s="264" t="str">
        <f t="array" ref="C38">IFerror(INDEX(Papers!D$2:D$998,MATCH($A38, Papers!$A$2:$A$998,0)),"")</f>
        <v>Charles Lau, Alexandra Cronberg, Leenisha Marks, and Ashley Amaya</v>
      </c>
      <c r="D38" s="265">
        <f t="array" ref="D38">IFerror(INDEX(Papers!F$2:F$998,MATCH($A38, Papers!$A$2:$A$998,0)),"")</f>
        <v>2019</v>
      </c>
      <c r="E38" s="266">
        <v>2017.0</v>
      </c>
      <c r="F38" s="265" t="s">
        <v>251</v>
      </c>
      <c r="G38" s="299" t="s">
        <v>10</v>
      </c>
      <c r="H38" s="282" t="s">
        <v>293</v>
      </c>
      <c r="I38" s="282"/>
      <c r="J38" s="296" t="s">
        <v>432</v>
      </c>
      <c r="K38" s="297">
        <v>0.17</v>
      </c>
      <c r="L38" s="292"/>
      <c r="M38" s="293">
        <v>0.03</v>
      </c>
      <c r="N38" s="271">
        <f t="shared" si="8"/>
        <v>0.14</v>
      </c>
      <c r="O38" s="271"/>
    </row>
    <row r="39">
      <c r="A39" s="272">
        <v>9.0</v>
      </c>
      <c r="B39" s="273" t="str">
        <f t="array" ref="B39">IFerror(INDEX(Papers!C$2:C$998,MATCH($A39, Papers!$A$2:$A$998,0)),"")</f>
        <v>In Search of the Optimal Mode for Mobile Phone Surveys in Developing Countries. A Comparison of IVR, SMS, and CATI in Nigeria</v>
      </c>
      <c r="C39" s="273" t="str">
        <f t="array" ref="C39">IFerror(INDEX(Papers!D$2:D$998,MATCH($A39, Papers!$A$2:$A$998,0)),"")</f>
        <v>Charles Lau, Alexandra Cronberg, Leenisha Marks, and Ashley Amaya</v>
      </c>
      <c r="D39" s="274">
        <f t="array" ref="D39">IFerror(INDEX(Papers!F$2:F$998,MATCH($A39, Papers!$A$2:$A$998,0)),"")</f>
        <v>2019</v>
      </c>
      <c r="E39" s="275">
        <v>2017.0</v>
      </c>
      <c r="F39" s="274" t="s">
        <v>251</v>
      </c>
      <c r="G39" s="275" t="s">
        <v>11</v>
      </c>
      <c r="H39" s="277" t="s">
        <v>293</v>
      </c>
      <c r="I39" s="277"/>
      <c r="J39" s="278" t="s">
        <v>433</v>
      </c>
      <c r="K39" s="288">
        <v>0.39</v>
      </c>
      <c r="L39" s="281"/>
      <c r="M39" s="288">
        <v>0.08</v>
      </c>
      <c r="N39" s="281">
        <f t="shared" si="8"/>
        <v>0.31</v>
      </c>
      <c r="O39" s="281" t="str">
        <f t="shared" ref="O39:O50" si="10">if(AND(L39&lt;&gt;0,M39&lt;&gt;0),L39-M39,"")</f>
        <v/>
      </c>
    </row>
    <row r="40">
      <c r="A40" s="263">
        <v>9.0</v>
      </c>
      <c r="B40" s="264" t="str">
        <f t="array" ref="B40">IFerror(INDEX(Papers!C$2:C$998,MATCH($A40, Papers!$A$2:$A$998,0)),"")</f>
        <v>In Search of the Optimal Mode for Mobile Phone Surveys in Developing Countries. A Comparison of IVR, SMS, and CATI in Nigeria</v>
      </c>
      <c r="C40" s="264" t="str">
        <f t="array" ref="C40">IFerror(INDEX(Papers!D$2:D$998,MATCH($A40, Papers!$A$2:$A$998,0)),"")</f>
        <v>Charles Lau, Alexandra Cronberg, Leenisha Marks, and Ashley Amaya</v>
      </c>
      <c r="D40" s="265">
        <f t="array" ref="D40">IFerror(INDEX(Papers!F$2:F$998,MATCH($A40, Papers!$A$2:$A$998,0)),"")</f>
        <v>2019</v>
      </c>
      <c r="E40" s="266">
        <v>2016.0</v>
      </c>
      <c r="F40" s="265" t="s">
        <v>251</v>
      </c>
      <c r="G40" s="266" t="s">
        <v>9</v>
      </c>
      <c r="H40" s="282" t="s">
        <v>293</v>
      </c>
      <c r="I40" s="282"/>
      <c r="J40" s="268" t="s">
        <v>433</v>
      </c>
      <c r="K40" s="285">
        <v>0.39</v>
      </c>
      <c r="L40" s="271"/>
      <c r="M40" s="271">
        <v>0.05</v>
      </c>
      <c r="N40" s="271">
        <f t="shared" si="8"/>
        <v>0.34</v>
      </c>
      <c r="O40" s="271" t="str">
        <f t="shared" si="10"/>
        <v/>
      </c>
    </row>
    <row r="41">
      <c r="A41" s="272">
        <v>9.0</v>
      </c>
      <c r="B41" s="273" t="str">
        <f t="array" ref="B41">IFerror(INDEX(Papers!C$2:C$998,MATCH($A41, Papers!$A$2:$A$998,0)),"")</f>
        <v>In Search of the Optimal Mode for Mobile Phone Surveys in Developing Countries. A Comparison of IVR, SMS, and CATI in Nigeria</v>
      </c>
      <c r="C41" s="273" t="str">
        <f t="array" ref="C41">IFerror(INDEX(Papers!D$2:D$998,MATCH($A41, Papers!$A$2:$A$998,0)),"")</f>
        <v>Charles Lau, Alexandra Cronberg, Leenisha Marks, and Ashley Amaya</v>
      </c>
      <c r="D41" s="274">
        <f t="array" ref="D41">IFerror(INDEX(Papers!F$2:F$998,MATCH($A41, Papers!$A$2:$A$998,0)),"")</f>
        <v>2019</v>
      </c>
      <c r="E41" s="275">
        <v>2017.0</v>
      </c>
      <c r="F41" s="274" t="s">
        <v>251</v>
      </c>
      <c r="G41" s="275" t="s">
        <v>10</v>
      </c>
      <c r="H41" s="277" t="s">
        <v>293</v>
      </c>
      <c r="I41" s="277"/>
      <c r="J41" s="278" t="s">
        <v>433</v>
      </c>
      <c r="K41" s="288">
        <v>0.39</v>
      </c>
      <c r="L41" s="281"/>
      <c r="M41" s="281">
        <v>0.03</v>
      </c>
      <c r="N41" s="281">
        <f t="shared" si="8"/>
        <v>0.36</v>
      </c>
      <c r="O41" s="281" t="str">
        <f t="shared" si="10"/>
        <v/>
      </c>
    </row>
    <row r="42">
      <c r="A42" s="263">
        <v>9.0</v>
      </c>
      <c r="B42" s="264" t="str">
        <f t="array" ref="B42">IFerror(INDEX(Papers!C$2:C$998,MATCH($A42, Papers!$A$2:$A$998,0)),"")</f>
        <v>In Search of the Optimal Mode for Mobile Phone Surveys in Developing Countries. A Comparison of IVR, SMS, and CATI in Nigeria</v>
      </c>
      <c r="C42" s="264" t="str">
        <f t="array" ref="C42">IFerror(INDEX(Papers!D$2:D$998,MATCH($A42, Papers!$A$2:$A$998,0)),"")</f>
        <v>Charles Lau, Alexandra Cronberg, Leenisha Marks, and Ashley Amaya</v>
      </c>
      <c r="D42" s="265">
        <f t="array" ref="D42">IFerror(INDEX(Papers!F$2:F$998,MATCH($A42, Papers!$A$2:$A$998,0)),"")</f>
        <v>2019</v>
      </c>
      <c r="E42" s="266">
        <v>2017.0</v>
      </c>
      <c r="F42" s="265" t="s">
        <v>251</v>
      </c>
      <c r="G42" s="266" t="s">
        <v>11</v>
      </c>
      <c r="H42" s="282" t="s">
        <v>293</v>
      </c>
      <c r="I42" s="282"/>
      <c r="J42" s="268" t="s">
        <v>434</v>
      </c>
      <c r="K42" s="285">
        <v>0.26</v>
      </c>
      <c r="L42" s="271"/>
      <c r="M42" s="285">
        <v>0.11</v>
      </c>
      <c r="N42" s="271">
        <f t="shared" si="8"/>
        <v>0.15</v>
      </c>
      <c r="O42" s="271" t="str">
        <f t="shared" si="10"/>
        <v/>
      </c>
    </row>
    <row r="43">
      <c r="A43" s="272">
        <v>9.0</v>
      </c>
      <c r="B43" s="273" t="str">
        <f t="array" ref="B43">IFerror(INDEX(Papers!C$2:C$998,MATCH($A43, Papers!$A$2:$A$998,0)),"")</f>
        <v>In Search of the Optimal Mode for Mobile Phone Surveys in Developing Countries. A Comparison of IVR, SMS, and CATI in Nigeria</v>
      </c>
      <c r="C43" s="273" t="str">
        <f t="array" ref="C43">IFerror(INDEX(Papers!D$2:D$998,MATCH($A43, Papers!$A$2:$A$998,0)),"")</f>
        <v>Charles Lau, Alexandra Cronberg, Leenisha Marks, and Ashley Amaya</v>
      </c>
      <c r="D43" s="274">
        <f t="array" ref="D43">IFerror(INDEX(Papers!F$2:F$998,MATCH($A43, Papers!$A$2:$A$998,0)),"")</f>
        <v>2019</v>
      </c>
      <c r="E43" s="275">
        <v>2016.0</v>
      </c>
      <c r="F43" s="274" t="s">
        <v>251</v>
      </c>
      <c r="G43" s="275" t="s">
        <v>9</v>
      </c>
      <c r="H43" s="277" t="s">
        <v>293</v>
      </c>
      <c r="I43" s="277"/>
      <c r="J43" s="278" t="s">
        <v>434</v>
      </c>
      <c r="K43" s="288">
        <v>0.26</v>
      </c>
      <c r="L43" s="281"/>
      <c r="M43" s="281">
        <v>0.09</v>
      </c>
      <c r="N43" s="281">
        <f t="shared" si="8"/>
        <v>0.17</v>
      </c>
      <c r="O43" s="281" t="str">
        <f t="shared" si="10"/>
        <v/>
      </c>
    </row>
    <row r="44">
      <c r="A44" s="263">
        <v>9.0</v>
      </c>
      <c r="B44" s="264" t="str">
        <f t="array" ref="B44">IFerror(INDEX(Papers!C$2:C$998,MATCH($A44, Papers!$A$2:$A$998,0)),"")</f>
        <v>In Search of the Optimal Mode for Mobile Phone Surveys in Developing Countries. A Comparison of IVR, SMS, and CATI in Nigeria</v>
      </c>
      <c r="C44" s="264" t="str">
        <f t="array" ref="C44">IFerror(INDEX(Papers!D$2:D$998,MATCH($A44, Papers!$A$2:$A$998,0)),"")</f>
        <v>Charles Lau, Alexandra Cronberg, Leenisha Marks, and Ashley Amaya</v>
      </c>
      <c r="D44" s="265">
        <f t="array" ref="D44">IFerror(INDEX(Papers!F$2:F$998,MATCH($A44, Papers!$A$2:$A$998,0)),"")</f>
        <v>2019</v>
      </c>
      <c r="E44" s="266">
        <v>2017.0</v>
      </c>
      <c r="F44" s="265" t="s">
        <v>251</v>
      </c>
      <c r="G44" s="266" t="s">
        <v>10</v>
      </c>
      <c r="H44" s="282" t="s">
        <v>293</v>
      </c>
      <c r="I44" s="282"/>
      <c r="J44" s="268" t="s">
        <v>434</v>
      </c>
      <c r="K44" s="285">
        <v>0.26</v>
      </c>
      <c r="L44" s="271"/>
      <c r="M44" s="271">
        <v>0.06</v>
      </c>
      <c r="N44" s="271">
        <f t="shared" si="8"/>
        <v>0.2</v>
      </c>
      <c r="O44" s="271" t="str">
        <f t="shared" si="10"/>
        <v/>
      </c>
    </row>
    <row r="45">
      <c r="A45" s="272">
        <v>9.0</v>
      </c>
      <c r="B45" s="273" t="str">
        <f t="array" ref="B45">IFerror(INDEX(Papers!C$2:C$998,MATCH($A45, Papers!$A$2:$A$998,0)),"")</f>
        <v>In Search of the Optimal Mode for Mobile Phone Surveys in Developing Countries. A Comparison of IVR, SMS, and CATI in Nigeria</v>
      </c>
      <c r="C45" s="273" t="str">
        <f t="array" ref="C45">IFerror(INDEX(Papers!D$2:D$998,MATCH($A45, Papers!$A$2:$A$998,0)),"")</f>
        <v>Charles Lau, Alexandra Cronberg, Leenisha Marks, and Ashley Amaya</v>
      </c>
      <c r="D45" s="274">
        <f t="array" ref="D45">IFerror(INDEX(Papers!F$2:F$998,MATCH($A45, Papers!$A$2:$A$998,0)),"")</f>
        <v>2019</v>
      </c>
      <c r="E45" s="275">
        <v>2016.0</v>
      </c>
      <c r="F45" s="274" t="s">
        <v>251</v>
      </c>
      <c r="G45" s="275" t="s">
        <v>9</v>
      </c>
      <c r="H45" s="277" t="s">
        <v>293</v>
      </c>
      <c r="I45" s="277"/>
      <c r="J45" s="278" t="s">
        <v>435</v>
      </c>
      <c r="K45" s="288">
        <v>0.22</v>
      </c>
      <c r="L45" s="281"/>
      <c r="M45" s="281">
        <v>0.46</v>
      </c>
      <c r="N45" s="281">
        <f t="shared" si="8"/>
        <v>-0.24</v>
      </c>
      <c r="O45" s="281" t="str">
        <f t="shared" si="10"/>
        <v/>
      </c>
    </row>
    <row r="46">
      <c r="A46" s="263">
        <v>9.0</v>
      </c>
      <c r="B46" s="264" t="str">
        <f t="array" ref="B46">IFerror(INDEX(Papers!C$2:C$998,MATCH($A46, Papers!$A$2:$A$998,0)),"")</f>
        <v>In Search of the Optimal Mode for Mobile Phone Surveys in Developing Countries. A Comparison of IVR, SMS, and CATI in Nigeria</v>
      </c>
      <c r="C46" s="264" t="str">
        <f t="array" ref="C46">IFerror(INDEX(Papers!D$2:D$998,MATCH($A46, Papers!$A$2:$A$998,0)),"")</f>
        <v>Charles Lau, Alexandra Cronberg, Leenisha Marks, and Ashley Amaya</v>
      </c>
      <c r="D46" s="265">
        <f t="array" ref="D46">IFerror(INDEX(Papers!F$2:F$998,MATCH($A46, Papers!$A$2:$A$998,0)),"")</f>
        <v>2019</v>
      </c>
      <c r="E46" s="266">
        <v>2017.0</v>
      </c>
      <c r="F46" s="265" t="s">
        <v>251</v>
      </c>
      <c r="G46" s="266" t="s">
        <v>10</v>
      </c>
      <c r="H46" s="282" t="s">
        <v>293</v>
      </c>
      <c r="I46" s="282"/>
      <c r="J46" s="268" t="s">
        <v>435</v>
      </c>
      <c r="K46" s="285">
        <v>0.22</v>
      </c>
      <c r="L46" s="271"/>
      <c r="M46" s="271">
        <v>0.41</v>
      </c>
      <c r="N46" s="271">
        <f t="shared" si="8"/>
        <v>-0.19</v>
      </c>
      <c r="O46" s="271" t="str">
        <f t="shared" si="10"/>
        <v/>
      </c>
    </row>
    <row r="47">
      <c r="A47" s="272">
        <v>9.0</v>
      </c>
      <c r="B47" s="273" t="str">
        <f t="array" ref="B47">IFerror(INDEX(Papers!C$2:C$998,MATCH($A47, Papers!$A$2:$A$998,0)),"")</f>
        <v>In Search of the Optimal Mode for Mobile Phone Surveys in Developing Countries. A Comparison of IVR, SMS, and CATI in Nigeria</v>
      </c>
      <c r="C47" s="273" t="str">
        <f t="array" ref="C47">IFerror(INDEX(Papers!D$2:D$998,MATCH($A47, Papers!$A$2:$A$998,0)),"")</f>
        <v>Charles Lau, Alexandra Cronberg, Leenisha Marks, and Ashley Amaya</v>
      </c>
      <c r="D47" s="274">
        <f t="array" ref="D47">IFerror(INDEX(Papers!F$2:F$998,MATCH($A47, Papers!$A$2:$A$998,0)),"")</f>
        <v>2019</v>
      </c>
      <c r="E47" s="275">
        <v>2017.0</v>
      </c>
      <c r="F47" s="274" t="s">
        <v>251</v>
      </c>
      <c r="G47" s="275" t="s">
        <v>11</v>
      </c>
      <c r="H47" s="277" t="s">
        <v>293</v>
      </c>
      <c r="I47" s="277"/>
      <c r="J47" s="278" t="s">
        <v>435</v>
      </c>
      <c r="K47" s="288">
        <v>0.22</v>
      </c>
      <c r="L47" s="281"/>
      <c r="M47" s="288">
        <v>0.32</v>
      </c>
      <c r="N47" s="281">
        <f t="shared" si="8"/>
        <v>-0.1</v>
      </c>
      <c r="O47" s="281" t="str">
        <f t="shared" si="10"/>
        <v/>
      </c>
    </row>
    <row r="48">
      <c r="A48" s="263">
        <v>9.0</v>
      </c>
      <c r="B48" s="264" t="str">
        <f t="array" ref="B48">IFerror(INDEX(Papers!C$2:C$998,MATCH($A48, Papers!$A$2:$A$998,0)),"")</f>
        <v>In Search of the Optimal Mode for Mobile Phone Surveys in Developing Countries. A Comparison of IVR, SMS, and CATI in Nigeria</v>
      </c>
      <c r="C48" s="264" t="str">
        <f t="array" ref="C48">IFerror(INDEX(Papers!D$2:D$998,MATCH($A48, Papers!$A$2:$A$998,0)),"")</f>
        <v>Charles Lau, Alexandra Cronberg, Leenisha Marks, and Ashley Amaya</v>
      </c>
      <c r="D48" s="265">
        <f t="array" ref="D48">IFerror(INDEX(Papers!F$2:F$998,MATCH($A48, Papers!$A$2:$A$998,0)),"")</f>
        <v>2019</v>
      </c>
      <c r="E48" s="266">
        <v>2017.0</v>
      </c>
      <c r="F48" s="265" t="s">
        <v>251</v>
      </c>
      <c r="G48" s="266" t="s">
        <v>10</v>
      </c>
      <c r="H48" s="282" t="s">
        <v>293</v>
      </c>
      <c r="I48" s="282"/>
      <c r="J48" s="268" t="s">
        <v>424</v>
      </c>
      <c r="K48" s="285">
        <v>0.53</v>
      </c>
      <c r="L48" s="271"/>
      <c r="M48" s="271">
        <v>0.36</v>
      </c>
      <c r="N48" s="271">
        <f t="shared" si="8"/>
        <v>0.17</v>
      </c>
      <c r="O48" s="271" t="str">
        <f t="shared" si="10"/>
        <v/>
      </c>
    </row>
    <row r="49">
      <c r="A49" s="272">
        <v>9.0</v>
      </c>
      <c r="B49" s="273" t="str">
        <f t="array" ref="B49">IFerror(INDEX(Papers!C$2:C$998,MATCH($A49, Papers!$A$2:$A$998,0)),"")</f>
        <v>In Search of the Optimal Mode for Mobile Phone Surveys in Developing Countries. A Comparison of IVR, SMS, and CATI in Nigeria</v>
      </c>
      <c r="C49" s="273" t="str">
        <f t="array" ref="C49">IFerror(INDEX(Papers!D$2:D$998,MATCH($A49, Papers!$A$2:$A$998,0)),"")</f>
        <v>Charles Lau, Alexandra Cronberg, Leenisha Marks, and Ashley Amaya</v>
      </c>
      <c r="D49" s="274">
        <f t="array" ref="D49">IFerror(INDEX(Papers!F$2:F$998,MATCH($A49, Papers!$A$2:$A$998,0)),"")</f>
        <v>2019</v>
      </c>
      <c r="E49" s="275">
        <v>2016.0</v>
      </c>
      <c r="F49" s="274" t="s">
        <v>251</v>
      </c>
      <c r="G49" s="275" t="s">
        <v>9</v>
      </c>
      <c r="H49" s="277" t="s">
        <v>293</v>
      </c>
      <c r="I49" s="277"/>
      <c r="J49" s="278" t="s">
        <v>424</v>
      </c>
      <c r="K49" s="288">
        <v>0.53</v>
      </c>
      <c r="L49" s="281"/>
      <c r="M49" s="288">
        <v>0.33</v>
      </c>
      <c r="N49" s="281">
        <f t="shared" si="8"/>
        <v>0.2</v>
      </c>
      <c r="O49" s="281" t="str">
        <f t="shared" si="10"/>
        <v/>
      </c>
    </row>
    <row r="50">
      <c r="A50" s="263">
        <v>9.0</v>
      </c>
      <c r="B50" s="264" t="str">
        <f t="array" ref="B50">IFerror(INDEX(Papers!C$2:C$998,MATCH($A50, Papers!$A$2:$A$998,0)),"")</f>
        <v>In Search of the Optimal Mode for Mobile Phone Surveys in Developing Countries. A Comparison of IVR, SMS, and CATI in Nigeria</v>
      </c>
      <c r="C50" s="264" t="str">
        <f t="array" ref="C50">IFerror(INDEX(Papers!D$2:D$998,MATCH($A50, Papers!$A$2:$A$998,0)),"")</f>
        <v>Charles Lau, Alexandra Cronberg, Leenisha Marks, and Ashley Amaya</v>
      </c>
      <c r="D50" s="265">
        <f t="array" ref="D50">IFerror(INDEX(Papers!F$2:F$998,MATCH($A50, Papers!$A$2:$A$998,0)),"")</f>
        <v>2019</v>
      </c>
      <c r="E50" s="266">
        <v>2017.0</v>
      </c>
      <c r="F50" s="265" t="s">
        <v>251</v>
      </c>
      <c r="G50" s="266" t="s">
        <v>11</v>
      </c>
      <c r="H50" s="282" t="s">
        <v>293</v>
      </c>
      <c r="I50" s="282"/>
      <c r="J50" s="268" t="s">
        <v>424</v>
      </c>
      <c r="K50" s="285">
        <v>0.53</v>
      </c>
      <c r="L50" s="271"/>
      <c r="M50" s="271">
        <v>0.28</v>
      </c>
      <c r="N50" s="271">
        <f t="shared" si="8"/>
        <v>0.25</v>
      </c>
      <c r="O50" s="271" t="str">
        <f t="shared" si="10"/>
        <v/>
      </c>
    </row>
    <row r="51">
      <c r="A51" s="294">
        <v>9.0</v>
      </c>
      <c r="B51" s="273" t="str">
        <f t="array" ref="B51">IFerror(INDEX(Papers!C$2:C$998,MATCH($A51, Papers!$A$2:$A$998,0)),"")</f>
        <v>In Search of the Optimal Mode for Mobile Phone Surveys in Developing Countries. A Comparison of IVR, SMS, and CATI in Nigeria</v>
      </c>
      <c r="C51" s="273" t="str">
        <f t="array" ref="C51">IFerror(INDEX(Papers!D$2:D$998,MATCH($A51, Papers!$A$2:$A$998,0)),"")</f>
        <v>Charles Lau, Alexandra Cronberg, Leenisha Marks, and Ashley Amaya</v>
      </c>
      <c r="D51" s="274">
        <f t="array" ref="D51">IFerror(INDEX(Papers!F$2:F$998,MATCH($A51, Papers!$A$2:$A$998,0)),"")</f>
        <v>2019</v>
      </c>
      <c r="E51" s="275">
        <v>2017.0</v>
      </c>
      <c r="F51" s="274" t="s">
        <v>251</v>
      </c>
      <c r="G51" s="275" t="s">
        <v>11</v>
      </c>
      <c r="H51" s="277" t="s">
        <v>293</v>
      </c>
      <c r="I51" s="277"/>
      <c r="J51" s="300" t="s">
        <v>436</v>
      </c>
      <c r="K51" s="297">
        <v>0.47</v>
      </c>
      <c r="L51" s="297"/>
      <c r="M51" s="298">
        <v>0.67</v>
      </c>
      <c r="N51" s="297">
        <f t="shared" si="8"/>
        <v>-0.2</v>
      </c>
      <c r="O51" s="281"/>
    </row>
    <row r="52">
      <c r="A52" s="290">
        <v>9.0</v>
      </c>
      <c r="B52" s="264" t="str">
        <f t="array" ref="B52">IFerror(INDEX(Papers!C$2:C$998,MATCH($A52, Papers!$A$2:$A$998,0)),"")</f>
        <v>In Search of the Optimal Mode for Mobile Phone Surveys in Developing Countries. A Comparison of IVR, SMS, and CATI in Nigeria</v>
      </c>
      <c r="C52" s="264" t="str">
        <f t="array" ref="C52">IFerror(INDEX(Papers!D$2:D$998,MATCH($A52, Papers!$A$2:$A$998,0)),"")</f>
        <v>Charles Lau, Alexandra Cronberg, Leenisha Marks, and Ashley Amaya</v>
      </c>
      <c r="D52" s="265">
        <f t="array" ref="D52">IFerror(INDEX(Papers!F$2:F$998,MATCH($A52, Papers!$A$2:$A$998,0)),"")</f>
        <v>2019</v>
      </c>
      <c r="E52" s="266">
        <v>2017.0</v>
      </c>
      <c r="F52" s="265" t="s">
        <v>251</v>
      </c>
      <c r="G52" s="266" t="s">
        <v>11</v>
      </c>
      <c r="H52" s="282" t="s">
        <v>293</v>
      </c>
      <c r="I52" s="282"/>
      <c r="J52" s="301" t="s">
        <v>436</v>
      </c>
      <c r="K52" s="292">
        <v>0.47</v>
      </c>
      <c r="L52" s="292"/>
      <c r="M52" s="293">
        <v>0.64</v>
      </c>
      <c r="N52" s="292">
        <f t="shared" si="8"/>
        <v>-0.17</v>
      </c>
      <c r="O52" s="271"/>
    </row>
    <row r="53">
      <c r="A53" s="294">
        <v>9.0</v>
      </c>
      <c r="B53" s="273" t="str">
        <f t="array" ref="B53">IFerror(INDEX(Papers!C$2:C$998,MATCH($A53, Papers!$A$2:$A$998,0)),"")</f>
        <v>In Search of the Optimal Mode for Mobile Phone Surveys in Developing Countries. A Comparison of IVR, SMS, and CATI in Nigeria</v>
      </c>
      <c r="C53" s="273" t="str">
        <f t="array" ref="C53">IFerror(INDEX(Papers!D$2:D$998,MATCH($A53, Papers!$A$2:$A$998,0)),"")</f>
        <v>Charles Lau, Alexandra Cronberg, Leenisha Marks, and Ashley Amaya</v>
      </c>
      <c r="D53" s="274">
        <f t="array" ref="D53">IFerror(INDEX(Papers!F$2:F$998,MATCH($A53, Papers!$A$2:$A$998,0)),"")</f>
        <v>2019</v>
      </c>
      <c r="E53" s="275">
        <v>2017.0</v>
      </c>
      <c r="F53" s="274" t="s">
        <v>251</v>
      </c>
      <c r="G53" s="275" t="s">
        <v>11</v>
      </c>
      <c r="H53" s="277" t="s">
        <v>293</v>
      </c>
      <c r="I53" s="277"/>
      <c r="J53" s="300" t="s">
        <v>436</v>
      </c>
      <c r="K53" s="297">
        <v>0.47</v>
      </c>
      <c r="L53" s="297"/>
      <c r="M53" s="298">
        <v>0.72</v>
      </c>
      <c r="N53" s="297">
        <f t="shared" si="8"/>
        <v>-0.25</v>
      </c>
      <c r="O53" s="281"/>
    </row>
    <row r="54">
      <c r="A54" s="263">
        <v>9.0</v>
      </c>
      <c r="B54" s="264" t="str">
        <f t="array" ref="B54">IFerror(INDEX(Papers!C$2:C$998,MATCH($A54, Papers!$A$2:$A$998,0)),"")</f>
        <v>In Search of the Optimal Mode for Mobile Phone Surveys in Developing Countries. A Comparison of IVR, SMS, and CATI in Nigeria</v>
      </c>
      <c r="C54" s="264" t="str">
        <f t="array" ref="C54">IFerror(INDEX(Papers!D$2:D$998,MATCH($A54, Papers!$A$2:$A$998,0)),"")</f>
        <v>Charles Lau, Alexandra Cronberg, Leenisha Marks, and Ashley Amaya</v>
      </c>
      <c r="D54" s="265">
        <f t="array" ref="D54">IFerror(INDEX(Papers!F$2:F$998,MATCH($A54, Papers!$A$2:$A$998,0)),"")</f>
        <v>2019</v>
      </c>
      <c r="E54" s="266">
        <v>2016.0</v>
      </c>
      <c r="F54" s="265" t="s">
        <v>251</v>
      </c>
      <c r="G54" s="266" t="s">
        <v>9</v>
      </c>
      <c r="H54" s="282" t="s">
        <v>293</v>
      </c>
      <c r="I54" s="282"/>
      <c r="J54" s="268" t="s">
        <v>427</v>
      </c>
      <c r="K54" s="285">
        <v>0.43</v>
      </c>
      <c r="L54" s="271"/>
      <c r="M54" s="271">
        <v>0.81</v>
      </c>
      <c r="N54" s="271">
        <f t="shared" si="8"/>
        <v>-0.38</v>
      </c>
      <c r="O54" s="271" t="str">
        <f t="shared" ref="O54:O66" si="11">if(AND(L54&lt;&gt;0,M54&lt;&gt;0),L54-M54,"")</f>
        <v/>
      </c>
    </row>
    <row r="55">
      <c r="A55" s="272">
        <v>9.0</v>
      </c>
      <c r="B55" s="273" t="str">
        <f t="array" ref="B55">IFerror(INDEX(Papers!C$2:C$998,MATCH($A55, Papers!$A$2:$A$998,0)),"")</f>
        <v>In Search of the Optimal Mode for Mobile Phone Surveys in Developing Countries. A Comparison of IVR, SMS, and CATI in Nigeria</v>
      </c>
      <c r="C55" s="273" t="str">
        <f t="array" ref="C55">IFerror(INDEX(Papers!D$2:D$998,MATCH($A55, Papers!$A$2:$A$998,0)),"")</f>
        <v>Charles Lau, Alexandra Cronberg, Leenisha Marks, and Ashley Amaya</v>
      </c>
      <c r="D55" s="274">
        <f t="array" ref="D55">IFerror(INDEX(Papers!F$2:F$998,MATCH($A55, Papers!$A$2:$A$998,0)),"")</f>
        <v>2019</v>
      </c>
      <c r="E55" s="275">
        <v>2017.0</v>
      </c>
      <c r="F55" s="274" t="s">
        <v>251</v>
      </c>
      <c r="G55" s="275" t="s">
        <v>10</v>
      </c>
      <c r="H55" s="277" t="s">
        <v>293</v>
      </c>
      <c r="I55" s="277"/>
      <c r="J55" s="278" t="s">
        <v>427</v>
      </c>
      <c r="K55" s="288">
        <v>0.43</v>
      </c>
      <c r="L55" s="281"/>
      <c r="M55" s="281">
        <v>0.79</v>
      </c>
      <c r="N55" s="281">
        <f t="shared" si="8"/>
        <v>-0.36</v>
      </c>
      <c r="O55" s="281" t="str">
        <f t="shared" si="11"/>
        <v/>
      </c>
    </row>
    <row r="56">
      <c r="A56" s="263">
        <v>9.0</v>
      </c>
      <c r="B56" s="264" t="str">
        <f t="array" ref="B56">IFerror(INDEX(Papers!C$2:C$998,MATCH($A56, Papers!$A$2:$A$998,0)),"")</f>
        <v>In Search of the Optimal Mode for Mobile Phone Surveys in Developing Countries. A Comparison of IVR, SMS, and CATI in Nigeria</v>
      </c>
      <c r="C56" s="264" t="str">
        <f t="array" ref="C56">IFerror(INDEX(Papers!D$2:D$998,MATCH($A56, Papers!$A$2:$A$998,0)),"")</f>
        <v>Charles Lau, Alexandra Cronberg, Leenisha Marks, and Ashley Amaya</v>
      </c>
      <c r="D56" s="265">
        <f t="array" ref="D56">IFerror(INDEX(Papers!F$2:F$998,MATCH($A56, Papers!$A$2:$A$998,0)),"")</f>
        <v>2019</v>
      </c>
      <c r="E56" s="266">
        <v>2017.0</v>
      </c>
      <c r="F56" s="265" t="s">
        <v>251</v>
      </c>
      <c r="G56" s="266" t="s">
        <v>11</v>
      </c>
      <c r="H56" s="282" t="s">
        <v>293</v>
      </c>
      <c r="I56" s="282"/>
      <c r="J56" s="268" t="s">
        <v>427</v>
      </c>
      <c r="K56" s="285">
        <v>0.43</v>
      </c>
      <c r="L56" s="271"/>
      <c r="M56" s="285">
        <v>0.24</v>
      </c>
      <c r="N56" s="271">
        <f t="shared" si="8"/>
        <v>0.19</v>
      </c>
      <c r="O56" s="271" t="str">
        <f t="shared" si="11"/>
        <v/>
      </c>
    </row>
    <row r="57">
      <c r="A57" s="272">
        <v>9.0</v>
      </c>
      <c r="B57" s="273" t="str">
        <f t="array" ref="B57">IFerror(INDEX(Papers!C$2:C$998,MATCH($A57, Papers!$A$2:$A$998,0)),"")</f>
        <v>In Search of the Optimal Mode for Mobile Phone Surveys in Developing Countries. A Comparison of IVR, SMS, and CATI in Nigeria</v>
      </c>
      <c r="C57" s="273" t="str">
        <f t="array" ref="C57">IFerror(INDEX(Papers!D$2:D$998,MATCH($A57, Papers!$A$2:$A$998,0)),"")</f>
        <v>Charles Lau, Alexandra Cronberg, Leenisha Marks, and Ashley Amaya</v>
      </c>
      <c r="D57" s="274">
        <f t="array" ref="D57">IFerror(INDEX(Papers!F$2:F$998,MATCH($A57, Papers!$A$2:$A$998,0)),"")</f>
        <v>2019</v>
      </c>
      <c r="E57" s="275">
        <v>2016.0</v>
      </c>
      <c r="F57" s="274" t="s">
        <v>251</v>
      </c>
      <c r="G57" s="275" t="s">
        <v>9</v>
      </c>
      <c r="H57" s="277" t="s">
        <v>293</v>
      </c>
      <c r="I57" s="277"/>
      <c r="J57" s="300" t="s">
        <v>437</v>
      </c>
      <c r="K57" s="288">
        <v>0.7</v>
      </c>
      <c r="L57" s="281"/>
      <c r="M57" s="281">
        <v>0.79</v>
      </c>
      <c r="N57" s="281">
        <f t="shared" si="8"/>
        <v>-0.09</v>
      </c>
      <c r="O57" s="281" t="str">
        <f t="shared" si="11"/>
        <v/>
      </c>
    </row>
    <row r="58">
      <c r="A58" s="263">
        <v>9.0</v>
      </c>
      <c r="B58" s="264" t="str">
        <f t="array" ref="B58">IFerror(INDEX(Papers!C$2:C$998,MATCH($A58, Papers!$A$2:$A$998,0)),"")</f>
        <v>In Search of the Optimal Mode for Mobile Phone Surveys in Developing Countries. A Comparison of IVR, SMS, and CATI in Nigeria</v>
      </c>
      <c r="C58" s="264" t="str">
        <f t="array" ref="C58">IFerror(INDEX(Papers!D$2:D$998,MATCH($A58, Papers!$A$2:$A$998,0)),"")</f>
        <v>Charles Lau, Alexandra Cronberg, Leenisha Marks, and Ashley Amaya</v>
      </c>
      <c r="D58" s="265">
        <f t="array" ref="D58">IFerror(INDEX(Papers!F$2:F$998,MATCH($A58, Papers!$A$2:$A$998,0)),"")</f>
        <v>2019</v>
      </c>
      <c r="E58" s="266">
        <v>2017.0</v>
      </c>
      <c r="F58" s="265" t="s">
        <v>251</v>
      </c>
      <c r="G58" s="266" t="s">
        <v>11</v>
      </c>
      <c r="H58" s="282" t="s">
        <v>293</v>
      </c>
      <c r="I58" s="282"/>
      <c r="J58" s="301" t="s">
        <v>437</v>
      </c>
      <c r="K58" s="285">
        <v>0.7</v>
      </c>
      <c r="L58" s="271"/>
      <c r="M58" s="285">
        <v>0.71</v>
      </c>
      <c r="N58" s="271">
        <f t="shared" si="8"/>
        <v>-0.01</v>
      </c>
      <c r="O58" s="271" t="str">
        <f t="shared" si="11"/>
        <v/>
      </c>
    </row>
    <row r="59">
      <c r="A59" s="272">
        <v>9.0</v>
      </c>
      <c r="B59" s="273" t="str">
        <f t="array" ref="B59">IFerror(INDEX(Papers!C$2:C$998,MATCH($A59, Papers!$A$2:$A$998,0)),"")</f>
        <v>In Search of the Optimal Mode for Mobile Phone Surveys in Developing Countries. A Comparison of IVR, SMS, and CATI in Nigeria</v>
      </c>
      <c r="C59" s="273" t="str">
        <f t="array" ref="C59">IFerror(INDEX(Papers!D$2:D$998,MATCH($A59, Papers!$A$2:$A$998,0)),"")</f>
        <v>Charles Lau, Alexandra Cronberg, Leenisha Marks, and Ashley Amaya</v>
      </c>
      <c r="D59" s="274">
        <f t="array" ref="D59">IFerror(INDEX(Papers!F$2:F$998,MATCH($A59, Papers!$A$2:$A$998,0)),"")</f>
        <v>2019</v>
      </c>
      <c r="E59" s="275">
        <v>2017.0</v>
      </c>
      <c r="F59" s="274" t="s">
        <v>251</v>
      </c>
      <c r="G59" s="275" t="s">
        <v>10</v>
      </c>
      <c r="H59" s="277" t="s">
        <v>293</v>
      </c>
      <c r="I59" s="277"/>
      <c r="J59" s="300" t="s">
        <v>437</v>
      </c>
      <c r="K59" s="288">
        <v>0.7</v>
      </c>
      <c r="L59" s="281"/>
      <c r="M59" s="281">
        <v>0.69</v>
      </c>
      <c r="N59" s="281">
        <f t="shared" si="8"/>
        <v>0.01</v>
      </c>
      <c r="O59" s="281" t="str">
        <f t="shared" si="11"/>
        <v/>
      </c>
    </row>
    <row r="60">
      <c r="A60" s="263">
        <v>10.0</v>
      </c>
      <c r="B60" s="264" t="str">
        <f t="array" ref="B60">IFerror(INDEX(Papers!C$2:C$998,MATCH($A60, Papers!$A$2:$A$998,0)),"")</f>
        <v>Survey Research with a Random Digit Dial National Mobile Phone Sample in Ghana: Methods and Sample Quality</v>
      </c>
      <c r="C60" s="264" t="str">
        <f t="array" ref="C60">IFerror(INDEX(Papers!D$2:D$998,MATCH($A60, Papers!$A$2:$A$998,0)),"")</f>
        <v>Kelly L’Engle, Eunice Sefa, Edward Akolgo Adimazoya, Emmanuel Yartey, Rachel Lenzi, Cindy Tarpo, Nii Lante Heward-Mills, Katherine Lew, and Yvonne Ampeh</v>
      </c>
      <c r="D60" s="265">
        <f t="array" ref="D60">IFerror(INDEX(Papers!F$2:F$998,MATCH($A60, Papers!$A$2:$A$998,0)),"")</f>
        <v>2018</v>
      </c>
      <c r="E60" s="265">
        <f t="array" ref="E60">IFerror(INDEX(Papers!G$2:G$998,MATCH($A60, Papers!$A$2:$A$998,0)),"")</f>
        <v>2016</v>
      </c>
      <c r="F60" s="265" t="s">
        <v>243</v>
      </c>
      <c r="G60" s="266" t="s">
        <v>11</v>
      </c>
      <c r="H60" s="282" t="s">
        <v>438</v>
      </c>
      <c r="I60" s="282"/>
      <c r="J60" s="268" t="s">
        <v>439</v>
      </c>
      <c r="K60" s="285">
        <v>0.353</v>
      </c>
      <c r="L60" s="285"/>
      <c r="M60" s="285">
        <v>0.559</v>
      </c>
      <c r="N60" s="271">
        <f t="shared" si="8"/>
        <v>-0.206</v>
      </c>
      <c r="O60" s="271" t="str">
        <f t="shared" si="11"/>
        <v/>
      </c>
    </row>
    <row r="61">
      <c r="A61" s="272">
        <v>10.0</v>
      </c>
      <c r="B61" s="273" t="str">
        <f t="array" ref="B61">IFerror(INDEX(Papers!C$2:C$998,MATCH($A61, Papers!$A$2:$A$998,0)),"")</f>
        <v>Survey Research with a Random Digit Dial National Mobile Phone Sample in Ghana: Methods and Sample Quality</v>
      </c>
      <c r="C61" s="273" t="str">
        <f t="array" ref="C61">IFerror(INDEX(Papers!D$2:D$998,MATCH($A61, Papers!$A$2:$A$998,0)),"")</f>
        <v>Kelly L’Engle, Eunice Sefa, Edward Akolgo Adimazoya, Emmanuel Yartey, Rachel Lenzi, Cindy Tarpo, Nii Lante Heward-Mills, Katherine Lew, and Yvonne Ampeh</v>
      </c>
      <c r="D61" s="274">
        <f t="array" ref="D61">IFerror(INDEX(Papers!F$2:F$998,MATCH($A61, Papers!$A$2:$A$998,0)),"")</f>
        <v>2018</v>
      </c>
      <c r="E61" s="274">
        <f t="array" ref="E61">IFerror(INDEX(Papers!G$2:G$998,MATCH($A61, Papers!$A$2:$A$998,0)),"")</f>
        <v>2016</v>
      </c>
      <c r="F61" s="274" t="s">
        <v>243</v>
      </c>
      <c r="G61" s="275" t="s">
        <v>11</v>
      </c>
      <c r="H61" s="277" t="s">
        <v>438</v>
      </c>
      <c r="I61" s="277"/>
      <c r="J61" s="278" t="s">
        <v>440</v>
      </c>
      <c r="K61" s="288">
        <v>0.31</v>
      </c>
      <c r="L61" s="288"/>
      <c r="M61" s="288">
        <v>0.296</v>
      </c>
      <c r="N61" s="281">
        <f t="shared" si="8"/>
        <v>0.014</v>
      </c>
      <c r="O61" s="281" t="str">
        <f t="shared" si="11"/>
        <v/>
      </c>
    </row>
    <row r="62">
      <c r="A62" s="263">
        <v>10.0</v>
      </c>
      <c r="B62" s="264" t="str">
        <f t="array" ref="B62">IFerror(INDEX(Papers!C$2:C$998,MATCH($A62, Papers!$A$2:$A$998,0)),"")</f>
        <v>Survey Research with a Random Digit Dial National Mobile Phone Sample in Ghana: Methods and Sample Quality</v>
      </c>
      <c r="C62" s="264" t="str">
        <f t="array" ref="C62">IFerror(INDEX(Papers!D$2:D$998,MATCH($A62, Papers!$A$2:$A$998,0)),"")</f>
        <v>Kelly L’Engle, Eunice Sefa, Edward Akolgo Adimazoya, Emmanuel Yartey, Rachel Lenzi, Cindy Tarpo, Nii Lante Heward-Mills, Katherine Lew, and Yvonne Ampeh</v>
      </c>
      <c r="D62" s="265">
        <f t="array" ref="D62">IFerror(INDEX(Papers!F$2:F$998,MATCH($A62, Papers!$A$2:$A$998,0)),"")</f>
        <v>2018</v>
      </c>
      <c r="E62" s="265">
        <f t="array" ref="E62">IFerror(INDEX(Papers!G$2:G$998,MATCH($A62, Papers!$A$2:$A$998,0)),"")</f>
        <v>2016</v>
      </c>
      <c r="F62" s="265" t="s">
        <v>243</v>
      </c>
      <c r="G62" s="266" t="s">
        <v>11</v>
      </c>
      <c r="H62" s="282" t="s">
        <v>438</v>
      </c>
      <c r="I62" s="282"/>
      <c r="J62" s="268" t="s">
        <v>441</v>
      </c>
      <c r="K62" s="285">
        <v>0.337</v>
      </c>
      <c r="L62" s="285"/>
      <c r="M62" s="285">
        <v>0.094</v>
      </c>
      <c r="N62" s="271">
        <f t="shared" si="8"/>
        <v>0.243</v>
      </c>
      <c r="O62" s="271" t="str">
        <f t="shared" si="11"/>
        <v/>
      </c>
    </row>
    <row r="63">
      <c r="A63" s="272">
        <v>10.0</v>
      </c>
      <c r="B63" s="273" t="str">
        <f t="array" ref="B63">IFerror(INDEX(Papers!C$2:C$998,MATCH($A63, Papers!$A$2:$A$998,0)),"")</f>
        <v>Survey Research with a Random Digit Dial National Mobile Phone Sample in Ghana: Methods and Sample Quality</v>
      </c>
      <c r="C63" s="273" t="str">
        <f t="array" ref="C63">IFerror(INDEX(Papers!D$2:D$998,MATCH($A63, Papers!$A$2:$A$998,0)),"")</f>
        <v>Kelly L’Engle, Eunice Sefa, Edward Akolgo Adimazoya, Emmanuel Yartey, Rachel Lenzi, Cindy Tarpo, Nii Lante Heward-Mills, Katherine Lew, and Yvonne Ampeh</v>
      </c>
      <c r="D63" s="274">
        <f t="array" ref="D63">IFerror(INDEX(Papers!F$2:F$998,MATCH($A63, Papers!$A$2:$A$998,0)),"")</f>
        <v>2018</v>
      </c>
      <c r="E63" s="274">
        <f t="array" ref="E63">IFerror(INDEX(Papers!G$2:G$998,MATCH($A63, Papers!$A$2:$A$998,0)),"")</f>
        <v>2016</v>
      </c>
      <c r="F63" s="274" t="s">
        <v>243</v>
      </c>
      <c r="G63" s="275" t="s">
        <v>11</v>
      </c>
      <c r="H63" s="277" t="s">
        <v>438</v>
      </c>
      <c r="I63" s="277"/>
      <c r="J63" s="278" t="s">
        <v>433</v>
      </c>
      <c r="K63" s="288">
        <v>0.162</v>
      </c>
      <c r="L63" s="288"/>
      <c r="M63" s="288">
        <v>0.104</v>
      </c>
      <c r="N63" s="281">
        <f t="shared" si="8"/>
        <v>0.058</v>
      </c>
      <c r="O63" s="281" t="str">
        <f t="shared" si="11"/>
        <v/>
      </c>
    </row>
    <row r="64">
      <c r="A64" s="263">
        <v>10.0</v>
      </c>
      <c r="B64" s="264" t="str">
        <f t="array" ref="B64">IFerror(INDEX(Papers!C$2:C$998,MATCH($A64, Papers!$A$2:$A$998,0)),"")</f>
        <v>Survey Research with a Random Digit Dial National Mobile Phone Sample in Ghana: Methods and Sample Quality</v>
      </c>
      <c r="C64" s="264" t="str">
        <f t="array" ref="C64">IFerror(INDEX(Papers!D$2:D$998,MATCH($A64, Papers!$A$2:$A$998,0)),"")</f>
        <v>Kelly L’Engle, Eunice Sefa, Edward Akolgo Adimazoya, Emmanuel Yartey, Rachel Lenzi, Cindy Tarpo, Nii Lante Heward-Mills, Katherine Lew, and Yvonne Ampeh</v>
      </c>
      <c r="D64" s="265">
        <f t="array" ref="D64">IFerror(INDEX(Papers!F$2:F$998,MATCH($A64, Papers!$A$2:$A$998,0)),"")</f>
        <v>2018</v>
      </c>
      <c r="E64" s="265">
        <f t="array" ref="E64">IFerror(INDEX(Papers!G$2:G$998,MATCH($A64, Papers!$A$2:$A$998,0)),"")</f>
        <v>2016</v>
      </c>
      <c r="F64" s="265" t="s">
        <v>243</v>
      </c>
      <c r="G64" s="266" t="s">
        <v>11</v>
      </c>
      <c r="H64" s="282" t="s">
        <v>438</v>
      </c>
      <c r="I64" s="282"/>
      <c r="J64" s="268" t="s">
        <v>434</v>
      </c>
      <c r="K64" s="285">
        <v>0.167</v>
      </c>
      <c r="L64" s="285"/>
      <c r="M64" s="285">
        <v>0.123</v>
      </c>
      <c r="N64" s="271">
        <f t="shared" si="8"/>
        <v>0.044</v>
      </c>
      <c r="O64" s="271" t="str">
        <f t="shared" si="11"/>
        <v/>
      </c>
    </row>
    <row r="65">
      <c r="A65" s="272">
        <v>10.0</v>
      </c>
      <c r="B65" s="273" t="str">
        <f t="array" ref="B65">IFerror(INDEX(Papers!C$2:C$998,MATCH($A65, Papers!$A$2:$A$998,0)),"")</f>
        <v>Survey Research with a Random Digit Dial National Mobile Phone Sample in Ghana: Methods and Sample Quality</v>
      </c>
      <c r="C65" s="273" t="str">
        <f t="array" ref="C65">IFerror(INDEX(Papers!D$2:D$998,MATCH($A65, Papers!$A$2:$A$998,0)),"")</f>
        <v>Kelly L’Engle, Eunice Sefa, Edward Akolgo Adimazoya, Emmanuel Yartey, Rachel Lenzi, Cindy Tarpo, Nii Lante Heward-Mills, Katherine Lew, and Yvonne Ampeh</v>
      </c>
      <c r="D65" s="274">
        <f t="array" ref="D65">IFerror(INDEX(Papers!F$2:F$998,MATCH($A65, Papers!$A$2:$A$998,0)),"")</f>
        <v>2018</v>
      </c>
      <c r="E65" s="274">
        <f t="array" ref="E65">IFerror(INDEX(Papers!G$2:G$998,MATCH($A65, Papers!$A$2:$A$998,0)),"")</f>
        <v>2016</v>
      </c>
      <c r="F65" s="274" t="s">
        <v>243</v>
      </c>
      <c r="G65" s="275" t="s">
        <v>11</v>
      </c>
      <c r="H65" s="277" t="s">
        <v>438</v>
      </c>
      <c r="I65" s="277"/>
      <c r="J65" s="278" t="s">
        <v>435</v>
      </c>
      <c r="K65" s="288">
        <v>0.414</v>
      </c>
      <c r="L65" s="281"/>
      <c r="M65" s="281">
        <v>0.246</v>
      </c>
      <c r="N65" s="281">
        <f t="shared" si="8"/>
        <v>0.168</v>
      </c>
      <c r="O65" s="281" t="str">
        <f t="shared" si="11"/>
        <v/>
      </c>
    </row>
    <row r="66">
      <c r="A66" s="263">
        <v>10.0</v>
      </c>
      <c r="B66" s="264" t="str">
        <f t="array" ref="B66">IFerror(INDEX(Papers!C$2:C$998,MATCH($A66, Papers!$A$2:$A$998,0)),"")</f>
        <v>Survey Research with a Random Digit Dial National Mobile Phone Sample in Ghana: Methods and Sample Quality</v>
      </c>
      <c r="C66" s="264" t="str">
        <f t="array" ref="C66">IFerror(INDEX(Papers!D$2:D$998,MATCH($A66, Papers!$A$2:$A$998,0)),"")</f>
        <v>Kelly L’Engle, Eunice Sefa, Edward Akolgo Adimazoya, Emmanuel Yartey, Rachel Lenzi, Cindy Tarpo, Nii Lante Heward-Mills, Katherine Lew, and Yvonne Ampeh</v>
      </c>
      <c r="D66" s="265">
        <f t="array" ref="D66">IFerror(INDEX(Papers!F$2:F$998,MATCH($A66, Papers!$A$2:$A$998,0)),"")</f>
        <v>2018</v>
      </c>
      <c r="E66" s="265">
        <f t="array" ref="E66">IFerror(INDEX(Papers!G$2:G$998,MATCH($A66, Papers!$A$2:$A$998,0)),"")</f>
        <v>2016</v>
      </c>
      <c r="F66" s="265" t="s">
        <v>243</v>
      </c>
      <c r="G66" s="266" t="s">
        <v>11</v>
      </c>
      <c r="H66" s="282" t="s">
        <v>438</v>
      </c>
      <c r="I66" s="282"/>
      <c r="J66" s="268" t="s">
        <v>424</v>
      </c>
      <c r="K66" s="285">
        <v>0.519</v>
      </c>
      <c r="L66" s="285"/>
      <c r="M66" s="285">
        <v>0.333</v>
      </c>
      <c r="N66" s="271">
        <f t="shared" si="8"/>
        <v>0.186</v>
      </c>
      <c r="O66" s="271" t="str">
        <f t="shared" si="11"/>
        <v/>
      </c>
    </row>
    <row r="67">
      <c r="A67" s="294">
        <v>10.0</v>
      </c>
      <c r="B67" s="273" t="str">
        <f t="array" ref="B67">IFerror(INDEX(Papers!C$2:C$998,MATCH($A67, Papers!$A$2:$A$998,0)),"")</f>
        <v>Survey Research with a Random Digit Dial National Mobile Phone Sample in Ghana: Methods and Sample Quality</v>
      </c>
      <c r="C67" s="273" t="str">
        <f t="array" ref="C67">IFerror(INDEX(Papers!D$2:D$998,MATCH($A67, Papers!$A$2:$A$998,0)),"")</f>
        <v>Kelly L’Engle, Eunice Sefa, Edward Akolgo Adimazoya, Emmanuel Yartey, Rachel Lenzi, Cindy Tarpo, Nii Lante Heward-Mills, Katherine Lew, and Yvonne Ampeh</v>
      </c>
      <c r="D67" s="274">
        <f t="array" ref="D67">IFerror(INDEX(Papers!F$2:F$998,MATCH($A67, Papers!$A$2:$A$998,0)),"")</f>
        <v>2018</v>
      </c>
      <c r="E67" s="274">
        <f t="array" ref="E67">IFerror(INDEX(Papers!G$2:G$998,MATCH($A67, Papers!$A$2:$A$998,0)),"")</f>
        <v>2016</v>
      </c>
      <c r="F67" s="274" t="s">
        <v>243</v>
      </c>
      <c r="G67" s="275" t="s">
        <v>11</v>
      </c>
      <c r="H67" s="277" t="s">
        <v>438</v>
      </c>
      <c r="I67" s="277"/>
      <c r="J67" s="300" t="s">
        <v>436</v>
      </c>
      <c r="K67" s="302">
        <v>0.48</v>
      </c>
      <c r="L67" s="288"/>
      <c r="M67" s="302">
        <v>0.67</v>
      </c>
      <c r="N67" s="281">
        <f t="shared" si="8"/>
        <v>-0.19</v>
      </c>
      <c r="O67" s="281"/>
    </row>
    <row r="68">
      <c r="A68" s="263">
        <v>10.0</v>
      </c>
      <c r="B68" s="264" t="str">
        <f t="array" ref="B68">IFerror(INDEX(Papers!C$2:C$998,MATCH($A68, Papers!$A$2:$A$998,0)),"")</f>
        <v>Survey Research with a Random Digit Dial National Mobile Phone Sample in Ghana: Methods and Sample Quality</v>
      </c>
      <c r="C68" s="264" t="str">
        <f t="array" ref="C68">IFerror(INDEX(Papers!D$2:D$998,MATCH($A68, Papers!$A$2:$A$998,0)),"")</f>
        <v>Kelly L’Engle, Eunice Sefa, Edward Akolgo Adimazoya, Emmanuel Yartey, Rachel Lenzi, Cindy Tarpo, Nii Lante Heward-Mills, Katherine Lew, and Yvonne Ampeh</v>
      </c>
      <c r="D68" s="265">
        <f t="array" ref="D68">IFerror(INDEX(Papers!F$2:F$998,MATCH($A68, Papers!$A$2:$A$998,0)),"")</f>
        <v>2018</v>
      </c>
      <c r="E68" s="265">
        <f t="array" ref="E68">IFerror(INDEX(Papers!G$2:G$998,MATCH($A68, Papers!$A$2:$A$998,0)),"")</f>
        <v>2016</v>
      </c>
      <c r="F68" s="265" t="s">
        <v>243</v>
      </c>
      <c r="G68" s="266" t="s">
        <v>11</v>
      </c>
      <c r="H68" s="282" t="s">
        <v>438</v>
      </c>
      <c r="I68" s="282"/>
      <c r="J68" s="268" t="s">
        <v>427</v>
      </c>
      <c r="K68" s="285">
        <v>0.535</v>
      </c>
      <c r="L68" s="285"/>
      <c r="M68" s="285">
        <v>0.677</v>
      </c>
      <c r="N68" s="271">
        <f t="shared" si="8"/>
        <v>-0.142</v>
      </c>
      <c r="O68" s="271" t="str">
        <f t="shared" ref="O68:O84" si="12">if(AND(L68&lt;&gt;0,M68&lt;&gt;0),L68-M68,"")</f>
        <v/>
      </c>
    </row>
    <row r="69">
      <c r="A69" s="272">
        <v>11.0</v>
      </c>
      <c r="B69" s="273" t="str">
        <f t="array" ref="B69">IFerror(INDEX(Papers!C$2:C$998,MATCH($A69, Papers!$A$2:$A$998,0)),"")</f>
        <v>Do Mobile Phone Surveys Work in Poor Countries?</v>
      </c>
      <c r="C69" s="273" t="str">
        <f t="array" ref="C69">IFerror(INDEX(Papers!D$2:D$998,MATCH($A69, Papers!$A$2:$A$998,0)),"")</f>
        <v>Leo, Benjamin, Robert Morello, Jonathan Mellon, Tiago Peixoto, and Stephen Davenport</v>
      </c>
      <c r="D69" s="274">
        <f t="array" ref="D69">IFerror(INDEX(Papers!F$2:F$998,MATCH($A69, Papers!$A$2:$A$998,0)),"")</f>
        <v>2015</v>
      </c>
      <c r="E69" s="274">
        <f t="array" ref="E69">IFerror(INDEX(Papers!G$2:G$998,MATCH($A69, Papers!$A$2:$A$998,0)),"")</f>
        <v>2014</v>
      </c>
      <c r="F69" s="274" t="s">
        <v>260</v>
      </c>
      <c r="G69" s="275" t="s">
        <v>11</v>
      </c>
      <c r="H69" s="277" t="s">
        <v>438</v>
      </c>
      <c r="I69" s="277"/>
      <c r="J69" s="278" t="s">
        <v>439</v>
      </c>
      <c r="K69" s="288">
        <v>0.4</v>
      </c>
      <c r="L69" s="288"/>
      <c r="M69" s="281">
        <v>0.61</v>
      </c>
      <c r="N69" s="281">
        <f t="shared" si="8"/>
        <v>-0.21</v>
      </c>
      <c r="O69" s="281" t="str">
        <f t="shared" si="12"/>
        <v/>
      </c>
    </row>
    <row r="70">
      <c r="A70" s="263">
        <v>11.0</v>
      </c>
      <c r="B70" s="264" t="str">
        <f t="array" ref="B70">IFerror(INDEX(Papers!C$2:C$998,MATCH($A70, Papers!$A$2:$A$998,0)),"")</f>
        <v>Do Mobile Phone Surveys Work in Poor Countries?</v>
      </c>
      <c r="C70" s="264" t="str">
        <f t="array" ref="C70">IFerror(INDEX(Papers!D$2:D$998,MATCH($A70, Papers!$A$2:$A$998,0)),"")</f>
        <v>Leo, Benjamin, Robert Morello, Jonathan Mellon, Tiago Peixoto, and Stephen Davenport</v>
      </c>
      <c r="D70" s="265">
        <f t="array" ref="D70">IFerror(INDEX(Papers!F$2:F$998,MATCH($A70, Papers!$A$2:$A$998,0)),"")</f>
        <v>2015</v>
      </c>
      <c r="E70" s="265">
        <f t="array" ref="E70">IFerror(INDEX(Papers!G$2:G$998,MATCH($A70, Papers!$A$2:$A$998,0)),"")</f>
        <v>2014</v>
      </c>
      <c r="F70" s="265" t="s">
        <v>267</v>
      </c>
      <c r="G70" s="266" t="s">
        <v>11</v>
      </c>
      <c r="H70" s="282" t="s">
        <v>438</v>
      </c>
      <c r="I70" s="282"/>
      <c r="J70" s="268" t="s">
        <v>439</v>
      </c>
      <c r="K70" s="285">
        <v>0.32</v>
      </c>
      <c r="L70" s="271"/>
      <c r="M70" s="271">
        <v>0.52</v>
      </c>
      <c r="N70" s="271">
        <f t="shared" si="8"/>
        <v>-0.2</v>
      </c>
      <c r="O70" s="271" t="str">
        <f t="shared" si="12"/>
        <v/>
      </c>
    </row>
    <row r="71">
      <c r="A71" s="272">
        <v>11.0</v>
      </c>
      <c r="B71" s="273" t="str">
        <f t="array" ref="B71">IFerror(INDEX(Papers!C$2:C$998,MATCH($A71, Papers!$A$2:$A$998,0)),"")</f>
        <v>Do Mobile Phone Surveys Work in Poor Countries?</v>
      </c>
      <c r="C71" s="273" t="str">
        <f t="array" ref="C71">IFerror(INDEX(Papers!D$2:D$998,MATCH($A71, Papers!$A$2:$A$998,0)),"")</f>
        <v>Leo, Benjamin, Robert Morello, Jonathan Mellon, Tiago Peixoto, and Stephen Davenport</v>
      </c>
      <c r="D71" s="274">
        <f t="array" ref="D71">IFerror(INDEX(Papers!F$2:F$998,MATCH($A71, Papers!$A$2:$A$998,0)),"")</f>
        <v>2015</v>
      </c>
      <c r="E71" s="274">
        <f t="array" ref="E71">IFerror(INDEX(Papers!G$2:G$998,MATCH($A71, Papers!$A$2:$A$998,0)),"")</f>
        <v>2014</v>
      </c>
      <c r="F71" s="274" t="s">
        <v>263</v>
      </c>
      <c r="G71" s="275" t="s">
        <v>11</v>
      </c>
      <c r="H71" s="277" t="s">
        <v>438</v>
      </c>
      <c r="I71" s="277"/>
      <c r="J71" s="278" t="s">
        <v>439</v>
      </c>
      <c r="K71" s="288">
        <v>0.34</v>
      </c>
      <c r="L71" s="281"/>
      <c r="M71" s="281">
        <v>0.38</v>
      </c>
      <c r="N71" s="281">
        <f t="shared" si="8"/>
        <v>-0.04</v>
      </c>
      <c r="O71" s="281" t="str">
        <f t="shared" si="12"/>
        <v/>
      </c>
    </row>
    <row r="72">
      <c r="A72" s="263">
        <v>11.0</v>
      </c>
      <c r="B72" s="264" t="str">
        <f t="array" ref="B72">IFerror(INDEX(Papers!C$2:C$998,MATCH($A72, Papers!$A$2:$A$998,0)),"")</f>
        <v>Do Mobile Phone Surveys Work in Poor Countries?</v>
      </c>
      <c r="C72" s="264" t="str">
        <f t="array" ref="C72">IFerror(INDEX(Papers!D$2:D$998,MATCH($A72, Papers!$A$2:$A$998,0)),"")</f>
        <v>Leo, Benjamin, Robert Morello, Jonathan Mellon, Tiago Peixoto, and Stephen Davenport</v>
      </c>
      <c r="D72" s="265">
        <f t="array" ref="D72">IFerror(INDEX(Papers!F$2:F$998,MATCH($A72, Papers!$A$2:$A$998,0)),"")</f>
        <v>2015</v>
      </c>
      <c r="E72" s="265">
        <f t="array" ref="E72">IFerror(INDEX(Papers!G$2:G$998,MATCH($A72, Papers!$A$2:$A$998,0)),"")</f>
        <v>2014</v>
      </c>
      <c r="F72" s="265" t="s">
        <v>276</v>
      </c>
      <c r="G72" s="266" t="s">
        <v>11</v>
      </c>
      <c r="H72" s="282" t="s">
        <v>438</v>
      </c>
      <c r="I72" s="282"/>
      <c r="J72" s="268" t="s">
        <v>439</v>
      </c>
      <c r="K72" s="285">
        <v>0.33</v>
      </c>
      <c r="L72" s="271"/>
      <c r="M72" s="271">
        <v>0.32</v>
      </c>
      <c r="N72" s="271">
        <f t="shared" si="8"/>
        <v>0.01</v>
      </c>
      <c r="O72" s="271" t="str">
        <f t="shared" si="12"/>
        <v/>
      </c>
    </row>
    <row r="73">
      <c r="A73" s="272">
        <v>11.0</v>
      </c>
      <c r="B73" s="273" t="str">
        <f t="array" ref="B73">IFerror(INDEX(Papers!C$2:C$998,MATCH($A73, Papers!$A$2:$A$998,0)),"")</f>
        <v>Do Mobile Phone Surveys Work in Poor Countries?</v>
      </c>
      <c r="C73" s="273" t="str">
        <f t="array" ref="C73">IFerror(INDEX(Papers!D$2:D$998,MATCH($A73, Papers!$A$2:$A$998,0)),"")</f>
        <v>Leo, Benjamin, Robert Morello, Jonathan Mellon, Tiago Peixoto, and Stephen Davenport</v>
      </c>
      <c r="D73" s="274">
        <f t="array" ref="D73">IFerror(INDEX(Papers!F$2:F$998,MATCH($A73, Papers!$A$2:$A$998,0)),"")</f>
        <v>2015</v>
      </c>
      <c r="E73" s="274">
        <f t="array" ref="E73">IFerror(INDEX(Papers!G$2:G$998,MATCH($A73, Papers!$A$2:$A$998,0)),"")</f>
        <v>2014</v>
      </c>
      <c r="F73" s="274" t="s">
        <v>263</v>
      </c>
      <c r="G73" s="275" t="s">
        <v>11</v>
      </c>
      <c r="H73" s="277" t="s">
        <v>438</v>
      </c>
      <c r="I73" s="277"/>
      <c r="J73" s="278" t="s">
        <v>440</v>
      </c>
      <c r="K73" s="288">
        <v>0.24</v>
      </c>
      <c r="L73" s="281"/>
      <c r="M73" s="281">
        <v>0.41</v>
      </c>
      <c r="N73" s="281">
        <f t="shared" si="8"/>
        <v>-0.17</v>
      </c>
      <c r="O73" s="281" t="str">
        <f t="shared" si="12"/>
        <v/>
      </c>
    </row>
    <row r="74">
      <c r="A74" s="263">
        <v>11.0</v>
      </c>
      <c r="B74" s="264" t="str">
        <f t="array" ref="B74">IFerror(INDEX(Papers!C$2:C$998,MATCH($A74, Papers!$A$2:$A$998,0)),"")</f>
        <v>Do Mobile Phone Surveys Work in Poor Countries?</v>
      </c>
      <c r="C74" s="264" t="str">
        <f t="array" ref="C74">IFerror(INDEX(Papers!D$2:D$998,MATCH($A74, Papers!$A$2:$A$998,0)),"")</f>
        <v>Leo, Benjamin, Robert Morello, Jonathan Mellon, Tiago Peixoto, and Stephen Davenport</v>
      </c>
      <c r="D74" s="265">
        <f t="array" ref="D74">IFerror(INDEX(Papers!F$2:F$998,MATCH($A74, Papers!$A$2:$A$998,0)),"")</f>
        <v>2015</v>
      </c>
      <c r="E74" s="265">
        <f t="array" ref="E74">IFerror(INDEX(Papers!G$2:G$998,MATCH($A74, Papers!$A$2:$A$998,0)),"")</f>
        <v>2014</v>
      </c>
      <c r="F74" s="265" t="s">
        <v>276</v>
      </c>
      <c r="G74" s="266" t="s">
        <v>11</v>
      </c>
      <c r="H74" s="282" t="s">
        <v>438</v>
      </c>
      <c r="I74" s="282"/>
      <c r="J74" s="268" t="s">
        <v>440</v>
      </c>
      <c r="K74" s="285">
        <v>0.25</v>
      </c>
      <c r="L74" s="271"/>
      <c r="M74" s="271">
        <v>0.4</v>
      </c>
      <c r="N74" s="271">
        <f t="shared" si="8"/>
        <v>-0.15</v>
      </c>
      <c r="O74" s="271" t="str">
        <f t="shared" si="12"/>
        <v/>
      </c>
    </row>
    <row r="75">
      <c r="A75" s="272">
        <v>11.0</v>
      </c>
      <c r="B75" s="273" t="str">
        <f t="array" ref="B75">IFerror(INDEX(Papers!C$2:C$998,MATCH($A75, Papers!$A$2:$A$998,0)),"")</f>
        <v>Do Mobile Phone Surveys Work in Poor Countries?</v>
      </c>
      <c r="C75" s="273" t="str">
        <f t="array" ref="C75">IFerror(INDEX(Papers!D$2:D$998,MATCH($A75, Papers!$A$2:$A$998,0)),"")</f>
        <v>Leo, Benjamin, Robert Morello, Jonathan Mellon, Tiago Peixoto, and Stephen Davenport</v>
      </c>
      <c r="D75" s="274">
        <f t="array" ref="D75">IFerror(INDEX(Papers!F$2:F$998,MATCH($A75, Papers!$A$2:$A$998,0)),"")</f>
        <v>2015</v>
      </c>
      <c r="E75" s="274">
        <f t="array" ref="E75">IFerror(INDEX(Papers!G$2:G$998,MATCH($A75, Papers!$A$2:$A$998,0)),"")</f>
        <v>2014</v>
      </c>
      <c r="F75" s="274" t="s">
        <v>267</v>
      </c>
      <c r="G75" s="275" t="s">
        <v>11</v>
      </c>
      <c r="H75" s="277" t="s">
        <v>438</v>
      </c>
      <c r="I75" s="277"/>
      <c r="J75" s="278" t="s">
        <v>440</v>
      </c>
      <c r="K75" s="288">
        <v>0.24</v>
      </c>
      <c r="L75" s="281"/>
      <c r="M75" s="281">
        <v>0.35</v>
      </c>
      <c r="N75" s="281">
        <f t="shared" si="8"/>
        <v>-0.11</v>
      </c>
      <c r="O75" s="281" t="str">
        <f t="shared" si="12"/>
        <v/>
      </c>
    </row>
    <row r="76">
      <c r="A76" s="263">
        <v>11.0</v>
      </c>
      <c r="B76" s="264" t="str">
        <f t="array" ref="B76">IFerror(INDEX(Papers!C$2:C$998,MATCH($A76, Papers!$A$2:$A$998,0)),"")</f>
        <v>Do Mobile Phone Surveys Work in Poor Countries?</v>
      </c>
      <c r="C76" s="264" t="str">
        <f t="array" ref="C76">IFerror(INDEX(Papers!D$2:D$998,MATCH($A76, Papers!$A$2:$A$998,0)),"")</f>
        <v>Leo, Benjamin, Robert Morello, Jonathan Mellon, Tiago Peixoto, and Stephen Davenport</v>
      </c>
      <c r="D76" s="265">
        <f t="array" ref="D76">IFerror(INDEX(Papers!F$2:F$998,MATCH($A76, Papers!$A$2:$A$998,0)),"")</f>
        <v>2015</v>
      </c>
      <c r="E76" s="265">
        <f t="array" ref="E76">IFerror(INDEX(Papers!G$2:G$998,MATCH($A76, Papers!$A$2:$A$998,0)),"")</f>
        <v>2014</v>
      </c>
      <c r="F76" s="265" t="s">
        <v>260</v>
      </c>
      <c r="G76" s="266" t="s">
        <v>11</v>
      </c>
      <c r="H76" s="282" t="s">
        <v>438</v>
      </c>
      <c r="I76" s="282"/>
      <c r="J76" s="268" t="s">
        <v>440</v>
      </c>
      <c r="K76" s="285">
        <v>0.21</v>
      </c>
      <c r="L76" s="285"/>
      <c r="M76" s="271">
        <v>0.3</v>
      </c>
      <c r="N76" s="271">
        <f t="shared" si="8"/>
        <v>-0.09</v>
      </c>
      <c r="O76" s="271" t="str">
        <f t="shared" si="12"/>
        <v/>
      </c>
    </row>
    <row r="77">
      <c r="A77" s="272">
        <v>11.0</v>
      </c>
      <c r="B77" s="273" t="str">
        <f t="array" ref="B77">IFerror(INDEX(Papers!C$2:C$998,MATCH($A77, Papers!$A$2:$A$998,0)),"")</f>
        <v>Do Mobile Phone Surveys Work in Poor Countries?</v>
      </c>
      <c r="C77" s="273" t="str">
        <f t="array" ref="C77">IFerror(INDEX(Papers!D$2:D$998,MATCH($A77, Papers!$A$2:$A$998,0)),"")</f>
        <v>Leo, Benjamin, Robert Morello, Jonathan Mellon, Tiago Peixoto, and Stephen Davenport</v>
      </c>
      <c r="D77" s="274">
        <f t="array" ref="D77">IFerror(INDEX(Papers!F$2:F$998,MATCH($A77, Papers!$A$2:$A$998,0)),"")</f>
        <v>2015</v>
      </c>
      <c r="E77" s="274">
        <f t="array" ref="E77">IFerror(INDEX(Papers!G$2:G$998,MATCH($A77, Papers!$A$2:$A$998,0)),"")</f>
        <v>2014</v>
      </c>
      <c r="F77" s="274" t="s">
        <v>276</v>
      </c>
      <c r="G77" s="275" t="s">
        <v>11</v>
      </c>
      <c r="H77" s="277" t="s">
        <v>438</v>
      </c>
      <c r="I77" s="277"/>
      <c r="J77" s="278" t="s">
        <v>442</v>
      </c>
      <c r="K77" s="288">
        <v>0.26</v>
      </c>
      <c r="L77" s="281"/>
      <c r="M77" s="281">
        <v>0.24</v>
      </c>
      <c r="N77" s="281">
        <f t="shared" si="8"/>
        <v>0.02</v>
      </c>
      <c r="O77" s="281" t="str">
        <f t="shared" si="12"/>
        <v/>
      </c>
    </row>
    <row r="78">
      <c r="A78" s="263">
        <v>11.0</v>
      </c>
      <c r="B78" s="264" t="str">
        <f t="array" ref="B78">IFerror(INDEX(Papers!C$2:C$998,MATCH($A78, Papers!$A$2:$A$998,0)),"")</f>
        <v>Do Mobile Phone Surveys Work in Poor Countries?</v>
      </c>
      <c r="C78" s="264" t="str">
        <f t="array" ref="C78">IFerror(INDEX(Papers!D$2:D$998,MATCH($A78, Papers!$A$2:$A$998,0)),"")</f>
        <v>Leo, Benjamin, Robert Morello, Jonathan Mellon, Tiago Peixoto, and Stephen Davenport</v>
      </c>
      <c r="D78" s="265">
        <f t="array" ref="D78">IFerror(INDEX(Papers!F$2:F$998,MATCH($A78, Papers!$A$2:$A$998,0)),"")</f>
        <v>2015</v>
      </c>
      <c r="E78" s="265">
        <f t="array" ref="E78">IFerror(INDEX(Papers!G$2:G$998,MATCH($A78, Papers!$A$2:$A$998,0)),"")</f>
        <v>2014</v>
      </c>
      <c r="F78" s="265" t="s">
        <v>263</v>
      </c>
      <c r="G78" s="266" t="s">
        <v>11</v>
      </c>
      <c r="H78" s="282" t="s">
        <v>438</v>
      </c>
      <c r="I78" s="282"/>
      <c r="J78" s="268" t="s">
        <v>442</v>
      </c>
      <c r="K78" s="285">
        <v>0.26</v>
      </c>
      <c r="L78" s="271"/>
      <c r="M78" s="271">
        <v>0.18</v>
      </c>
      <c r="N78" s="271">
        <f t="shared" si="8"/>
        <v>0.08</v>
      </c>
      <c r="O78" s="271" t="str">
        <f t="shared" si="12"/>
        <v/>
      </c>
    </row>
    <row r="79">
      <c r="A79" s="272">
        <v>11.0</v>
      </c>
      <c r="B79" s="273" t="str">
        <f t="array" ref="B79">IFerror(INDEX(Papers!C$2:C$998,MATCH($A79, Papers!$A$2:$A$998,0)),"")</f>
        <v>Do Mobile Phone Surveys Work in Poor Countries?</v>
      </c>
      <c r="C79" s="273" t="str">
        <f t="array" ref="C79">IFerror(INDEX(Papers!D$2:D$998,MATCH($A79, Papers!$A$2:$A$998,0)),"")</f>
        <v>Leo, Benjamin, Robert Morello, Jonathan Mellon, Tiago Peixoto, and Stephen Davenport</v>
      </c>
      <c r="D79" s="274">
        <f t="array" ref="D79">IFerror(INDEX(Papers!F$2:F$998,MATCH($A79, Papers!$A$2:$A$998,0)),"")</f>
        <v>2015</v>
      </c>
      <c r="E79" s="274">
        <f t="array" ref="E79">IFerror(INDEX(Papers!G$2:G$998,MATCH($A79, Papers!$A$2:$A$998,0)),"")</f>
        <v>2014</v>
      </c>
      <c r="F79" s="274" t="s">
        <v>260</v>
      </c>
      <c r="G79" s="275" t="s">
        <v>11</v>
      </c>
      <c r="H79" s="277" t="s">
        <v>438</v>
      </c>
      <c r="I79" s="277"/>
      <c r="J79" s="278" t="s">
        <v>442</v>
      </c>
      <c r="K79" s="288">
        <v>0.26</v>
      </c>
      <c r="L79" s="288"/>
      <c r="M79" s="281">
        <v>0.08</v>
      </c>
      <c r="N79" s="281">
        <f t="shared" si="8"/>
        <v>0.18</v>
      </c>
      <c r="O79" s="281" t="str">
        <f t="shared" si="12"/>
        <v/>
      </c>
    </row>
    <row r="80">
      <c r="A80" s="263">
        <v>11.0</v>
      </c>
      <c r="B80" s="264" t="str">
        <f t="array" ref="B80">IFerror(INDEX(Papers!C$2:C$998,MATCH($A80, Papers!$A$2:$A$998,0)),"")</f>
        <v>Do Mobile Phone Surveys Work in Poor Countries?</v>
      </c>
      <c r="C80" s="264" t="str">
        <f t="array" ref="C80">IFerror(INDEX(Papers!D$2:D$998,MATCH($A80, Papers!$A$2:$A$998,0)),"")</f>
        <v>Leo, Benjamin, Robert Morello, Jonathan Mellon, Tiago Peixoto, and Stephen Davenport</v>
      </c>
      <c r="D80" s="265">
        <f t="array" ref="D80">IFerror(INDEX(Papers!F$2:F$998,MATCH($A80, Papers!$A$2:$A$998,0)),"")</f>
        <v>2015</v>
      </c>
      <c r="E80" s="265">
        <f t="array" ref="E80">IFerror(INDEX(Papers!G$2:G$998,MATCH($A80, Papers!$A$2:$A$998,0)),"")</f>
        <v>2014</v>
      </c>
      <c r="F80" s="265" t="s">
        <v>267</v>
      </c>
      <c r="G80" s="266" t="s">
        <v>11</v>
      </c>
      <c r="H80" s="282" t="s">
        <v>438</v>
      </c>
      <c r="I80" s="282"/>
      <c r="J80" s="268" t="s">
        <v>442</v>
      </c>
      <c r="K80" s="285">
        <v>0.29</v>
      </c>
      <c r="L80" s="271"/>
      <c r="M80" s="271">
        <v>0.11</v>
      </c>
      <c r="N80" s="271">
        <f t="shared" si="8"/>
        <v>0.18</v>
      </c>
      <c r="O80" s="271" t="str">
        <f t="shared" si="12"/>
        <v/>
      </c>
    </row>
    <row r="81">
      <c r="A81" s="272">
        <v>11.0</v>
      </c>
      <c r="B81" s="273" t="str">
        <f t="array" ref="B81">IFerror(INDEX(Papers!C$2:C$998,MATCH($A81, Papers!$A$2:$A$998,0)),"")</f>
        <v>Do Mobile Phone Surveys Work in Poor Countries?</v>
      </c>
      <c r="C81" s="273" t="str">
        <f t="array" ref="C81">IFerror(INDEX(Papers!D$2:D$998,MATCH($A81, Papers!$A$2:$A$998,0)),"")</f>
        <v>Leo, Benjamin, Robert Morello, Jonathan Mellon, Tiago Peixoto, and Stephen Davenport</v>
      </c>
      <c r="D81" s="274">
        <f t="array" ref="D81">IFerror(INDEX(Papers!F$2:F$998,MATCH($A81, Papers!$A$2:$A$998,0)),"")</f>
        <v>2015</v>
      </c>
      <c r="E81" s="274">
        <f t="array" ref="E81">IFerror(INDEX(Papers!G$2:G$998,MATCH($A81, Papers!$A$2:$A$998,0)),"")</f>
        <v>2014</v>
      </c>
      <c r="F81" s="274" t="s">
        <v>260</v>
      </c>
      <c r="G81" s="275" t="s">
        <v>11</v>
      </c>
      <c r="H81" s="277" t="s">
        <v>438</v>
      </c>
      <c r="I81" s="277"/>
      <c r="J81" s="278" t="s">
        <v>443</v>
      </c>
      <c r="K81" s="288">
        <v>0.12</v>
      </c>
      <c r="L81" s="288"/>
      <c r="M81" s="281">
        <v>0.01</v>
      </c>
      <c r="N81" s="281">
        <f t="shared" si="8"/>
        <v>0.11</v>
      </c>
      <c r="O81" s="281" t="str">
        <f t="shared" si="12"/>
        <v/>
      </c>
    </row>
    <row r="82">
      <c r="A82" s="263">
        <v>11.0</v>
      </c>
      <c r="B82" s="264" t="str">
        <f t="array" ref="B82">IFerror(INDEX(Papers!C$2:C$998,MATCH($A82, Papers!$A$2:$A$998,0)),"")</f>
        <v>Do Mobile Phone Surveys Work in Poor Countries?</v>
      </c>
      <c r="C82" s="264" t="str">
        <f t="array" ref="C82">IFerror(INDEX(Papers!D$2:D$998,MATCH($A82, Papers!$A$2:$A$998,0)),"")</f>
        <v>Leo, Benjamin, Robert Morello, Jonathan Mellon, Tiago Peixoto, and Stephen Davenport</v>
      </c>
      <c r="D82" s="265">
        <f t="array" ref="D82">IFerror(INDEX(Papers!F$2:F$998,MATCH($A82, Papers!$A$2:$A$998,0)),"")</f>
        <v>2015</v>
      </c>
      <c r="E82" s="265">
        <f t="array" ref="E82">IFerror(INDEX(Papers!G$2:G$998,MATCH($A82, Papers!$A$2:$A$998,0)),"")</f>
        <v>2014</v>
      </c>
      <c r="F82" s="265" t="s">
        <v>263</v>
      </c>
      <c r="G82" s="266" t="s">
        <v>11</v>
      </c>
      <c r="H82" s="282" t="s">
        <v>438</v>
      </c>
      <c r="I82" s="282"/>
      <c r="J82" s="268" t="s">
        <v>443</v>
      </c>
      <c r="K82" s="285">
        <v>0.15</v>
      </c>
      <c r="L82" s="271"/>
      <c r="M82" s="271">
        <v>0.03</v>
      </c>
      <c r="N82" s="271">
        <f t="shared" si="8"/>
        <v>0.12</v>
      </c>
      <c r="O82" s="271" t="str">
        <f t="shared" si="12"/>
        <v/>
      </c>
    </row>
    <row r="83">
      <c r="A83" s="272">
        <v>11.0</v>
      </c>
      <c r="B83" s="273" t="str">
        <f t="array" ref="B83">IFerror(INDEX(Papers!C$2:C$998,MATCH($A83, Papers!$A$2:$A$998,0)),"")</f>
        <v>Do Mobile Phone Surveys Work in Poor Countries?</v>
      </c>
      <c r="C83" s="273" t="str">
        <f t="array" ref="C83">IFerror(INDEX(Papers!D$2:D$998,MATCH($A83, Papers!$A$2:$A$998,0)),"")</f>
        <v>Leo, Benjamin, Robert Morello, Jonathan Mellon, Tiago Peixoto, and Stephen Davenport</v>
      </c>
      <c r="D83" s="274">
        <f t="array" ref="D83">IFerror(INDEX(Papers!F$2:F$998,MATCH($A83, Papers!$A$2:$A$998,0)),"")</f>
        <v>2015</v>
      </c>
      <c r="E83" s="274">
        <f t="array" ref="E83">IFerror(INDEX(Papers!G$2:G$998,MATCH($A83, Papers!$A$2:$A$998,0)),"")</f>
        <v>2014</v>
      </c>
      <c r="F83" s="274" t="s">
        <v>267</v>
      </c>
      <c r="G83" s="275" t="s">
        <v>11</v>
      </c>
      <c r="H83" s="277" t="s">
        <v>438</v>
      </c>
      <c r="I83" s="277"/>
      <c r="J83" s="278" t="s">
        <v>443</v>
      </c>
      <c r="K83" s="288">
        <v>0.15</v>
      </c>
      <c r="L83" s="281"/>
      <c r="M83" s="281">
        <v>0.02</v>
      </c>
      <c r="N83" s="281">
        <f t="shared" si="8"/>
        <v>0.13</v>
      </c>
      <c r="O83" s="281" t="str">
        <f t="shared" si="12"/>
        <v/>
      </c>
    </row>
    <row r="84">
      <c r="A84" s="263">
        <v>11.0</v>
      </c>
      <c r="B84" s="264" t="str">
        <f t="array" ref="B84">IFerror(INDEX(Papers!C$2:C$998,MATCH($A84, Papers!$A$2:$A$998,0)),"")</f>
        <v>Do Mobile Phone Surveys Work in Poor Countries?</v>
      </c>
      <c r="C84" s="264" t="str">
        <f t="array" ref="C84">IFerror(INDEX(Papers!D$2:D$998,MATCH($A84, Papers!$A$2:$A$998,0)),"")</f>
        <v>Leo, Benjamin, Robert Morello, Jonathan Mellon, Tiago Peixoto, and Stephen Davenport</v>
      </c>
      <c r="D84" s="265">
        <f t="array" ref="D84">IFerror(INDEX(Papers!F$2:F$998,MATCH($A84, Papers!$A$2:$A$998,0)),"")</f>
        <v>2015</v>
      </c>
      <c r="E84" s="265">
        <f t="array" ref="E84">IFerror(INDEX(Papers!G$2:G$998,MATCH($A84, Papers!$A$2:$A$998,0)),"")</f>
        <v>2014</v>
      </c>
      <c r="F84" s="265" t="s">
        <v>276</v>
      </c>
      <c r="G84" s="266" t="s">
        <v>11</v>
      </c>
      <c r="H84" s="282" t="s">
        <v>438</v>
      </c>
      <c r="I84" s="282"/>
      <c r="J84" s="268" t="s">
        <v>443</v>
      </c>
      <c r="K84" s="285">
        <v>0.16</v>
      </c>
      <c r="L84" s="271"/>
      <c r="M84" s="271">
        <v>0.03</v>
      </c>
      <c r="N84" s="271">
        <f t="shared" si="8"/>
        <v>0.13</v>
      </c>
      <c r="O84" s="271" t="str">
        <f t="shared" si="12"/>
        <v/>
      </c>
    </row>
    <row r="85">
      <c r="A85" s="272">
        <v>11.0</v>
      </c>
      <c r="B85" s="273" t="str">
        <f t="array" ref="B85">IFerror(INDEX(Papers!C$2:C$998,MATCH($A85, Papers!$A$2:$A$998,0)),"")</f>
        <v>Do Mobile Phone Surveys Work in Poor Countries?</v>
      </c>
      <c r="C85" s="273" t="str">
        <f t="array" ref="C85">IFerror(INDEX(Papers!D$2:D$998,MATCH($A85, Papers!$A$2:$A$998,0)),"")</f>
        <v>Leo, Benjamin, Robert Morello, Jonathan Mellon, Tiago Peixoto, and Stephen Davenport</v>
      </c>
      <c r="D85" s="274">
        <f t="array" ref="D85">IFerror(INDEX(Papers!F$2:F$998,MATCH($A85, Papers!$A$2:$A$998,0)),"")</f>
        <v>2015</v>
      </c>
      <c r="E85" s="274">
        <f t="array" ref="E85">IFerror(INDEX(Papers!G$2:G$998,MATCH($A85, Papers!$A$2:$A$998,0)),"")</f>
        <v>2014</v>
      </c>
      <c r="F85" s="274" t="s">
        <v>263</v>
      </c>
      <c r="G85" s="275" t="s">
        <v>11</v>
      </c>
      <c r="H85" s="277" t="s">
        <v>438</v>
      </c>
      <c r="I85" s="277"/>
      <c r="J85" s="278" t="s">
        <v>434</v>
      </c>
      <c r="K85" s="288">
        <v>0.04</v>
      </c>
      <c r="L85" s="281"/>
      <c r="M85" s="281">
        <v>0.11</v>
      </c>
      <c r="N85" s="281">
        <f t="shared" si="8"/>
        <v>-0.07</v>
      </c>
      <c r="O85" s="281"/>
    </row>
    <row r="86">
      <c r="A86" s="263">
        <v>11.0</v>
      </c>
      <c r="B86" s="264" t="str">
        <f t="array" ref="B86">IFerror(INDEX(Papers!C$2:C$998,MATCH($A86, Papers!$A$2:$A$998,0)),"")</f>
        <v>Do Mobile Phone Surveys Work in Poor Countries?</v>
      </c>
      <c r="C86" s="264" t="str">
        <f t="array" ref="C86">IFerror(INDEX(Papers!D$2:D$998,MATCH($A86, Papers!$A$2:$A$998,0)),"")</f>
        <v>Leo, Benjamin, Robert Morello, Jonathan Mellon, Tiago Peixoto, and Stephen Davenport</v>
      </c>
      <c r="D86" s="265">
        <f t="array" ref="D86">IFerror(INDEX(Papers!F$2:F$998,MATCH($A86, Papers!$A$2:$A$998,0)),"")</f>
        <v>2015</v>
      </c>
      <c r="E86" s="265">
        <f t="array" ref="E86">IFerror(INDEX(Papers!G$2:G$998,MATCH($A86, Papers!$A$2:$A$998,0)),"")</f>
        <v>2014</v>
      </c>
      <c r="F86" s="265" t="s">
        <v>267</v>
      </c>
      <c r="G86" s="266" t="s">
        <v>11</v>
      </c>
      <c r="H86" s="282" t="s">
        <v>438</v>
      </c>
      <c r="I86" s="282"/>
      <c r="J86" s="268" t="s">
        <v>434</v>
      </c>
      <c r="K86" s="285">
        <v>0.05</v>
      </c>
      <c r="L86" s="271"/>
      <c r="M86" s="271">
        <v>0.1</v>
      </c>
      <c r="N86" s="271">
        <f t="shared" si="8"/>
        <v>-0.05</v>
      </c>
      <c r="O86" s="271"/>
    </row>
    <row r="87">
      <c r="A87" s="272">
        <v>11.0</v>
      </c>
      <c r="B87" s="273" t="str">
        <f t="array" ref="B87">IFerror(INDEX(Papers!C$2:C$998,MATCH($A87, Papers!$A$2:$A$998,0)),"")</f>
        <v>Do Mobile Phone Surveys Work in Poor Countries?</v>
      </c>
      <c r="C87" s="273" t="str">
        <f t="array" ref="C87">IFerror(INDEX(Papers!D$2:D$998,MATCH($A87, Papers!$A$2:$A$998,0)),"")</f>
        <v>Leo, Benjamin, Robert Morello, Jonathan Mellon, Tiago Peixoto, and Stephen Davenport</v>
      </c>
      <c r="D87" s="274">
        <f t="array" ref="D87">IFerror(INDEX(Papers!F$2:F$998,MATCH($A87, Papers!$A$2:$A$998,0)),"")</f>
        <v>2015</v>
      </c>
      <c r="E87" s="274">
        <f t="array" ref="E87">IFerror(INDEX(Papers!G$2:G$998,MATCH($A87, Papers!$A$2:$A$998,0)),"")</f>
        <v>2014</v>
      </c>
      <c r="F87" s="274" t="s">
        <v>260</v>
      </c>
      <c r="G87" s="275" t="s">
        <v>11</v>
      </c>
      <c r="H87" s="277" t="s">
        <v>438</v>
      </c>
      <c r="I87" s="277"/>
      <c r="J87" s="278" t="s">
        <v>434</v>
      </c>
      <c r="K87" s="288">
        <v>0.05</v>
      </c>
      <c r="L87" s="288"/>
      <c r="M87" s="281">
        <v>0.08</v>
      </c>
      <c r="N87" s="281">
        <f t="shared" si="8"/>
        <v>-0.03</v>
      </c>
      <c r="O87" s="281"/>
    </row>
    <row r="88">
      <c r="A88" s="263">
        <v>11.0</v>
      </c>
      <c r="B88" s="264" t="str">
        <f t="array" ref="B88">IFerror(INDEX(Papers!C$2:C$998,MATCH($A88, Papers!$A$2:$A$998,0)),"")</f>
        <v>Do Mobile Phone Surveys Work in Poor Countries?</v>
      </c>
      <c r="C88" s="264" t="str">
        <f t="array" ref="C88">IFerror(INDEX(Papers!D$2:D$998,MATCH($A88, Papers!$A$2:$A$998,0)),"")</f>
        <v>Leo, Benjamin, Robert Morello, Jonathan Mellon, Tiago Peixoto, and Stephen Davenport</v>
      </c>
      <c r="D88" s="265">
        <f t="array" ref="D88">IFerror(INDEX(Papers!F$2:F$998,MATCH($A88, Papers!$A$2:$A$998,0)),"")</f>
        <v>2015</v>
      </c>
      <c r="E88" s="265">
        <f t="array" ref="E88">IFerror(INDEX(Papers!G$2:G$998,MATCH($A88, Papers!$A$2:$A$998,0)),"")</f>
        <v>2014</v>
      </c>
      <c r="F88" s="265" t="s">
        <v>276</v>
      </c>
      <c r="G88" s="266" t="s">
        <v>11</v>
      </c>
      <c r="H88" s="282" t="s">
        <v>438</v>
      </c>
      <c r="I88" s="282"/>
      <c r="J88" s="268" t="s">
        <v>434</v>
      </c>
      <c r="K88" s="285">
        <v>0.16</v>
      </c>
      <c r="L88" s="271"/>
      <c r="M88" s="271">
        <v>0.1</v>
      </c>
      <c r="N88" s="271">
        <f t="shared" si="8"/>
        <v>0.06</v>
      </c>
      <c r="O88" s="271" t="str">
        <f>if(AND(L88&lt;&gt;0,M88&lt;&gt;0),L88-M88,"")</f>
        <v/>
      </c>
    </row>
    <row r="89">
      <c r="A89" s="272">
        <v>11.0</v>
      </c>
      <c r="B89" s="273" t="str">
        <f t="array" ref="B89">IFerror(INDEX(Papers!C$2:C$998,MATCH($A89, Papers!$A$2:$A$998,0)),"")</f>
        <v>Do Mobile Phone Surveys Work in Poor Countries?</v>
      </c>
      <c r="C89" s="273" t="str">
        <f t="array" ref="C89">IFerror(INDEX(Papers!D$2:D$998,MATCH($A89, Papers!$A$2:$A$998,0)),"")</f>
        <v>Leo, Benjamin, Robert Morello, Jonathan Mellon, Tiago Peixoto, and Stephen Davenport</v>
      </c>
      <c r="D89" s="274">
        <f t="array" ref="D89">IFerror(INDEX(Papers!F$2:F$998,MATCH($A89, Papers!$A$2:$A$998,0)),"")</f>
        <v>2015</v>
      </c>
      <c r="E89" s="274">
        <f t="array" ref="E89">IFerror(INDEX(Papers!G$2:G$998,MATCH($A89, Papers!$A$2:$A$998,0)),"")</f>
        <v>2014</v>
      </c>
      <c r="F89" s="274" t="s">
        <v>267</v>
      </c>
      <c r="G89" s="275" t="s">
        <v>11</v>
      </c>
      <c r="H89" s="277" t="s">
        <v>438</v>
      </c>
      <c r="I89" s="277"/>
      <c r="J89" s="278" t="s">
        <v>435</v>
      </c>
      <c r="K89" s="288">
        <v>0.01</v>
      </c>
      <c r="L89" s="281"/>
      <c r="M89" s="281">
        <v>0.21</v>
      </c>
      <c r="N89" s="281">
        <f t="shared" si="8"/>
        <v>-0.2</v>
      </c>
      <c r="O89" s="281"/>
    </row>
    <row r="90">
      <c r="A90" s="263">
        <v>11.0</v>
      </c>
      <c r="B90" s="264" t="str">
        <f t="array" ref="B90">IFerror(INDEX(Papers!C$2:C$998,MATCH($A90, Papers!$A$2:$A$998,0)),"")</f>
        <v>Do Mobile Phone Surveys Work in Poor Countries?</v>
      </c>
      <c r="C90" s="264" t="str">
        <f t="array" ref="C90">IFerror(INDEX(Papers!D$2:D$998,MATCH($A90, Papers!$A$2:$A$998,0)),"")</f>
        <v>Leo, Benjamin, Robert Morello, Jonathan Mellon, Tiago Peixoto, and Stephen Davenport</v>
      </c>
      <c r="D90" s="265">
        <f t="array" ref="D90">IFerror(INDEX(Papers!F$2:F$998,MATCH($A90, Papers!$A$2:$A$998,0)),"")</f>
        <v>2015</v>
      </c>
      <c r="E90" s="265">
        <f t="array" ref="E90">IFerror(INDEX(Papers!G$2:G$998,MATCH($A90, Papers!$A$2:$A$998,0)),"")</f>
        <v>2014</v>
      </c>
      <c r="F90" s="265" t="s">
        <v>263</v>
      </c>
      <c r="G90" s="266" t="s">
        <v>11</v>
      </c>
      <c r="H90" s="282" t="s">
        <v>438</v>
      </c>
      <c r="I90" s="282"/>
      <c r="J90" s="268" t="s">
        <v>435</v>
      </c>
      <c r="K90" s="285">
        <v>0.01</v>
      </c>
      <c r="L90" s="271"/>
      <c r="M90" s="271">
        <v>0.11</v>
      </c>
      <c r="N90" s="271">
        <f t="shared" si="8"/>
        <v>-0.1</v>
      </c>
      <c r="O90" s="271"/>
    </row>
    <row r="91">
      <c r="A91" s="272">
        <v>11.0</v>
      </c>
      <c r="B91" s="273" t="str">
        <f t="array" ref="B91">IFerror(INDEX(Papers!C$2:C$998,MATCH($A91, Papers!$A$2:$A$998,0)),"")</f>
        <v>Do Mobile Phone Surveys Work in Poor Countries?</v>
      </c>
      <c r="C91" s="273" t="str">
        <f t="array" ref="C91">IFerror(INDEX(Papers!D$2:D$998,MATCH($A91, Papers!$A$2:$A$998,0)),"")</f>
        <v>Leo, Benjamin, Robert Morello, Jonathan Mellon, Tiago Peixoto, and Stephen Davenport</v>
      </c>
      <c r="D91" s="274">
        <f t="array" ref="D91">IFerror(INDEX(Papers!F$2:F$998,MATCH($A91, Papers!$A$2:$A$998,0)),"")</f>
        <v>2015</v>
      </c>
      <c r="E91" s="274">
        <f t="array" ref="E91">IFerror(INDEX(Papers!G$2:G$998,MATCH($A91, Papers!$A$2:$A$998,0)),"")</f>
        <v>2014</v>
      </c>
      <c r="F91" s="274" t="s">
        <v>276</v>
      </c>
      <c r="G91" s="275" t="s">
        <v>11</v>
      </c>
      <c r="H91" s="277" t="s">
        <v>438</v>
      </c>
      <c r="I91" s="277"/>
      <c r="J91" s="278" t="s">
        <v>435</v>
      </c>
      <c r="K91" s="288">
        <v>0.33</v>
      </c>
      <c r="L91" s="281"/>
      <c r="M91" s="281">
        <v>0.36</v>
      </c>
      <c r="N91" s="281">
        <f t="shared" si="8"/>
        <v>-0.03</v>
      </c>
      <c r="O91" s="281" t="str">
        <f t="shared" ref="O91:O93" si="13">if(AND(L91&lt;&gt;0,M91&lt;&gt;0),L91-M91,"")</f>
        <v/>
      </c>
    </row>
    <row r="92">
      <c r="A92" s="263">
        <v>11.0</v>
      </c>
      <c r="B92" s="264" t="str">
        <f t="array" ref="B92">IFerror(INDEX(Papers!C$2:C$998,MATCH($A92, Papers!$A$2:$A$998,0)),"")</f>
        <v>Do Mobile Phone Surveys Work in Poor Countries?</v>
      </c>
      <c r="C92" s="264" t="str">
        <f t="array" ref="C92">IFerror(INDEX(Papers!D$2:D$998,MATCH($A92, Papers!$A$2:$A$998,0)),"")</f>
        <v>Leo, Benjamin, Robert Morello, Jonathan Mellon, Tiago Peixoto, and Stephen Davenport</v>
      </c>
      <c r="D92" s="265">
        <f t="array" ref="D92">IFerror(INDEX(Papers!F$2:F$998,MATCH($A92, Papers!$A$2:$A$998,0)),"")</f>
        <v>2015</v>
      </c>
      <c r="E92" s="265">
        <f t="array" ref="E92">IFerror(INDEX(Papers!G$2:G$998,MATCH($A92, Papers!$A$2:$A$998,0)),"")</f>
        <v>2014</v>
      </c>
      <c r="F92" s="265" t="s">
        <v>260</v>
      </c>
      <c r="G92" s="266" t="s">
        <v>11</v>
      </c>
      <c r="H92" s="282" t="s">
        <v>438</v>
      </c>
      <c r="I92" s="282"/>
      <c r="J92" s="268" t="s">
        <v>435</v>
      </c>
      <c r="K92" s="285">
        <v>0.03</v>
      </c>
      <c r="L92" s="285"/>
      <c r="M92" s="271">
        <v>0.03</v>
      </c>
      <c r="N92" s="271">
        <f t="shared" si="8"/>
        <v>0</v>
      </c>
      <c r="O92" s="271" t="str">
        <f t="shared" si="13"/>
        <v/>
      </c>
    </row>
    <row r="93">
      <c r="A93" s="272">
        <v>11.0</v>
      </c>
      <c r="B93" s="273" t="str">
        <f t="array" ref="B93">IFerror(INDEX(Papers!C$2:C$998,MATCH($A93, Papers!$A$2:$A$998,0)),"")</f>
        <v>Do Mobile Phone Surveys Work in Poor Countries?</v>
      </c>
      <c r="C93" s="273" t="str">
        <f t="array" ref="C93">IFerror(INDEX(Papers!D$2:D$998,MATCH($A93, Papers!$A$2:$A$998,0)),"")</f>
        <v>Leo, Benjamin, Robert Morello, Jonathan Mellon, Tiago Peixoto, and Stephen Davenport</v>
      </c>
      <c r="D93" s="274">
        <f t="array" ref="D93">IFerror(INDEX(Papers!F$2:F$998,MATCH($A93, Papers!$A$2:$A$998,0)),"")</f>
        <v>2015</v>
      </c>
      <c r="E93" s="274">
        <f t="array" ref="E93">IFerror(INDEX(Papers!G$2:G$998,MATCH($A93, Papers!$A$2:$A$998,0)),"")</f>
        <v>2014</v>
      </c>
      <c r="F93" s="274" t="s">
        <v>260</v>
      </c>
      <c r="G93" s="275" t="s">
        <v>11</v>
      </c>
      <c r="H93" s="277" t="s">
        <v>438</v>
      </c>
      <c r="I93" s="277"/>
      <c r="J93" s="278" t="s">
        <v>444</v>
      </c>
      <c r="K93" s="288">
        <v>0.09</v>
      </c>
      <c r="L93" s="288"/>
      <c r="M93" s="281">
        <v>0.2</v>
      </c>
      <c r="N93" s="281">
        <f t="shared" si="8"/>
        <v>-0.11</v>
      </c>
      <c r="O93" s="281" t="str">
        <f t="shared" si="13"/>
        <v/>
      </c>
    </row>
    <row r="94">
      <c r="A94" s="263">
        <v>11.0</v>
      </c>
      <c r="B94" s="264" t="str">
        <f t="array" ref="B94">IFerror(INDEX(Papers!C$2:C$998,MATCH($A94, Papers!$A$2:$A$998,0)),"")</f>
        <v>Do Mobile Phone Surveys Work in Poor Countries?</v>
      </c>
      <c r="C94" s="264" t="str">
        <f t="array" ref="C94">IFerror(INDEX(Papers!D$2:D$998,MATCH($A94, Papers!$A$2:$A$998,0)),"")</f>
        <v>Leo, Benjamin, Robert Morello, Jonathan Mellon, Tiago Peixoto, and Stephen Davenport</v>
      </c>
      <c r="D94" s="265">
        <f t="array" ref="D94">IFerror(INDEX(Papers!F$2:F$998,MATCH($A94, Papers!$A$2:$A$998,0)),"")</f>
        <v>2015</v>
      </c>
      <c r="E94" s="265">
        <f t="array" ref="E94">IFerror(INDEX(Papers!G$2:G$998,MATCH($A94, Papers!$A$2:$A$998,0)),"")</f>
        <v>2014</v>
      </c>
      <c r="F94" s="265" t="s">
        <v>276</v>
      </c>
      <c r="G94" s="266" t="s">
        <v>11</v>
      </c>
      <c r="H94" s="282" t="s">
        <v>438</v>
      </c>
      <c r="I94" s="282"/>
      <c r="J94" s="268" t="s">
        <v>444</v>
      </c>
      <c r="K94" s="285">
        <v>0.15</v>
      </c>
      <c r="L94" s="271"/>
      <c r="M94" s="271">
        <v>0.13</v>
      </c>
      <c r="N94" s="271">
        <f t="shared" si="8"/>
        <v>0.02</v>
      </c>
      <c r="O94" s="271"/>
    </row>
    <row r="95">
      <c r="A95" s="272">
        <v>11.0</v>
      </c>
      <c r="B95" s="273" t="str">
        <f t="array" ref="B95">IFerror(INDEX(Papers!C$2:C$998,MATCH($A95, Papers!$A$2:$A$998,0)),"")</f>
        <v>Do Mobile Phone Surveys Work in Poor Countries?</v>
      </c>
      <c r="C95" s="273" t="str">
        <f t="array" ref="C95">IFerror(INDEX(Papers!D$2:D$998,MATCH($A95, Papers!$A$2:$A$998,0)),"")</f>
        <v>Leo, Benjamin, Robert Morello, Jonathan Mellon, Tiago Peixoto, and Stephen Davenport</v>
      </c>
      <c r="D95" s="274">
        <f t="array" ref="D95">IFerror(INDEX(Papers!F$2:F$998,MATCH($A95, Papers!$A$2:$A$998,0)),"")</f>
        <v>2015</v>
      </c>
      <c r="E95" s="274">
        <f t="array" ref="E95">IFerror(INDEX(Papers!G$2:G$998,MATCH($A95, Papers!$A$2:$A$998,0)),"")</f>
        <v>2014</v>
      </c>
      <c r="F95" s="274" t="s">
        <v>263</v>
      </c>
      <c r="G95" s="275" t="s">
        <v>11</v>
      </c>
      <c r="H95" s="277" t="s">
        <v>438</v>
      </c>
      <c r="I95" s="277"/>
      <c r="J95" s="278" t="s">
        <v>444</v>
      </c>
      <c r="K95" s="288">
        <v>0.34</v>
      </c>
      <c r="L95" s="281"/>
      <c r="M95" s="281">
        <v>0.27</v>
      </c>
      <c r="N95" s="281">
        <f t="shared" si="8"/>
        <v>0.07</v>
      </c>
      <c r="O95" s="281" t="str">
        <f t="shared" ref="O95:O99" si="14">if(AND(L95&lt;&gt;0,M95&lt;&gt;0),L95-M95,"")</f>
        <v/>
      </c>
    </row>
    <row r="96">
      <c r="A96" s="263">
        <v>11.0</v>
      </c>
      <c r="B96" s="264" t="str">
        <f t="array" ref="B96">IFerror(INDEX(Papers!C$2:C$998,MATCH($A96, Papers!$A$2:$A$998,0)),"")</f>
        <v>Do Mobile Phone Surveys Work in Poor Countries?</v>
      </c>
      <c r="C96" s="264" t="str">
        <f t="array" ref="C96">IFerror(INDEX(Papers!D$2:D$998,MATCH($A96, Papers!$A$2:$A$998,0)),"")</f>
        <v>Leo, Benjamin, Robert Morello, Jonathan Mellon, Tiago Peixoto, and Stephen Davenport</v>
      </c>
      <c r="D96" s="265">
        <f t="array" ref="D96">IFerror(INDEX(Papers!F$2:F$998,MATCH($A96, Papers!$A$2:$A$998,0)),"")</f>
        <v>2015</v>
      </c>
      <c r="E96" s="265">
        <f t="array" ref="E96">IFerror(INDEX(Papers!G$2:G$998,MATCH($A96, Papers!$A$2:$A$998,0)),"")</f>
        <v>2014</v>
      </c>
      <c r="F96" s="265" t="s">
        <v>267</v>
      </c>
      <c r="G96" s="266" t="s">
        <v>11</v>
      </c>
      <c r="H96" s="282" t="s">
        <v>438</v>
      </c>
      <c r="I96" s="282"/>
      <c r="J96" s="268" t="s">
        <v>444</v>
      </c>
      <c r="K96" s="285">
        <v>0.44</v>
      </c>
      <c r="L96" s="271"/>
      <c r="M96" s="271">
        <v>0.24</v>
      </c>
      <c r="N96" s="271">
        <f t="shared" si="8"/>
        <v>0.2</v>
      </c>
      <c r="O96" s="271" t="str">
        <f t="shared" si="14"/>
        <v/>
      </c>
    </row>
    <row r="97">
      <c r="A97" s="272">
        <v>11.0</v>
      </c>
      <c r="B97" s="273" t="str">
        <f t="array" ref="B97">IFerror(INDEX(Papers!C$2:C$998,MATCH($A97, Papers!$A$2:$A$998,0)),"")</f>
        <v>Do Mobile Phone Surveys Work in Poor Countries?</v>
      </c>
      <c r="C97" s="273" t="str">
        <f t="array" ref="C97">IFerror(INDEX(Papers!D$2:D$998,MATCH($A97, Papers!$A$2:$A$998,0)),"")</f>
        <v>Leo, Benjamin, Robert Morello, Jonathan Mellon, Tiago Peixoto, and Stephen Davenport</v>
      </c>
      <c r="D97" s="274">
        <f t="array" ref="D97">IFerror(INDEX(Papers!F$2:F$998,MATCH($A97, Papers!$A$2:$A$998,0)),"")</f>
        <v>2015</v>
      </c>
      <c r="E97" s="274">
        <f t="array" ref="E97">IFerror(INDEX(Papers!G$2:G$998,MATCH($A97, Papers!$A$2:$A$998,0)),"")</f>
        <v>2014</v>
      </c>
      <c r="F97" s="274" t="s">
        <v>267</v>
      </c>
      <c r="G97" s="275" t="s">
        <v>11</v>
      </c>
      <c r="H97" s="277" t="s">
        <v>438</v>
      </c>
      <c r="I97" s="277"/>
      <c r="J97" s="278" t="s">
        <v>445</v>
      </c>
      <c r="K97" s="288">
        <v>0.07</v>
      </c>
      <c r="L97" s="281"/>
      <c r="M97" s="281">
        <v>0.23</v>
      </c>
      <c r="N97" s="281">
        <f t="shared" si="8"/>
        <v>-0.16</v>
      </c>
      <c r="O97" s="281" t="str">
        <f t="shared" si="14"/>
        <v/>
      </c>
    </row>
    <row r="98">
      <c r="A98" s="263">
        <v>11.0</v>
      </c>
      <c r="B98" s="264" t="str">
        <f t="array" ref="B98">IFerror(INDEX(Papers!C$2:C$998,MATCH($A98, Papers!$A$2:$A$998,0)),"")</f>
        <v>Do Mobile Phone Surveys Work in Poor Countries?</v>
      </c>
      <c r="C98" s="264" t="str">
        <f t="array" ref="C98">IFerror(INDEX(Papers!D$2:D$998,MATCH($A98, Papers!$A$2:$A$998,0)),"")</f>
        <v>Leo, Benjamin, Robert Morello, Jonathan Mellon, Tiago Peixoto, and Stephen Davenport</v>
      </c>
      <c r="D98" s="265">
        <f t="array" ref="D98">IFerror(INDEX(Papers!F$2:F$998,MATCH($A98, Papers!$A$2:$A$998,0)),"")</f>
        <v>2015</v>
      </c>
      <c r="E98" s="265">
        <f t="array" ref="E98">IFerror(INDEX(Papers!G$2:G$998,MATCH($A98, Papers!$A$2:$A$998,0)),"")</f>
        <v>2014</v>
      </c>
      <c r="F98" s="265" t="s">
        <v>260</v>
      </c>
      <c r="G98" s="266" t="s">
        <v>11</v>
      </c>
      <c r="H98" s="282" t="s">
        <v>438</v>
      </c>
      <c r="I98" s="282"/>
      <c r="J98" s="268" t="s">
        <v>445</v>
      </c>
      <c r="K98" s="285">
        <v>0.05</v>
      </c>
      <c r="L98" s="285"/>
      <c r="M98" s="271">
        <v>0.07</v>
      </c>
      <c r="N98" s="271">
        <f t="shared" si="8"/>
        <v>-0.02</v>
      </c>
      <c r="O98" s="271" t="str">
        <f t="shared" si="14"/>
        <v/>
      </c>
    </row>
    <row r="99">
      <c r="A99" s="272">
        <v>11.0</v>
      </c>
      <c r="B99" s="273" t="str">
        <f t="array" ref="B99">IFerror(INDEX(Papers!C$2:C$998,MATCH($A99, Papers!$A$2:$A$998,0)),"")</f>
        <v>Do Mobile Phone Surveys Work in Poor Countries?</v>
      </c>
      <c r="C99" s="273" t="str">
        <f t="array" ref="C99">IFerror(INDEX(Papers!D$2:D$998,MATCH($A99, Papers!$A$2:$A$998,0)),"")</f>
        <v>Leo, Benjamin, Robert Morello, Jonathan Mellon, Tiago Peixoto, and Stephen Davenport</v>
      </c>
      <c r="D99" s="274">
        <f t="array" ref="D99">IFerror(INDEX(Papers!F$2:F$998,MATCH($A99, Papers!$A$2:$A$998,0)),"")</f>
        <v>2015</v>
      </c>
      <c r="E99" s="274">
        <f t="array" ref="E99">IFerror(INDEX(Papers!G$2:G$998,MATCH($A99, Papers!$A$2:$A$998,0)),"")</f>
        <v>2014</v>
      </c>
      <c r="F99" s="274" t="s">
        <v>263</v>
      </c>
      <c r="G99" s="275" t="s">
        <v>11</v>
      </c>
      <c r="H99" s="277" t="s">
        <v>438</v>
      </c>
      <c r="I99" s="277"/>
      <c r="J99" s="278" t="s">
        <v>445</v>
      </c>
      <c r="K99" s="288">
        <v>0.06</v>
      </c>
      <c r="L99" s="281"/>
      <c r="M99" s="281">
        <v>0.08</v>
      </c>
      <c r="N99" s="281">
        <f t="shared" si="8"/>
        <v>-0.02</v>
      </c>
      <c r="O99" s="281" t="str">
        <f t="shared" si="14"/>
        <v/>
      </c>
    </row>
    <row r="100">
      <c r="A100" s="263">
        <v>11.0</v>
      </c>
      <c r="B100" s="264" t="str">
        <f t="array" ref="B100">IFerror(INDEX(Papers!C$2:C$998,MATCH($A100, Papers!$A$2:$A$998,0)),"")</f>
        <v>Do Mobile Phone Surveys Work in Poor Countries?</v>
      </c>
      <c r="C100" s="264" t="str">
        <f t="array" ref="C100">IFerror(INDEX(Papers!D$2:D$998,MATCH($A100, Papers!$A$2:$A$998,0)),"")</f>
        <v>Leo, Benjamin, Robert Morello, Jonathan Mellon, Tiago Peixoto, and Stephen Davenport</v>
      </c>
      <c r="D100" s="265">
        <f t="array" ref="D100">IFerror(INDEX(Papers!F$2:F$998,MATCH($A100, Papers!$A$2:$A$998,0)),"")</f>
        <v>2015</v>
      </c>
      <c r="E100" s="265">
        <f t="array" ref="E100">IFerror(INDEX(Papers!G$2:G$998,MATCH($A100, Papers!$A$2:$A$998,0)),"")</f>
        <v>2014</v>
      </c>
      <c r="F100" s="265" t="s">
        <v>276</v>
      </c>
      <c r="G100" s="266" t="s">
        <v>11</v>
      </c>
      <c r="H100" s="282" t="s">
        <v>438</v>
      </c>
      <c r="I100" s="282"/>
      <c r="J100" s="268" t="s">
        <v>445</v>
      </c>
      <c r="K100" s="285">
        <v>0.23</v>
      </c>
      <c r="L100" s="271"/>
      <c r="M100" s="271">
        <v>0.19</v>
      </c>
      <c r="N100" s="271">
        <f t="shared" si="8"/>
        <v>0.04</v>
      </c>
      <c r="O100" s="271"/>
    </row>
    <row r="101">
      <c r="A101" s="272">
        <v>11.0</v>
      </c>
      <c r="B101" s="273" t="str">
        <f t="array" ref="B101">IFerror(INDEX(Papers!C$2:C$998,MATCH($A101, Papers!$A$2:$A$998,0)),"")</f>
        <v>Do Mobile Phone Surveys Work in Poor Countries?</v>
      </c>
      <c r="C101" s="273" t="str">
        <f t="array" ref="C101">IFerror(INDEX(Papers!D$2:D$998,MATCH($A101, Papers!$A$2:$A$998,0)),"")</f>
        <v>Leo, Benjamin, Robert Morello, Jonathan Mellon, Tiago Peixoto, and Stephen Davenport</v>
      </c>
      <c r="D101" s="274">
        <f t="array" ref="D101">IFerror(INDEX(Papers!F$2:F$998,MATCH($A101, Papers!$A$2:$A$998,0)),"")</f>
        <v>2015</v>
      </c>
      <c r="E101" s="274">
        <f t="array" ref="E101">IFerror(INDEX(Papers!G$2:G$998,MATCH($A101, Papers!$A$2:$A$998,0)),"")</f>
        <v>2014</v>
      </c>
      <c r="F101" s="274" t="s">
        <v>276</v>
      </c>
      <c r="G101" s="275" t="s">
        <v>11</v>
      </c>
      <c r="H101" s="277" t="s">
        <v>438</v>
      </c>
      <c r="I101" s="277"/>
      <c r="J101" s="300" t="s">
        <v>446</v>
      </c>
      <c r="K101" s="288">
        <v>0.08</v>
      </c>
      <c r="L101" s="281"/>
      <c r="M101" s="281">
        <v>0.06</v>
      </c>
      <c r="N101" s="281">
        <f t="shared" si="8"/>
        <v>0.02</v>
      </c>
      <c r="O101" s="281" t="str">
        <f>if(AND(L101&lt;&gt;0,M101&lt;&gt;0),L101-M101,"")</f>
        <v/>
      </c>
    </row>
    <row r="102">
      <c r="A102" s="263">
        <v>11.0</v>
      </c>
      <c r="B102" s="264" t="str">
        <f t="array" ref="B102">IFerror(INDEX(Papers!C$2:C$998,MATCH($A102, Papers!$A$2:$A$998,0)),"")</f>
        <v>Do Mobile Phone Surveys Work in Poor Countries?</v>
      </c>
      <c r="C102" s="264" t="str">
        <f t="array" ref="C102">IFerror(INDEX(Papers!D$2:D$998,MATCH($A102, Papers!$A$2:$A$998,0)),"")</f>
        <v>Leo, Benjamin, Robert Morello, Jonathan Mellon, Tiago Peixoto, and Stephen Davenport</v>
      </c>
      <c r="D102" s="265">
        <f t="array" ref="D102">IFerror(INDEX(Papers!F$2:F$998,MATCH($A102, Papers!$A$2:$A$998,0)),"")</f>
        <v>2015</v>
      </c>
      <c r="E102" s="265">
        <f t="array" ref="E102">IFerror(INDEX(Papers!G$2:G$998,MATCH($A102, Papers!$A$2:$A$998,0)),"")</f>
        <v>2014</v>
      </c>
      <c r="F102" s="265" t="s">
        <v>260</v>
      </c>
      <c r="G102" s="266" t="s">
        <v>11</v>
      </c>
      <c r="H102" s="282" t="s">
        <v>438</v>
      </c>
      <c r="I102" s="282"/>
      <c r="J102" s="301" t="s">
        <v>446</v>
      </c>
      <c r="K102" s="285">
        <v>0.58</v>
      </c>
      <c r="L102" s="285"/>
      <c r="M102" s="271">
        <v>0.46</v>
      </c>
      <c r="N102" s="271">
        <f t="shared" si="8"/>
        <v>0.12</v>
      </c>
      <c r="O102" s="271"/>
    </row>
    <row r="103">
      <c r="A103" s="272">
        <v>11.0</v>
      </c>
      <c r="B103" s="273" t="str">
        <f t="array" ref="B103">IFerror(INDEX(Papers!C$2:C$998,MATCH($A103, Papers!$A$2:$A$998,0)),"")</f>
        <v>Do Mobile Phone Surveys Work in Poor Countries?</v>
      </c>
      <c r="C103" s="273" t="str">
        <f t="array" ref="C103">IFerror(INDEX(Papers!D$2:D$998,MATCH($A103, Papers!$A$2:$A$998,0)),"")</f>
        <v>Leo, Benjamin, Robert Morello, Jonathan Mellon, Tiago Peixoto, and Stephen Davenport</v>
      </c>
      <c r="D103" s="274">
        <f t="array" ref="D103">IFerror(INDEX(Papers!F$2:F$998,MATCH($A103, Papers!$A$2:$A$998,0)),"")</f>
        <v>2015</v>
      </c>
      <c r="E103" s="274">
        <f t="array" ref="E103">IFerror(INDEX(Papers!G$2:G$998,MATCH($A103, Papers!$A$2:$A$998,0)),"")</f>
        <v>2014</v>
      </c>
      <c r="F103" s="274" t="s">
        <v>267</v>
      </c>
      <c r="G103" s="275" t="s">
        <v>11</v>
      </c>
      <c r="H103" s="277" t="s">
        <v>438</v>
      </c>
      <c r="I103" s="277"/>
      <c r="J103" s="300" t="s">
        <v>446</v>
      </c>
      <c r="K103" s="288">
        <v>0.41</v>
      </c>
      <c r="L103" s="281"/>
      <c r="M103" s="281">
        <v>0.12</v>
      </c>
      <c r="N103" s="281">
        <f t="shared" si="8"/>
        <v>0.29</v>
      </c>
      <c r="O103" s="281"/>
    </row>
    <row r="104">
      <c r="A104" s="263">
        <v>11.0</v>
      </c>
      <c r="B104" s="264" t="str">
        <f t="array" ref="B104">IFerror(INDEX(Papers!C$2:C$998,MATCH($A104, Papers!$A$2:$A$998,0)),"")</f>
        <v>Do Mobile Phone Surveys Work in Poor Countries?</v>
      </c>
      <c r="C104" s="264" t="str">
        <f t="array" ref="C104">IFerror(INDEX(Papers!D$2:D$998,MATCH($A104, Papers!$A$2:$A$998,0)),"")</f>
        <v>Leo, Benjamin, Robert Morello, Jonathan Mellon, Tiago Peixoto, and Stephen Davenport</v>
      </c>
      <c r="D104" s="265">
        <f t="array" ref="D104">IFerror(INDEX(Papers!F$2:F$998,MATCH($A104, Papers!$A$2:$A$998,0)),"")</f>
        <v>2015</v>
      </c>
      <c r="E104" s="265">
        <f t="array" ref="E104">IFerror(INDEX(Papers!G$2:G$998,MATCH($A104, Papers!$A$2:$A$998,0)),"")</f>
        <v>2014</v>
      </c>
      <c r="F104" s="265" t="s">
        <v>263</v>
      </c>
      <c r="G104" s="266" t="s">
        <v>11</v>
      </c>
      <c r="H104" s="282" t="s">
        <v>438</v>
      </c>
      <c r="I104" s="282"/>
      <c r="J104" s="301" t="s">
        <v>446</v>
      </c>
      <c r="K104" s="285">
        <v>0.5</v>
      </c>
      <c r="L104" s="271"/>
      <c r="M104" s="271">
        <v>0.08</v>
      </c>
      <c r="N104" s="271">
        <f t="shared" si="8"/>
        <v>0.42</v>
      </c>
      <c r="O104" s="271"/>
    </row>
    <row r="105">
      <c r="A105" s="272">
        <v>11.0</v>
      </c>
      <c r="B105" s="273" t="str">
        <f t="array" ref="B105">IFerror(INDEX(Papers!C$2:C$998,MATCH($A105, Papers!$A$2:$A$998,0)),"")</f>
        <v>Do Mobile Phone Surveys Work in Poor Countries?</v>
      </c>
      <c r="C105" s="273" t="str">
        <f t="array" ref="C105">IFerror(INDEX(Papers!D$2:D$998,MATCH($A105, Papers!$A$2:$A$998,0)),"")</f>
        <v>Leo, Benjamin, Robert Morello, Jonathan Mellon, Tiago Peixoto, and Stephen Davenport</v>
      </c>
      <c r="D105" s="274">
        <f t="array" ref="D105">IFerror(INDEX(Papers!F$2:F$998,MATCH($A105, Papers!$A$2:$A$998,0)),"")</f>
        <v>2015</v>
      </c>
      <c r="E105" s="274">
        <f t="array" ref="E105">IFerror(INDEX(Papers!G$2:G$998,MATCH($A105, Papers!$A$2:$A$998,0)),"")</f>
        <v>2014</v>
      </c>
      <c r="F105" s="274" t="s">
        <v>263</v>
      </c>
      <c r="G105" s="275" t="s">
        <v>11</v>
      </c>
      <c r="H105" s="277" t="s">
        <v>438</v>
      </c>
      <c r="I105" s="277"/>
      <c r="J105" s="300" t="s">
        <v>447</v>
      </c>
      <c r="K105" s="288">
        <v>0.05</v>
      </c>
      <c r="L105" s="281"/>
      <c r="M105" s="281">
        <v>0.35</v>
      </c>
      <c r="N105" s="281">
        <f t="shared" si="8"/>
        <v>-0.3</v>
      </c>
      <c r="O105" s="281" t="str">
        <f>if(AND(L105&lt;&gt;0,M105&lt;&gt;0),L105-M105,"")</f>
        <v/>
      </c>
    </row>
    <row r="106">
      <c r="A106" s="263">
        <v>11.0</v>
      </c>
      <c r="B106" s="264" t="str">
        <f t="array" ref="B106">IFerror(INDEX(Papers!C$2:C$998,MATCH($A106, Papers!$A$2:$A$998,0)),"")</f>
        <v>Do Mobile Phone Surveys Work in Poor Countries?</v>
      </c>
      <c r="C106" s="264" t="str">
        <f t="array" ref="C106">IFerror(INDEX(Papers!D$2:D$998,MATCH($A106, Papers!$A$2:$A$998,0)),"")</f>
        <v>Leo, Benjamin, Robert Morello, Jonathan Mellon, Tiago Peixoto, and Stephen Davenport</v>
      </c>
      <c r="D106" s="265">
        <f t="array" ref="D106">IFerror(INDEX(Papers!F$2:F$998,MATCH($A106, Papers!$A$2:$A$998,0)),"")</f>
        <v>2015</v>
      </c>
      <c r="E106" s="265">
        <f t="array" ref="E106">IFerror(INDEX(Papers!G$2:G$998,MATCH($A106, Papers!$A$2:$A$998,0)),"")</f>
        <v>2014</v>
      </c>
      <c r="F106" s="265" t="s">
        <v>276</v>
      </c>
      <c r="G106" s="266" t="s">
        <v>11</v>
      </c>
      <c r="H106" s="282" t="s">
        <v>438</v>
      </c>
      <c r="I106" s="282"/>
      <c r="J106" s="301" t="s">
        <v>447</v>
      </c>
      <c r="K106" s="285">
        <v>0.05</v>
      </c>
      <c r="L106" s="271"/>
      <c r="M106" s="271">
        <v>0.17</v>
      </c>
      <c r="N106" s="271">
        <f t="shared" si="8"/>
        <v>-0.12</v>
      </c>
      <c r="O106" s="271"/>
    </row>
    <row r="107">
      <c r="A107" s="272">
        <v>11.0</v>
      </c>
      <c r="B107" s="273" t="str">
        <f t="array" ref="B107">IFerror(INDEX(Papers!C$2:C$998,MATCH($A107, Papers!$A$2:$A$998,0)),"")</f>
        <v>Do Mobile Phone Surveys Work in Poor Countries?</v>
      </c>
      <c r="C107" s="273" t="str">
        <f t="array" ref="C107">IFerror(INDEX(Papers!D$2:D$998,MATCH($A107, Papers!$A$2:$A$998,0)),"")</f>
        <v>Leo, Benjamin, Robert Morello, Jonathan Mellon, Tiago Peixoto, and Stephen Davenport</v>
      </c>
      <c r="D107" s="274">
        <f t="array" ref="D107">IFerror(INDEX(Papers!F$2:F$998,MATCH($A107, Papers!$A$2:$A$998,0)),"")</f>
        <v>2015</v>
      </c>
      <c r="E107" s="274">
        <f t="array" ref="E107">IFerror(INDEX(Papers!G$2:G$998,MATCH($A107, Papers!$A$2:$A$998,0)),"")</f>
        <v>2014</v>
      </c>
      <c r="F107" s="274" t="s">
        <v>267</v>
      </c>
      <c r="G107" s="275" t="s">
        <v>11</v>
      </c>
      <c r="H107" s="277" t="s">
        <v>438</v>
      </c>
      <c r="I107" s="277"/>
      <c r="J107" s="300" t="s">
        <v>447</v>
      </c>
      <c r="K107" s="288">
        <v>0.01</v>
      </c>
      <c r="L107" s="281"/>
      <c r="M107" s="281">
        <v>0.1</v>
      </c>
      <c r="N107" s="281">
        <f t="shared" si="8"/>
        <v>-0.09</v>
      </c>
      <c r="O107" s="281" t="str">
        <f>if(AND(L107&lt;&gt;0,M107&lt;&gt;0),L107-M107,"")</f>
        <v/>
      </c>
    </row>
    <row r="108">
      <c r="A108" s="263">
        <v>11.0</v>
      </c>
      <c r="B108" s="264" t="str">
        <f t="array" ref="B108">IFerror(INDEX(Papers!C$2:C$998,MATCH($A108, Papers!$A$2:$A$998,0)),"")</f>
        <v>Do Mobile Phone Surveys Work in Poor Countries?</v>
      </c>
      <c r="C108" s="264" t="str">
        <f t="array" ref="C108">IFerror(INDEX(Papers!D$2:D$998,MATCH($A108, Papers!$A$2:$A$998,0)),"")</f>
        <v>Leo, Benjamin, Robert Morello, Jonathan Mellon, Tiago Peixoto, and Stephen Davenport</v>
      </c>
      <c r="D108" s="265">
        <f t="array" ref="D108">IFerror(INDEX(Papers!F$2:F$998,MATCH($A108, Papers!$A$2:$A$998,0)),"")</f>
        <v>2015</v>
      </c>
      <c r="E108" s="265">
        <f t="array" ref="E108">IFerror(INDEX(Papers!G$2:G$998,MATCH($A108, Papers!$A$2:$A$998,0)),"")</f>
        <v>2014</v>
      </c>
      <c r="F108" s="265" t="s">
        <v>260</v>
      </c>
      <c r="G108" s="266" t="s">
        <v>11</v>
      </c>
      <c r="H108" s="282" t="s">
        <v>438</v>
      </c>
      <c r="I108" s="282"/>
      <c r="J108" s="301" t="s">
        <v>447</v>
      </c>
      <c r="K108" s="285">
        <v>0.2</v>
      </c>
      <c r="L108" s="285"/>
      <c r="M108" s="271">
        <v>0.17</v>
      </c>
      <c r="N108" s="271">
        <f t="shared" si="8"/>
        <v>0.03</v>
      </c>
      <c r="O108" s="271"/>
    </row>
    <row r="109">
      <c r="A109" s="272">
        <v>11.0</v>
      </c>
      <c r="B109" s="273" t="str">
        <f t="array" ref="B109">IFerror(INDEX(Papers!C$2:C$998,MATCH($A109, Papers!$A$2:$A$998,0)),"")</f>
        <v>Do Mobile Phone Surveys Work in Poor Countries?</v>
      </c>
      <c r="C109" s="273" t="str">
        <f t="array" ref="C109">IFerror(INDEX(Papers!D$2:D$998,MATCH($A109, Papers!$A$2:$A$998,0)),"")</f>
        <v>Leo, Benjamin, Robert Morello, Jonathan Mellon, Tiago Peixoto, and Stephen Davenport</v>
      </c>
      <c r="D109" s="274">
        <f t="array" ref="D109">IFerror(INDEX(Papers!F$2:F$998,MATCH($A109, Papers!$A$2:$A$998,0)),"")</f>
        <v>2015</v>
      </c>
      <c r="E109" s="274">
        <f t="array" ref="E109">IFerror(INDEX(Papers!G$2:G$998,MATCH($A109, Papers!$A$2:$A$998,0)),"")</f>
        <v>2014</v>
      </c>
      <c r="F109" s="274" t="s">
        <v>276</v>
      </c>
      <c r="G109" s="275" t="s">
        <v>11</v>
      </c>
      <c r="H109" s="277" t="s">
        <v>438</v>
      </c>
      <c r="I109" s="277"/>
      <c r="J109" s="278" t="s">
        <v>424</v>
      </c>
      <c r="K109" s="288">
        <v>0.54</v>
      </c>
      <c r="L109" s="281"/>
      <c r="M109" s="281">
        <v>0.42</v>
      </c>
      <c r="N109" s="281">
        <f t="shared" si="8"/>
        <v>0.12</v>
      </c>
      <c r="O109" s="281" t="str">
        <f t="shared" ref="O109:O112" si="15">if(AND(L109&lt;&gt;0,M109&lt;&gt;0),L109-M109,"")</f>
        <v/>
      </c>
    </row>
    <row r="110">
      <c r="A110" s="263">
        <v>11.0</v>
      </c>
      <c r="B110" s="264" t="str">
        <f t="array" ref="B110">IFerror(INDEX(Papers!C$2:C$998,MATCH($A110, Papers!$A$2:$A$998,0)),"")</f>
        <v>Do Mobile Phone Surveys Work in Poor Countries?</v>
      </c>
      <c r="C110" s="264" t="str">
        <f t="array" ref="C110">IFerror(INDEX(Papers!D$2:D$998,MATCH($A110, Papers!$A$2:$A$998,0)),"")</f>
        <v>Leo, Benjamin, Robert Morello, Jonathan Mellon, Tiago Peixoto, and Stephen Davenport</v>
      </c>
      <c r="D110" s="265">
        <f t="array" ref="D110">IFerror(INDEX(Papers!F$2:F$998,MATCH($A110, Papers!$A$2:$A$998,0)),"")</f>
        <v>2015</v>
      </c>
      <c r="E110" s="265">
        <f t="array" ref="E110">IFerror(INDEX(Papers!G$2:G$998,MATCH($A110, Papers!$A$2:$A$998,0)),"")</f>
        <v>2014</v>
      </c>
      <c r="F110" s="265" t="s">
        <v>267</v>
      </c>
      <c r="G110" s="266" t="s">
        <v>11</v>
      </c>
      <c r="H110" s="282" t="s">
        <v>438</v>
      </c>
      <c r="I110" s="282"/>
      <c r="J110" s="268" t="s">
        <v>424</v>
      </c>
      <c r="K110" s="285">
        <v>0.52</v>
      </c>
      <c r="L110" s="271"/>
      <c r="M110" s="271">
        <v>0.33</v>
      </c>
      <c r="N110" s="271">
        <f t="shared" si="8"/>
        <v>0.19</v>
      </c>
      <c r="O110" s="271" t="str">
        <f t="shared" si="15"/>
        <v/>
      </c>
    </row>
    <row r="111">
      <c r="A111" s="272">
        <v>11.0</v>
      </c>
      <c r="B111" s="273" t="str">
        <f t="array" ref="B111">IFerror(INDEX(Papers!C$2:C$998,MATCH($A111, Papers!$A$2:$A$998,0)),"")</f>
        <v>Do Mobile Phone Surveys Work in Poor Countries?</v>
      </c>
      <c r="C111" s="273" t="str">
        <f t="array" ref="C111">IFerror(INDEX(Papers!D$2:D$998,MATCH($A111, Papers!$A$2:$A$998,0)),"")</f>
        <v>Leo, Benjamin, Robert Morello, Jonathan Mellon, Tiago Peixoto, and Stephen Davenport</v>
      </c>
      <c r="D111" s="274">
        <f t="array" ref="D111">IFerror(INDEX(Papers!F$2:F$998,MATCH($A111, Papers!$A$2:$A$998,0)),"")</f>
        <v>2015</v>
      </c>
      <c r="E111" s="274">
        <f t="array" ref="E111">IFerror(INDEX(Papers!G$2:G$998,MATCH($A111, Papers!$A$2:$A$998,0)),"")</f>
        <v>2014</v>
      </c>
      <c r="F111" s="274" t="s">
        <v>263</v>
      </c>
      <c r="G111" s="275" t="s">
        <v>11</v>
      </c>
      <c r="H111" s="277" t="s">
        <v>438</v>
      </c>
      <c r="I111" s="277"/>
      <c r="J111" s="278" t="s">
        <v>424</v>
      </c>
      <c r="K111" s="288">
        <v>0.52</v>
      </c>
      <c r="L111" s="281"/>
      <c r="M111" s="281">
        <v>0.26</v>
      </c>
      <c r="N111" s="281">
        <f t="shared" si="8"/>
        <v>0.26</v>
      </c>
      <c r="O111" s="281" t="str">
        <f t="shared" si="15"/>
        <v/>
      </c>
    </row>
    <row r="112">
      <c r="A112" s="263">
        <v>11.0</v>
      </c>
      <c r="B112" s="264" t="str">
        <f t="array" ref="B112">IFerror(INDEX(Papers!C$2:C$998,MATCH($A112, Papers!$A$2:$A$998,0)),"")</f>
        <v>Do Mobile Phone Surveys Work in Poor Countries?</v>
      </c>
      <c r="C112" s="264" t="str">
        <f t="array" ref="C112">IFerror(INDEX(Papers!D$2:D$998,MATCH($A112, Papers!$A$2:$A$998,0)),"")</f>
        <v>Leo, Benjamin, Robert Morello, Jonathan Mellon, Tiago Peixoto, and Stephen Davenport</v>
      </c>
      <c r="D112" s="265">
        <f t="array" ref="D112">IFerror(INDEX(Papers!F$2:F$998,MATCH($A112, Papers!$A$2:$A$998,0)),"")</f>
        <v>2015</v>
      </c>
      <c r="E112" s="265">
        <f t="array" ref="E112">IFerror(INDEX(Papers!G$2:G$998,MATCH($A112, Papers!$A$2:$A$998,0)),"")</f>
        <v>2014</v>
      </c>
      <c r="F112" s="265" t="s">
        <v>260</v>
      </c>
      <c r="G112" s="266" t="s">
        <v>11</v>
      </c>
      <c r="H112" s="282" t="s">
        <v>438</v>
      </c>
      <c r="I112" s="282"/>
      <c r="J112" s="268" t="s">
        <v>424</v>
      </c>
      <c r="K112" s="285">
        <v>0.5</v>
      </c>
      <c r="L112" s="285"/>
      <c r="M112" s="271">
        <v>0.23</v>
      </c>
      <c r="N112" s="271">
        <f t="shared" si="8"/>
        <v>0.27</v>
      </c>
      <c r="O112" s="271" t="str">
        <f t="shared" si="15"/>
        <v/>
      </c>
    </row>
    <row r="113">
      <c r="A113" s="272">
        <v>11.0</v>
      </c>
      <c r="B113" s="273" t="str">
        <f t="array" ref="B113">IFerror(INDEX(Papers!C$2:C$998,MATCH($A113, Papers!$A$2:$A$998,0)),"")</f>
        <v>Do Mobile Phone Surveys Work in Poor Countries?</v>
      </c>
      <c r="C113" s="273" t="str">
        <f t="array" ref="C113">IFerror(INDEX(Papers!D$2:D$998,MATCH($A113, Papers!$A$2:$A$998,0)),"")</f>
        <v>Leo, Benjamin, Robert Morello, Jonathan Mellon, Tiago Peixoto, and Stephen Davenport</v>
      </c>
      <c r="D113" s="274">
        <f t="array" ref="D113">IFerror(INDEX(Papers!F$2:F$998,MATCH($A113, Papers!$A$2:$A$998,0)),"")</f>
        <v>2015</v>
      </c>
      <c r="E113" s="274">
        <f t="array" ref="E113">IFerror(INDEX(Papers!G$2:G$998,MATCH($A113, Papers!$A$2:$A$998,0)),"")</f>
        <v>2014</v>
      </c>
      <c r="F113" s="274" t="s">
        <v>276</v>
      </c>
      <c r="G113" s="275" t="s">
        <v>11</v>
      </c>
      <c r="H113" s="277" t="s">
        <v>438</v>
      </c>
      <c r="I113" s="277"/>
      <c r="J113" s="300" t="s">
        <v>436</v>
      </c>
      <c r="K113" s="302">
        <v>0.46</v>
      </c>
      <c r="L113" s="288"/>
      <c r="M113" s="303">
        <v>0.58</v>
      </c>
      <c r="N113" s="281">
        <f t="shared" si="8"/>
        <v>-0.12</v>
      </c>
      <c r="O113" s="281"/>
    </row>
    <row r="114">
      <c r="A114" s="263">
        <v>11.0</v>
      </c>
      <c r="B114" s="264" t="str">
        <f t="array" ref="B114">IFerror(INDEX(Papers!C$2:C$998,MATCH($A114, Papers!$A$2:$A$998,0)),"")</f>
        <v>Do Mobile Phone Surveys Work in Poor Countries?</v>
      </c>
      <c r="C114" s="264" t="str">
        <f t="array" ref="C114">IFerror(INDEX(Papers!D$2:D$998,MATCH($A114, Papers!$A$2:$A$998,0)),"")</f>
        <v>Leo, Benjamin, Robert Morello, Jonathan Mellon, Tiago Peixoto, and Stephen Davenport</v>
      </c>
      <c r="D114" s="265">
        <f t="array" ref="D114">IFerror(INDEX(Papers!F$2:F$998,MATCH($A114, Papers!$A$2:$A$998,0)),"")</f>
        <v>2015</v>
      </c>
      <c r="E114" s="265">
        <f t="array" ref="E114">IFerror(INDEX(Papers!G$2:G$998,MATCH($A114, Papers!$A$2:$A$998,0)),"")</f>
        <v>2014</v>
      </c>
      <c r="F114" s="265" t="s">
        <v>267</v>
      </c>
      <c r="G114" s="266" t="s">
        <v>11</v>
      </c>
      <c r="H114" s="282" t="s">
        <v>438</v>
      </c>
      <c r="I114" s="282"/>
      <c r="J114" s="301" t="s">
        <v>436</v>
      </c>
      <c r="K114" s="304">
        <v>0.48</v>
      </c>
      <c r="L114" s="285"/>
      <c r="M114" s="305">
        <v>0.67</v>
      </c>
      <c r="N114" s="271">
        <f t="shared" si="8"/>
        <v>-0.19</v>
      </c>
      <c r="O114" s="271"/>
    </row>
    <row r="115">
      <c r="A115" s="272">
        <v>11.0</v>
      </c>
      <c r="B115" s="273" t="str">
        <f t="array" ref="B115">IFerror(INDEX(Papers!C$2:C$998,MATCH($A115, Papers!$A$2:$A$998,0)),"")</f>
        <v>Do Mobile Phone Surveys Work in Poor Countries?</v>
      </c>
      <c r="C115" s="273" t="str">
        <f t="array" ref="C115">IFerror(INDEX(Papers!D$2:D$998,MATCH($A115, Papers!$A$2:$A$998,0)),"")</f>
        <v>Leo, Benjamin, Robert Morello, Jonathan Mellon, Tiago Peixoto, and Stephen Davenport</v>
      </c>
      <c r="D115" s="274">
        <f t="array" ref="D115">IFerror(INDEX(Papers!F$2:F$998,MATCH($A115, Papers!$A$2:$A$998,0)),"")</f>
        <v>2015</v>
      </c>
      <c r="E115" s="274">
        <f t="array" ref="E115">IFerror(INDEX(Papers!G$2:G$998,MATCH($A115, Papers!$A$2:$A$998,0)),"")</f>
        <v>2014</v>
      </c>
      <c r="F115" s="274" t="s">
        <v>263</v>
      </c>
      <c r="G115" s="275" t="s">
        <v>11</v>
      </c>
      <c r="H115" s="277" t="s">
        <v>438</v>
      </c>
      <c r="I115" s="277"/>
      <c r="J115" s="300" t="s">
        <v>436</v>
      </c>
      <c r="K115" s="302">
        <v>0.48</v>
      </c>
      <c r="L115" s="288"/>
      <c r="M115" s="303">
        <v>0.74</v>
      </c>
      <c r="N115" s="281">
        <f t="shared" si="8"/>
        <v>-0.26</v>
      </c>
      <c r="O115" s="281"/>
    </row>
    <row r="116">
      <c r="A116" s="263">
        <v>11.0</v>
      </c>
      <c r="B116" s="264" t="str">
        <f t="array" ref="B116">IFerror(INDEX(Papers!C$2:C$998,MATCH($A116, Papers!$A$2:$A$998,0)),"")</f>
        <v>Do Mobile Phone Surveys Work in Poor Countries?</v>
      </c>
      <c r="C116" s="264" t="str">
        <f t="array" ref="C116">IFerror(INDEX(Papers!D$2:D$998,MATCH($A116, Papers!$A$2:$A$998,0)),"")</f>
        <v>Leo, Benjamin, Robert Morello, Jonathan Mellon, Tiago Peixoto, and Stephen Davenport</v>
      </c>
      <c r="D116" s="265">
        <f t="array" ref="D116">IFerror(INDEX(Papers!F$2:F$998,MATCH($A116, Papers!$A$2:$A$998,0)),"")</f>
        <v>2015</v>
      </c>
      <c r="E116" s="265">
        <f t="array" ref="E116">IFerror(INDEX(Papers!G$2:G$998,MATCH($A116, Papers!$A$2:$A$998,0)),"")</f>
        <v>2014</v>
      </c>
      <c r="F116" s="265" t="s">
        <v>260</v>
      </c>
      <c r="G116" s="266" t="s">
        <v>11</v>
      </c>
      <c r="H116" s="282" t="s">
        <v>438</v>
      </c>
      <c r="I116" s="282"/>
      <c r="J116" s="301" t="s">
        <v>436</v>
      </c>
      <c r="K116" s="304">
        <v>0.5</v>
      </c>
      <c r="L116" s="285"/>
      <c r="M116" s="305">
        <v>0.77</v>
      </c>
      <c r="N116" s="271">
        <f t="shared" si="8"/>
        <v>-0.27</v>
      </c>
      <c r="O116" s="271"/>
    </row>
    <row r="117">
      <c r="A117" s="272">
        <v>11.0</v>
      </c>
      <c r="B117" s="273" t="str">
        <f t="array" ref="B117">IFerror(INDEX(Papers!C$2:C$998,MATCH($A117, Papers!$A$2:$A$998,0)),"")</f>
        <v>Do Mobile Phone Surveys Work in Poor Countries?</v>
      </c>
      <c r="C117" s="273" t="str">
        <f t="array" ref="C117">IFerror(INDEX(Papers!D$2:D$998,MATCH($A117, Papers!$A$2:$A$998,0)),"")</f>
        <v>Leo, Benjamin, Robert Morello, Jonathan Mellon, Tiago Peixoto, and Stephen Davenport</v>
      </c>
      <c r="D117" s="274">
        <f t="array" ref="D117">IFerror(INDEX(Papers!F$2:F$998,MATCH($A117, Papers!$A$2:$A$998,0)),"")</f>
        <v>2015</v>
      </c>
      <c r="E117" s="274">
        <f t="array" ref="E117">IFerror(INDEX(Papers!G$2:G$998,MATCH($A117, Papers!$A$2:$A$998,0)),"")</f>
        <v>2014</v>
      </c>
      <c r="F117" s="274" t="s">
        <v>263</v>
      </c>
      <c r="G117" s="275" t="s">
        <v>11</v>
      </c>
      <c r="H117" s="277" t="s">
        <v>438</v>
      </c>
      <c r="I117" s="277"/>
      <c r="J117" s="300" t="s">
        <v>448</v>
      </c>
      <c r="K117" s="288">
        <v>0.29</v>
      </c>
      <c r="L117" s="281"/>
      <c r="M117" s="281">
        <v>0.72</v>
      </c>
      <c r="N117" s="281">
        <f t="shared" si="8"/>
        <v>-0.43</v>
      </c>
      <c r="O117" s="281"/>
    </row>
    <row r="118">
      <c r="A118" s="263">
        <v>11.0</v>
      </c>
      <c r="B118" s="264" t="str">
        <f t="array" ref="B118">IFerror(INDEX(Papers!C$2:C$998,MATCH($A118, Papers!$A$2:$A$998,0)),"")</f>
        <v>Do Mobile Phone Surveys Work in Poor Countries?</v>
      </c>
      <c r="C118" s="264" t="str">
        <f t="array" ref="C118">IFerror(INDEX(Papers!D$2:D$998,MATCH($A118, Papers!$A$2:$A$998,0)),"")</f>
        <v>Leo, Benjamin, Robert Morello, Jonathan Mellon, Tiago Peixoto, and Stephen Davenport</v>
      </c>
      <c r="D118" s="265">
        <f t="array" ref="D118">IFerror(INDEX(Papers!F$2:F$998,MATCH($A118, Papers!$A$2:$A$998,0)),"")</f>
        <v>2015</v>
      </c>
      <c r="E118" s="265">
        <f t="array" ref="E118">IFerror(INDEX(Papers!G$2:G$998,MATCH($A118, Papers!$A$2:$A$998,0)),"")</f>
        <v>2014</v>
      </c>
      <c r="F118" s="265" t="s">
        <v>267</v>
      </c>
      <c r="G118" s="266" t="s">
        <v>11</v>
      </c>
      <c r="H118" s="282" t="s">
        <v>438</v>
      </c>
      <c r="I118" s="282"/>
      <c r="J118" s="301" t="s">
        <v>449</v>
      </c>
      <c r="K118" s="285">
        <v>0.11</v>
      </c>
      <c r="L118" s="271"/>
      <c r="M118" s="271">
        <v>0.08</v>
      </c>
      <c r="N118" s="271">
        <f t="shared" si="8"/>
        <v>0.03</v>
      </c>
      <c r="O118" s="271"/>
    </row>
    <row r="119">
      <c r="A119" s="272">
        <v>11.0</v>
      </c>
      <c r="B119" s="273" t="str">
        <f t="array" ref="B119">IFerror(INDEX(Papers!C$2:C$998,MATCH($A119, Papers!$A$2:$A$998,0)),"")</f>
        <v>Do Mobile Phone Surveys Work in Poor Countries?</v>
      </c>
      <c r="C119" s="273" t="str">
        <f t="array" ref="C119">IFerror(INDEX(Papers!D$2:D$998,MATCH($A119, Papers!$A$2:$A$998,0)),"")</f>
        <v>Leo, Benjamin, Robert Morello, Jonathan Mellon, Tiago Peixoto, and Stephen Davenport</v>
      </c>
      <c r="D119" s="274">
        <f t="array" ref="D119">IFerror(INDEX(Papers!F$2:F$998,MATCH($A119, Papers!$A$2:$A$998,0)),"")</f>
        <v>2015</v>
      </c>
      <c r="E119" s="274">
        <f t="array" ref="E119">IFerror(INDEX(Papers!G$2:G$998,MATCH($A119, Papers!$A$2:$A$998,0)),"")</f>
        <v>2014</v>
      </c>
      <c r="F119" s="274" t="s">
        <v>267</v>
      </c>
      <c r="G119" s="275" t="s">
        <v>11</v>
      </c>
      <c r="H119" s="277" t="s">
        <v>438</v>
      </c>
      <c r="I119" s="277"/>
      <c r="J119" s="300" t="s">
        <v>450</v>
      </c>
      <c r="K119" s="288">
        <v>0.07</v>
      </c>
      <c r="L119" s="281"/>
      <c r="M119" s="281">
        <v>0.02</v>
      </c>
      <c r="N119" s="281">
        <f t="shared" si="8"/>
        <v>0.05</v>
      </c>
      <c r="O119" s="281"/>
    </row>
    <row r="120">
      <c r="A120" s="263">
        <v>11.0</v>
      </c>
      <c r="B120" s="264" t="str">
        <f t="array" ref="B120">IFerror(INDEX(Papers!C$2:C$998,MATCH($A120, Papers!$A$2:$A$998,0)),"")</f>
        <v>Do Mobile Phone Surveys Work in Poor Countries?</v>
      </c>
      <c r="C120" s="264" t="str">
        <f t="array" ref="C120">IFerror(INDEX(Papers!D$2:D$998,MATCH($A120, Papers!$A$2:$A$998,0)),"")</f>
        <v>Leo, Benjamin, Robert Morello, Jonathan Mellon, Tiago Peixoto, and Stephen Davenport</v>
      </c>
      <c r="D120" s="265">
        <f t="array" ref="D120">IFerror(INDEX(Papers!F$2:F$998,MATCH($A120, Papers!$A$2:$A$998,0)),"")</f>
        <v>2015</v>
      </c>
      <c r="E120" s="265">
        <f t="array" ref="E120">IFerror(INDEX(Papers!G$2:G$998,MATCH($A120, Papers!$A$2:$A$998,0)),"")</f>
        <v>2014</v>
      </c>
      <c r="F120" s="265" t="s">
        <v>260</v>
      </c>
      <c r="G120" s="266" t="s">
        <v>11</v>
      </c>
      <c r="H120" s="282" t="s">
        <v>438</v>
      </c>
      <c r="I120" s="282"/>
      <c r="J120" s="301" t="s">
        <v>451</v>
      </c>
      <c r="K120" s="285">
        <v>0.5</v>
      </c>
      <c r="L120" s="271"/>
      <c r="M120" s="271">
        <v>0.63</v>
      </c>
      <c r="N120" s="271">
        <f t="shared" si="8"/>
        <v>-0.13</v>
      </c>
      <c r="O120" s="271"/>
    </row>
    <row r="121">
      <c r="A121" s="272">
        <v>11.0</v>
      </c>
      <c r="B121" s="273" t="str">
        <f t="array" ref="B121">IFerror(INDEX(Papers!C$2:C$998,MATCH($A121, Papers!$A$2:$A$998,0)),"")</f>
        <v>Do Mobile Phone Surveys Work in Poor Countries?</v>
      </c>
      <c r="C121" s="273" t="str">
        <f t="array" ref="C121">IFerror(INDEX(Papers!D$2:D$998,MATCH($A121, Papers!$A$2:$A$998,0)),"")</f>
        <v>Leo, Benjamin, Robert Morello, Jonathan Mellon, Tiago Peixoto, and Stephen Davenport</v>
      </c>
      <c r="D121" s="274">
        <f t="array" ref="D121">IFerror(INDEX(Papers!F$2:F$998,MATCH($A121, Papers!$A$2:$A$998,0)),"")</f>
        <v>2015</v>
      </c>
      <c r="E121" s="274">
        <f t="array" ref="E121">IFerror(INDEX(Papers!G$2:G$998,MATCH($A121, Papers!$A$2:$A$998,0)),"")</f>
        <v>2014</v>
      </c>
      <c r="F121" s="274" t="s">
        <v>276</v>
      </c>
      <c r="G121" s="275" t="s">
        <v>11</v>
      </c>
      <c r="H121" s="277" t="s">
        <v>438</v>
      </c>
      <c r="I121" s="277"/>
      <c r="J121" s="300" t="s">
        <v>452</v>
      </c>
      <c r="K121" s="288">
        <v>0.4</v>
      </c>
      <c r="L121" s="288"/>
      <c r="M121" s="288">
        <v>0.13</v>
      </c>
      <c r="N121" s="281">
        <f t="shared" si="8"/>
        <v>0.27</v>
      </c>
      <c r="O121" s="281"/>
    </row>
    <row r="122">
      <c r="A122" s="263">
        <v>11.0</v>
      </c>
      <c r="B122" s="264" t="str">
        <f t="array" ref="B122">IFerror(INDEX(Papers!C$2:C$998,MATCH($A122, Papers!$A$2:$A$998,0)),"")</f>
        <v>Do Mobile Phone Surveys Work in Poor Countries?</v>
      </c>
      <c r="C122" s="264" t="str">
        <f t="array" ref="C122">IFerror(INDEX(Papers!D$2:D$998,MATCH($A122, Papers!$A$2:$A$998,0)),"")</f>
        <v>Leo, Benjamin, Robert Morello, Jonathan Mellon, Tiago Peixoto, and Stephen Davenport</v>
      </c>
      <c r="D122" s="265">
        <f t="array" ref="D122">IFerror(INDEX(Papers!F$2:F$998,MATCH($A122, Papers!$A$2:$A$998,0)),"")</f>
        <v>2015</v>
      </c>
      <c r="E122" s="265">
        <f t="array" ref="E122">IFerror(INDEX(Papers!G$2:G$998,MATCH($A122, Papers!$A$2:$A$998,0)),"")</f>
        <v>2014</v>
      </c>
      <c r="F122" s="265" t="s">
        <v>267</v>
      </c>
      <c r="G122" s="266" t="s">
        <v>11</v>
      </c>
      <c r="H122" s="282" t="s">
        <v>438</v>
      </c>
      <c r="I122" s="282"/>
      <c r="J122" s="301" t="s">
        <v>453</v>
      </c>
      <c r="K122" s="285">
        <v>0.26</v>
      </c>
      <c r="L122" s="271"/>
      <c r="M122" s="271">
        <v>0.05</v>
      </c>
      <c r="N122" s="271">
        <f t="shared" si="8"/>
        <v>0.21</v>
      </c>
      <c r="O122" s="271"/>
    </row>
    <row r="123">
      <c r="A123" s="272">
        <v>11.0</v>
      </c>
      <c r="B123" s="273" t="str">
        <f t="array" ref="B123">IFerror(INDEX(Papers!C$2:C$998,MATCH($A123, Papers!$A$2:$A$998,0)),"")</f>
        <v>Do Mobile Phone Surveys Work in Poor Countries?</v>
      </c>
      <c r="C123" s="273" t="str">
        <f t="array" ref="C123">IFerror(INDEX(Papers!D$2:D$998,MATCH($A123, Papers!$A$2:$A$998,0)),"")</f>
        <v>Leo, Benjamin, Robert Morello, Jonathan Mellon, Tiago Peixoto, and Stephen Davenport</v>
      </c>
      <c r="D123" s="274">
        <f t="array" ref="D123">IFerror(INDEX(Papers!F$2:F$998,MATCH($A123, Papers!$A$2:$A$998,0)),"")</f>
        <v>2015</v>
      </c>
      <c r="E123" s="274">
        <f t="array" ref="E123">IFerror(INDEX(Papers!G$2:G$998,MATCH($A123, Papers!$A$2:$A$998,0)),"")</f>
        <v>2014</v>
      </c>
      <c r="F123" s="274" t="s">
        <v>276</v>
      </c>
      <c r="G123" s="275" t="s">
        <v>11</v>
      </c>
      <c r="H123" s="277" t="s">
        <v>438</v>
      </c>
      <c r="I123" s="277"/>
      <c r="J123" s="300" t="s">
        <v>454</v>
      </c>
      <c r="K123" s="288">
        <v>0.4</v>
      </c>
      <c r="L123" s="288"/>
      <c r="M123" s="288">
        <v>0.1</v>
      </c>
      <c r="N123" s="281">
        <f t="shared" si="8"/>
        <v>0.3</v>
      </c>
      <c r="O123" s="281"/>
    </row>
    <row r="124">
      <c r="A124" s="263">
        <v>11.0</v>
      </c>
      <c r="B124" s="264" t="str">
        <f t="array" ref="B124">IFerror(INDEX(Papers!C$2:C$998,MATCH($A124, Papers!$A$2:$A$998,0)),"")</f>
        <v>Do Mobile Phone Surveys Work in Poor Countries?</v>
      </c>
      <c r="C124" s="264" t="str">
        <f t="array" ref="C124">IFerror(INDEX(Papers!D$2:D$998,MATCH($A124, Papers!$A$2:$A$998,0)),"")</f>
        <v>Leo, Benjamin, Robert Morello, Jonathan Mellon, Tiago Peixoto, and Stephen Davenport</v>
      </c>
      <c r="D124" s="265">
        <f t="array" ref="D124">IFerror(INDEX(Papers!F$2:F$998,MATCH($A124, Papers!$A$2:$A$998,0)),"")</f>
        <v>2015</v>
      </c>
      <c r="E124" s="265">
        <f t="array" ref="E124">IFerror(INDEX(Papers!G$2:G$998,MATCH($A124, Papers!$A$2:$A$998,0)),"")</f>
        <v>2014</v>
      </c>
      <c r="F124" s="265" t="s">
        <v>263</v>
      </c>
      <c r="G124" s="266" t="s">
        <v>11</v>
      </c>
      <c r="H124" s="282" t="s">
        <v>438</v>
      </c>
      <c r="I124" s="282"/>
      <c r="J124" s="301" t="s">
        <v>455</v>
      </c>
      <c r="K124" s="285">
        <v>0.34</v>
      </c>
      <c r="L124" s="271"/>
      <c r="M124" s="271">
        <v>0.28</v>
      </c>
      <c r="N124" s="271">
        <f t="shared" si="8"/>
        <v>0.06</v>
      </c>
      <c r="O124" s="271"/>
    </row>
    <row r="125">
      <c r="A125" s="272">
        <v>11.0</v>
      </c>
      <c r="B125" s="273" t="str">
        <f t="array" ref="B125">IFerror(INDEX(Papers!C$2:C$998,MATCH($A125, Papers!$A$2:$A$998,0)),"")</f>
        <v>Do Mobile Phone Surveys Work in Poor Countries?</v>
      </c>
      <c r="C125" s="273" t="str">
        <f t="array" ref="C125">IFerror(INDEX(Papers!D$2:D$998,MATCH($A125, Papers!$A$2:$A$998,0)),"")</f>
        <v>Leo, Benjamin, Robert Morello, Jonathan Mellon, Tiago Peixoto, and Stephen Davenport</v>
      </c>
      <c r="D125" s="274">
        <f t="array" ref="D125">IFerror(INDEX(Papers!F$2:F$998,MATCH($A125, Papers!$A$2:$A$998,0)),"")</f>
        <v>2015</v>
      </c>
      <c r="E125" s="274">
        <f t="array" ref="E125">IFerror(INDEX(Papers!G$2:G$998,MATCH($A125, Papers!$A$2:$A$998,0)),"")</f>
        <v>2014</v>
      </c>
      <c r="F125" s="274" t="s">
        <v>260</v>
      </c>
      <c r="G125" s="275" t="s">
        <v>11</v>
      </c>
      <c r="H125" s="277" t="s">
        <v>438</v>
      </c>
      <c r="I125" s="277"/>
      <c r="J125" s="300" t="s">
        <v>456</v>
      </c>
      <c r="K125" s="288">
        <v>0.33</v>
      </c>
      <c r="L125" s="281"/>
      <c r="M125" s="281">
        <v>0.37</v>
      </c>
      <c r="N125" s="281">
        <f t="shared" si="8"/>
        <v>-0.04</v>
      </c>
      <c r="O125" s="281"/>
    </row>
    <row r="126">
      <c r="A126" s="263">
        <v>11.0</v>
      </c>
      <c r="B126" s="264" t="str">
        <f t="array" ref="B126">IFerror(INDEX(Papers!C$2:C$998,MATCH($A126, Papers!$A$2:$A$998,0)),"")</f>
        <v>Do Mobile Phone Surveys Work in Poor Countries?</v>
      </c>
      <c r="C126" s="264" t="str">
        <f t="array" ref="C126">IFerror(INDEX(Papers!D$2:D$998,MATCH($A126, Papers!$A$2:$A$998,0)),"")</f>
        <v>Leo, Benjamin, Robert Morello, Jonathan Mellon, Tiago Peixoto, and Stephen Davenport</v>
      </c>
      <c r="D126" s="265">
        <f t="array" ref="D126">IFerror(INDEX(Papers!F$2:F$998,MATCH($A126, Papers!$A$2:$A$998,0)),"")</f>
        <v>2015</v>
      </c>
      <c r="E126" s="265">
        <f t="array" ref="E126">IFerror(INDEX(Papers!G$2:G$998,MATCH($A126, Papers!$A$2:$A$998,0)),"")</f>
        <v>2014</v>
      </c>
      <c r="F126" s="265" t="s">
        <v>267</v>
      </c>
      <c r="G126" s="266" t="s">
        <v>11</v>
      </c>
      <c r="H126" s="282" t="s">
        <v>438</v>
      </c>
      <c r="I126" s="282"/>
      <c r="J126" s="301" t="s">
        <v>457</v>
      </c>
      <c r="K126" s="285">
        <v>0.15</v>
      </c>
      <c r="L126" s="271"/>
      <c r="M126" s="271">
        <v>0.85</v>
      </c>
      <c r="N126" s="271">
        <f t="shared" si="8"/>
        <v>-0.7</v>
      </c>
      <c r="O126" s="271"/>
    </row>
    <row r="127">
      <c r="A127" s="272">
        <v>11.0</v>
      </c>
      <c r="B127" s="273" t="str">
        <f t="array" ref="B127">IFerror(INDEX(Papers!C$2:C$998,MATCH($A127, Papers!$A$2:$A$998,0)),"")</f>
        <v>Do Mobile Phone Surveys Work in Poor Countries?</v>
      </c>
      <c r="C127" s="273" t="str">
        <f t="array" ref="C127">IFerror(INDEX(Papers!D$2:D$998,MATCH($A127, Papers!$A$2:$A$998,0)),"")</f>
        <v>Leo, Benjamin, Robert Morello, Jonathan Mellon, Tiago Peixoto, and Stephen Davenport</v>
      </c>
      <c r="D127" s="274">
        <f t="array" ref="D127">IFerror(INDEX(Papers!F$2:F$998,MATCH($A127, Papers!$A$2:$A$998,0)),"")</f>
        <v>2015</v>
      </c>
      <c r="E127" s="274">
        <f t="array" ref="E127">IFerror(INDEX(Papers!G$2:G$998,MATCH($A127, Papers!$A$2:$A$998,0)),"")</f>
        <v>2014</v>
      </c>
      <c r="F127" s="274" t="s">
        <v>267</v>
      </c>
      <c r="G127" s="275" t="s">
        <v>11</v>
      </c>
      <c r="H127" s="277" t="s">
        <v>438</v>
      </c>
      <c r="I127" s="277"/>
      <c r="J127" s="300" t="s">
        <v>458</v>
      </c>
      <c r="K127" s="288">
        <v>0.08</v>
      </c>
      <c r="L127" s="281"/>
      <c r="M127" s="281">
        <v>0.0</v>
      </c>
      <c r="N127" s="281">
        <f>K127-M127</f>
        <v>0.08</v>
      </c>
      <c r="O127" s="281"/>
    </row>
    <row r="128">
      <c r="A128" s="263">
        <v>11.0</v>
      </c>
      <c r="B128" s="264" t="str">
        <f t="array" ref="B128">IFerror(INDEX(Papers!C$2:C$998,MATCH($A128, Papers!$A$2:$A$998,0)),"")</f>
        <v>Do Mobile Phone Surveys Work in Poor Countries?</v>
      </c>
      <c r="C128" s="264" t="str">
        <f t="array" ref="C128">IFerror(INDEX(Papers!D$2:D$998,MATCH($A128, Papers!$A$2:$A$998,0)),"")</f>
        <v>Leo, Benjamin, Robert Morello, Jonathan Mellon, Tiago Peixoto, and Stephen Davenport</v>
      </c>
      <c r="D128" s="265">
        <f t="array" ref="D128">IFerror(INDEX(Papers!F$2:F$998,MATCH($A128, Papers!$A$2:$A$998,0)),"")</f>
        <v>2015</v>
      </c>
      <c r="E128" s="265">
        <f t="array" ref="E128">IFerror(INDEX(Papers!G$2:G$998,MATCH($A128, Papers!$A$2:$A$998,0)),"")</f>
        <v>2014</v>
      </c>
      <c r="F128" s="265" t="s">
        <v>276</v>
      </c>
      <c r="G128" s="266" t="s">
        <v>11</v>
      </c>
      <c r="H128" s="282" t="s">
        <v>438</v>
      </c>
      <c r="I128" s="282"/>
      <c r="J128" s="301" t="s">
        <v>459</v>
      </c>
      <c r="K128" s="285">
        <v>0.2</v>
      </c>
      <c r="L128" s="285"/>
      <c r="M128" s="285">
        <v>0.77</v>
      </c>
      <c r="N128" s="271">
        <f>if(AND(K128&lt;&gt;0,M128&lt;&gt;0),K128-M128,"")</f>
        <v>-0.57</v>
      </c>
      <c r="O128" s="271"/>
    </row>
    <row r="129">
      <c r="A129" s="272">
        <v>11.0</v>
      </c>
      <c r="B129" s="273" t="str">
        <f t="array" ref="B129">IFerror(INDEX(Papers!C$2:C$998,MATCH($A129, Papers!$A$2:$A$998,0)),"")</f>
        <v>Do Mobile Phone Surveys Work in Poor Countries?</v>
      </c>
      <c r="C129" s="273" t="str">
        <f t="array" ref="C129">IFerror(INDEX(Papers!D$2:D$998,MATCH($A129, Papers!$A$2:$A$998,0)),"")</f>
        <v>Leo, Benjamin, Robert Morello, Jonathan Mellon, Tiago Peixoto, and Stephen Davenport</v>
      </c>
      <c r="D129" s="274">
        <f t="array" ref="D129">IFerror(INDEX(Papers!F$2:F$998,MATCH($A129, Papers!$A$2:$A$998,0)),"")</f>
        <v>2015</v>
      </c>
      <c r="E129" s="274">
        <f t="array" ref="E129">IFerror(INDEX(Papers!G$2:G$998,MATCH($A129, Papers!$A$2:$A$998,0)),"")</f>
        <v>2014</v>
      </c>
      <c r="F129" s="274" t="s">
        <v>263</v>
      </c>
      <c r="G129" s="275" t="s">
        <v>11</v>
      </c>
      <c r="H129" s="277" t="s">
        <v>438</v>
      </c>
      <c r="I129" s="277"/>
      <c r="J129" s="300" t="s">
        <v>460</v>
      </c>
      <c r="K129" s="288">
        <v>0.04</v>
      </c>
      <c r="L129" s="281"/>
      <c r="M129" s="281">
        <v>0.0</v>
      </c>
      <c r="N129" s="288">
        <f t="shared" ref="N129:N131" si="16">K129-M129</f>
        <v>0.04</v>
      </c>
      <c r="O129" s="281"/>
    </row>
    <row r="130">
      <c r="A130" s="263">
        <v>11.0</v>
      </c>
      <c r="B130" s="264" t="str">
        <f t="array" ref="B130">IFerror(INDEX(Papers!C$2:C$998,MATCH($A130, Papers!$A$2:$A$998,0)),"")</f>
        <v>Do Mobile Phone Surveys Work in Poor Countries?</v>
      </c>
      <c r="C130" s="264" t="str">
        <f t="array" ref="C130">IFerror(INDEX(Papers!D$2:D$998,MATCH($A130, Papers!$A$2:$A$998,0)),"")</f>
        <v>Leo, Benjamin, Robert Morello, Jonathan Mellon, Tiago Peixoto, and Stephen Davenport</v>
      </c>
      <c r="D130" s="265">
        <f t="array" ref="D130">IFerror(INDEX(Papers!F$2:F$998,MATCH($A130, Papers!$A$2:$A$998,0)),"")</f>
        <v>2015</v>
      </c>
      <c r="E130" s="265">
        <f t="array" ref="E130">IFerror(INDEX(Papers!G$2:G$998,MATCH($A130, Papers!$A$2:$A$998,0)),"")</f>
        <v>2014</v>
      </c>
      <c r="F130" s="265" t="s">
        <v>263</v>
      </c>
      <c r="G130" s="266" t="s">
        <v>11</v>
      </c>
      <c r="H130" s="282" t="s">
        <v>438</v>
      </c>
      <c r="I130" s="282"/>
      <c r="J130" s="301" t="s">
        <v>461</v>
      </c>
      <c r="K130" s="285">
        <v>0.06</v>
      </c>
      <c r="L130" s="271"/>
      <c r="M130" s="271">
        <v>0.0</v>
      </c>
      <c r="N130" s="285">
        <f t="shared" si="16"/>
        <v>0.06</v>
      </c>
      <c r="O130" s="271"/>
    </row>
    <row r="131">
      <c r="A131" s="272">
        <v>11.0</v>
      </c>
      <c r="B131" s="273" t="str">
        <f t="array" ref="B131">IFerror(INDEX(Papers!C$2:C$998,MATCH($A131, Papers!$A$2:$A$998,0)),"")</f>
        <v>Do Mobile Phone Surveys Work in Poor Countries?</v>
      </c>
      <c r="C131" s="273" t="str">
        <f t="array" ref="C131">IFerror(INDEX(Papers!D$2:D$998,MATCH($A131, Papers!$A$2:$A$998,0)),"")</f>
        <v>Leo, Benjamin, Robert Morello, Jonathan Mellon, Tiago Peixoto, and Stephen Davenport</v>
      </c>
      <c r="D131" s="274">
        <f t="array" ref="D131">IFerror(INDEX(Papers!F$2:F$998,MATCH($A131, Papers!$A$2:$A$998,0)),"")</f>
        <v>2015</v>
      </c>
      <c r="E131" s="274">
        <f t="array" ref="E131">IFerror(INDEX(Papers!G$2:G$998,MATCH($A131, Papers!$A$2:$A$998,0)),"")</f>
        <v>2014</v>
      </c>
      <c r="F131" s="274" t="s">
        <v>263</v>
      </c>
      <c r="G131" s="275" t="s">
        <v>11</v>
      </c>
      <c r="H131" s="277" t="s">
        <v>438</v>
      </c>
      <c r="I131" s="277"/>
      <c r="J131" s="300" t="s">
        <v>462</v>
      </c>
      <c r="K131" s="288">
        <v>0.06</v>
      </c>
      <c r="L131" s="281"/>
      <c r="M131" s="281">
        <v>0.0</v>
      </c>
      <c r="N131" s="288">
        <f t="shared" si="16"/>
        <v>0.06</v>
      </c>
      <c r="O131" s="281"/>
    </row>
    <row r="132">
      <c r="A132" s="263">
        <v>11.0</v>
      </c>
      <c r="B132" s="264" t="str">
        <f t="array" ref="B132">IFerror(INDEX(Papers!C$2:C$998,MATCH($A132, Papers!$A$2:$A$998,0)),"")</f>
        <v>Do Mobile Phone Surveys Work in Poor Countries?</v>
      </c>
      <c r="C132" s="264" t="str">
        <f t="array" ref="C132">IFerror(INDEX(Papers!D$2:D$998,MATCH($A132, Papers!$A$2:$A$998,0)),"")</f>
        <v>Leo, Benjamin, Robert Morello, Jonathan Mellon, Tiago Peixoto, and Stephen Davenport</v>
      </c>
      <c r="D132" s="265">
        <f t="array" ref="D132">IFerror(INDEX(Papers!F$2:F$998,MATCH($A132, Papers!$A$2:$A$998,0)),"")</f>
        <v>2015</v>
      </c>
      <c r="E132" s="265">
        <f t="array" ref="E132">IFerror(INDEX(Papers!G$2:G$998,MATCH($A132, Papers!$A$2:$A$998,0)),"")</f>
        <v>2014</v>
      </c>
      <c r="F132" s="265" t="s">
        <v>263</v>
      </c>
      <c r="G132" s="266" t="s">
        <v>11</v>
      </c>
      <c r="H132" s="282" t="s">
        <v>438</v>
      </c>
      <c r="I132" s="282"/>
      <c r="J132" s="268" t="s">
        <v>427</v>
      </c>
      <c r="K132" s="285">
        <v>0.22</v>
      </c>
      <c r="L132" s="271"/>
      <c r="M132" s="271">
        <v>0.65</v>
      </c>
      <c r="N132" s="271">
        <f t="shared" ref="N132:N235" si="17">if(AND(K132&lt;&gt;0,M132&lt;&gt;0),K132-M132,"")</f>
        <v>-0.43</v>
      </c>
      <c r="O132" s="271" t="str">
        <f t="shared" ref="O132:O239" si="18">if(AND(L132&lt;&gt;0,M132&lt;&gt;0),L132-M132,"")</f>
        <v/>
      </c>
    </row>
    <row r="133">
      <c r="A133" s="272">
        <v>11.0</v>
      </c>
      <c r="B133" s="273" t="str">
        <f t="array" ref="B133">IFerror(INDEX(Papers!C$2:C$998,MATCH($A133, Papers!$A$2:$A$998,0)),"")</f>
        <v>Do Mobile Phone Surveys Work in Poor Countries?</v>
      </c>
      <c r="C133" s="273" t="str">
        <f t="array" ref="C133">IFerror(INDEX(Papers!D$2:D$998,MATCH($A133, Papers!$A$2:$A$998,0)),"")</f>
        <v>Leo, Benjamin, Robert Morello, Jonathan Mellon, Tiago Peixoto, and Stephen Davenport</v>
      </c>
      <c r="D133" s="274">
        <f t="array" ref="D133">IFerror(INDEX(Papers!F$2:F$998,MATCH($A133, Papers!$A$2:$A$998,0)),"")</f>
        <v>2015</v>
      </c>
      <c r="E133" s="274">
        <f t="array" ref="E133">IFerror(INDEX(Papers!G$2:G$998,MATCH($A133, Papers!$A$2:$A$998,0)),"")</f>
        <v>2014</v>
      </c>
      <c r="F133" s="274" t="s">
        <v>267</v>
      </c>
      <c r="G133" s="275" t="s">
        <v>11</v>
      </c>
      <c r="H133" s="277" t="s">
        <v>438</v>
      </c>
      <c r="I133" s="277"/>
      <c r="J133" s="278" t="s">
        <v>427</v>
      </c>
      <c r="K133" s="288">
        <v>0.32</v>
      </c>
      <c r="L133" s="281"/>
      <c r="M133" s="281">
        <v>0.59</v>
      </c>
      <c r="N133" s="281">
        <f t="shared" si="17"/>
        <v>-0.27</v>
      </c>
      <c r="O133" s="281" t="str">
        <f t="shared" si="18"/>
        <v/>
      </c>
    </row>
    <row r="134">
      <c r="A134" s="263">
        <v>11.0</v>
      </c>
      <c r="B134" s="264" t="str">
        <f t="array" ref="B134">IFerror(INDEX(Papers!C$2:C$998,MATCH($A134, Papers!$A$2:$A$998,0)),"")</f>
        <v>Do Mobile Phone Surveys Work in Poor Countries?</v>
      </c>
      <c r="C134" s="264" t="str">
        <f t="array" ref="C134">IFerror(INDEX(Papers!D$2:D$998,MATCH($A134, Papers!$A$2:$A$998,0)),"")</f>
        <v>Leo, Benjamin, Robert Morello, Jonathan Mellon, Tiago Peixoto, and Stephen Davenport</v>
      </c>
      <c r="D134" s="265">
        <f t="array" ref="D134">IFerror(INDEX(Papers!F$2:F$998,MATCH($A134, Papers!$A$2:$A$998,0)),"")</f>
        <v>2015</v>
      </c>
      <c r="E134" s="265">
        <f t="array" ref="E134">IFerror(INDEX(Papers!G$2:G$998,MATCH($A134, Papers!$A$2:$A$998,0)),"")</f>
        <v>2014</v>
      </c>
      <c r="F134" s="265" t="s">
        <v>260</v>
      </c>
      <c r="G134" s="266" t="s">
        <v>11</v>
      </c>
      <c r="H134" s="282" t="s">
        <v>438</v>
      </c>
      <c r="I134" s="282"/>
      <c r="J134" s="268" t="s">
        <v>427</v>
      </c>
      <c r="K134" s="285">
        <v>0.21</v>
      </c>
      <c r="L134" s="285"/>
      <c r="M134" s="271">
        <v>0.41</v>
      </c>
      <c r="N134" s="271">
        <f t="shared" si="17"/>
        <v>-0.2</v>
      </c>
      <c r="O134" s="271" t="str">
        <f t="shared" si="18"/>
        <v/>
      </c>
    </row>
    <row r="135">
      <c r="A135" s="272">
        <v>11.0</v>
      </c>
      <c r="B135" s="273" t="str">
        <f t="array" ref="B135">IFerror(INDEX(Papers!C$2:C$998,MATCH($A135, Papers!$A$2:$A$998,0)),"")</f>
        <v>Do Mobile Phone Surveys Work in Poor Countries?</v>
      </c>
      <c r="C135" s="273" t="str">
        <f t="array" ref="C135">IFerror(INDEX(Papers!D$2:D$998,MATCH($A135, Papers!$A$2:$A$998,0)),"")</f>
        <v>Leo, Benjamin, Robert Morello, Jonathan Mellon, Tiago Peixoto, and Stephen Davenport</v>
      </c>
      <c r="D135" s="274">
        <f t="array" ref="D135">IFerror(INDEX(Papers!F$2:F$998,MATCH($A135, Papers!$A$2:$A$998,0)),"")</f>
        <v>2015</v>
      </c>
      <c r="E135" s="274">
        <f t="array" ref="E135">IFerror(INDEX(Papers!G$2:G$998,MATCH($A135, Papers!$A$2:$A$998,0)),"")</f>
        <v>2014</v>
      </c>
      <c r="F135" s="274" t="s">
        <v>276</v>
      </c>
      <c r="G135" s="275" t="s">
        <v>11</v>
      </c>
      <c r="H135" s="277" t="s">
        <v>438</v>
      </c>
      <c r="I135" s="277"/>
      <c r="J135" s="278" t="s">
        <v>427</v>
      </c>
      <c r="K135" s="288">
        <v>0.35</v>
      </c>
      <c r="L135" s="281"/>
      <c r="M135" s="281">
        <v>0.47</v>
      </c>
      <c r="N135" s="281">
        <f t="shared" si="17"/>
        <v>-0.12</v>
      </c>
      <c r="O135" s="281" t="str">
        <f t="shared" si="18"/>
        <v/>
      </c>
    </row>
    <row r="136">
      <c r="A136" s="263">
        <v>11.0</v>
      </c>
      <c r="B136" s="264" t="str">
        <f t="array" ref="B136">IFerror(INDEX(Papers!C$2:C$998,MATCH($A136, Papers!$A$2:$A$998,0)),"")</f>
        <v>Do Mobile Phone Surveys Work in Poor Countries?</v>
      </c>
      <c r="C136" s="264" t="str">
        <f t="array" ref="C136">IFerror(INDEX(Papers!D$2:D$998,MATCH($A136, Papers!$A$2:$A$998,0)),"")</f>
        <v>Leo, Benjamin, Robert Morello, Jonathan Mellon, Tiago Peixoto, and Stephen Davenport</v>
      </c>
      <c r="D136" s="265">
        <f t="array" ref="D136">IFerror(INDEX(Papers!F$2:F$998,MATCH($A136, Papers!$A$2:$A$998,0)),"")</f>
        <v>2015</v>
      </c>
      <c r="E136" s="265">
        <f t="array" ref="E136">IFerror(INDEX(Papers!G$2:G$998,MATCH($A136, Papers!$A$2:$A$998,0)),"")</f>
        <v>2014</v>
      </c>
      <c r="F136" s="265" t="s">
        <v>263</v>
      </c>
      <c r="G136" s="266" t="s">
        <v>11</v>
      </c>
      <c r="H136" s="282" t="s">
        <v>438</v>
      </c>
      <c r="I136" s="282"/>
      <c r="J136" s="301" t="s">
        <v>463</v>
      </c>
      <c r="K136" s="285">
        <v>0.44</v>
      </c>
      <c r="L136" s="271"/>
      <c r="M136" s="271">
        <v>0.44</v>
      </c>
      <c r="N136" s="271">
        <f t="shared" si="17"/>
        <v>0</v>
      </c>
      <c r="O136" s="271" t="str">
        <f t="shared" si="18"/>
        <v/>
      </c>
    </row>
    <row r="137">
      <c r="A137" s="272">
        <v>11.0</v>
      </c>
      <c r="B137" s="273" t="str">
        <f t="array" ref="B137">IFerror(INDEX(Papers!C$2:C$998,MATCH($A137, Papers!$A$2:$A$998,0)),"")</f>
        <v>Do Mobile Phone Surveys Work in Poor Countries?</v>
      </c>
      <c r="C137" s="273" t="str">
        <f t="array" ref="C137">IFerror(INDEX(Papers!D$2:D$998,MATCH($A137, Papers!$A$2:$A$998,0)),"")</f>
        <v>Leo, Benjamin, Robert Morello, Jonathan Mellon, Tiago Peixoto, and Stephen Davenport</v>
      </c>
      <c r="D137" s="274">
        <f t="array" ref="D137">IFerror(INDEX(Papers!F$2:F$998,MATCH($A137, Papers!$A$2:$A$998,0)),"")</f>
        <v>2015</v>
      </c>
      <c r="E137" s="274">
        <f t="array" ref="E137">IFerror(INDEX(Papers!G$2:G$998,MATCH($A137, Papers!$A$2:$A$998,0)),"")</f>
        <v>2014</v>
      </c>
      <c r="F137" s="274" t="s">
        <v>267</v>
      </c>
      <c r="G137" s="275" t="s">
        <v>11</v>
      </c>
      <c r="H137" s="277" t="s">
        <v>438</v>
      </c>
      <c r="I137" s="277"/>
      <c r="J137" s="300" t="s">
        <v>464</v>
      </c>
      <c r="K137" s="288">
        <v>0.44</v>
      </c>
      <c r="L137" s="281"/>
      <c r="M137" s="281">
        <v>0.61</v>
      </c>
      <c r="N137" s="281">
        <f t="shared" si="17"/>
        <v>-0.17</v>
      </c>
      <c r="O137" s="281" t="str">
        <f t="shared" si="18"/>
        <v/>
      </c>
    </row>
    <row r="138">
      <c r="A138" s="263">
        <v>11.0</v>
      </c>
      <c r="B138" s="264" t="str">
        <f t="array" ref="B138">IFerror(INDEX(Papers!C$2:C$998,MATCH($A138, Papers!$A$2:$A$998,0)),"")</f>
        <v>Do Mobile Phone Surveys Work in Poor Countries?</v>
      </c>
      <c r="C138" s="264" t="str">
        <f t="array" ref="C138">IFerror(INDEX(Papers!D$2:D$998,MATCH($A138, Papers!$A$2:$A$998,0)),"")</f>
        <v>Leo, Benjamin, Robert Morello, Jonathan Mellon, Tiago Peixoto, and Stephen Davenport</v>
      </c>
      <c r="D138" s="265">
        <f t="array" ref="D138">IFerror(INDEX(Papers!F$2:F$998,MATCH($A138, Papers!$A$2:$A$998,0)),"")</f>
        <v>2015</v>
      </c>
      <c r="E138" s="265">
        <f t="array" ref="E138">IFerror(INDEX(Papers!G$2:G$998,MATCH($A138, Papers!$A$2:$A$998,0)),"")</f>
        <v>2014</v>
      </c>
      <c r="F138" s="265" t="s">
        <v>276</v>
      </c>
      <c r="G138" s="266" t="s">
        <v>11</v>
      </c>
      <c r="H138" s="282" t="s">
        <v>438</v>
      </c>
      <c r="I138" s="282"/>
      <c r="J138" s="301" t="s">
        <v>464</v>
      </c>
      <c r="K138" s="285">
        <v>0.73</v>
      </c>
      <c r="L138" s="271"/>
      <c r="M138" s="271">
        <v>0.73</v>
      </c>
      <c r="N138" s="271">
        <f t="shared" si="17"/>
        <v>0</v>
      </c>
      <c r="O138" s="271" t="str">
        <f t="shared" si="18"/>
        <v/>
      </c>
    </row>
    <row r="139">
      <c r="A139" s="272">
        <v>11.0</v>
      </c>
      <c r="B139" s="273" t="str">
        <f t="array" ref="B139">IFerror(INDEX(Papers!C$2:C$998,MATCH($A139, Papers!$A$2:$A$998,0)),"")</f>
        <v>Do Mobile Phone Surveys Work in Poor Countries?</v>
      </c>
      <c r="C139" s="273" t="str">
        <f t="array" ref="C139">IFerror(INDEX(Papers!D$2:D$998,MATCH($A139, Papers!$A$2:$A$998,0)),"")</f>
        <v>Leo, Benjamin, Robert Morello, Jonathan Mellon, Tiago Peixoto, and Stephen Davenport</v>
      </c>
      <c r="D139" s="274">
        <f t="array" ref="D139">IFerror(INDEX(Papers!F$2:F$998,MATCH($A139, Papers!$A$2:$A$998,0)),"")</f>
        <v>2015</v>
      </c>
      <c r="E139" s="274">
        <f t="array" ref="E139">IFerror(INDEX(Papers!G$2:G$998,MATCH($A139, Papers!$A$2:$A$998,0)),"")</f>
        <v>2014</v>
      </c>
      <c r="F139" s="274" t="s">
        <v>260</v>
      </c>
      <c r="G139" s="275" t="s">
        <v>11</v>
      </c>
      <c r="H139" s="277" t="s">
        <v>438</v>
      </c>
      <c r="I139" s="277"/>
      <c r="J139" s="300" t="s">
        <v>464</v>
      </c>
      <c r="K139" s="288">
        <v>0.38</v>
      </c>
      <c r="L139" s="288"/>
      <c r="M139" s="281">
        <v>0.33</v>
      </c>
      <c r="N139" s="281">
        <f t="shared" si="17"/>
        <v>0.05</v>
      </c>
      <c r="O139" s="281" t="str">
        <f t="shared" si="18"/>
        <v/>
      </c>
    </row>
    <row r="140">
      <c r="A140" s="263">
        <v>11.0</v>
      </c>
      <c r="B140" s="264" t="str">
        <f t="array" ref="B140">IFerror(INDEX(Papers!C$2:C$998,MATCH($A140, Papers!$A$2:$A$998,0)),"")</f>
        <v>Do Mobile Phone Surveys Work in Poor Countries?</v>
      </c>
      <c r="C140" s="264" t="str">
        <f t="array" ref="C140">IFerror(INDEX(Papers!D$2:D$998,MATCH($A140, Papers!$A$2:$A$998,0)),"")</f>
        <v>Leo, Benjamin, Robert Morello, Jonathan Mellon, Tiago Peixoto, and Stephen Davenport</v>
      </c>
      <c r="D140" s="265">
        <f t="array" ref="D140">IFerror(INDEX(Papers!F$2:F$998,MATCH($A140, Papers!$A$2:$A$998,0)),"")</f>
        <v>2015</v>
      </c>
      <c r="E140" s="265">
        <f t="array" ref="E140">IFerror(INDEX(Papers!G$2:G$998,MATCH($A140, Papers!$A$2:$A$998,0)),"")</f>
        <v>2014</v>
      </c>
      <c r="F140" s="265" t="s">
        <v>263</v>
      </c>
      <c r="G140" s="266" t="s">
        <v>11</v>
      </c>
      <c r="H140" s="282" t="s">
        <v>438</v>
      </c>
      <c r="I140" s="282"/>
      <c r="J140" s="301" t="s">
        <v>465</v>
      </c>
      <c r="K140" s="285">
        <v>0.49</v>
      </c>
      <c r="L140" s="271"/>
      <c r="M140" s="271">
        <v>0.8</v>
      </c>
      <c r="N140" s="271">
        <f t="shared" si="17"/>
        <v>-0.31</v>
      </c>
      <c r="O140" s="271" t="str">
        <f t="shared" si="18"/>
        <v/>
      </c>
    </row>
    <row r="141">
      <c r="A141" s="272">
        <v>11.0</v>
      </c>
      <c r="B141" s="273" t="str">
        <f t="array" ref="B141">IFerror(INDEX(Papers!C$2:C$998,MATCH($A141, Papers!$A$2:$A$998,0)),"")</f>
        <v>Do Mobile Phone Surveys Work in Poor Countries?</v>
      </c>
      <c r="C141" s="273" t="str">
        <f t="array" ref="C141">IFerror(INDEX(Papers!D$2:D$998,MATCH($A141, Papers!$A$2:$A$998,0)),"")</f>
        <v>Leo, Benjamin, Robert Morello, Jonathan Mellon, Tiago Peixoto, and Stephen Davenport</v>
      </c>
      <c r="D141" s="274">
        <f t="array" ref="D141">IFerror(INDEX(Papers!F$2:F$998,MATCH($A141, Papers!$A$2:$A$998,0)),"")</f>
        <v>2015</v>
      </c>
      <c r="E141" s="274">
        <f t="array" ref="E141">IFerror(INDEX(Papers!G$2:G$998,MATCH($A141, Papers!$A$2:$A$998,0)),"")</f>
        <v>2014</v>
      </c>
      <c r="F141" s="274" t="s">
        <v>276</v>
      </c>
      <c r="G141" s="275" t="s">
        <v>11</v>
      </c>
      <c r="H141" s="277" t="s">
        <v>438</v>
      </c>
      <c r="I141" s="277"/>
      <c r="J141" s="300" t="s">
        <v>437</v>
      </c>
      <c r="K141" s="288">
        <v>0.41</v>
      </c>
      <c r="L141" s="281"/>
      <c r="M141" s="281">
        <v>0.63</v>
      </c>
      <c r="N141" s="281">
        <f t="shared" si="17"/>
        <v>-0.22</v>
      </c>
      <c r="O141" s="281" t="str">
        <f t="shared" si="18"/>
        <v/>
      </c>
    </row>
    <row r="142">
      <c r="A142" s="263">
        <v>11.0</v>
      </c>
      <c r="B142" s="264" t="str">
        <f t="array" ref="B142">IFerror(INDEX(Papers!C$2:C$998,MATCH($A142, Papers!$A$2:$A$998,0)),"")</f>
        <v>Do Mobile Phone Surveys Work in Poor Countries?</v>
      </c>
      <c r="C142" s="264" t="str">
        <f t="array" ref="C142">IFerror(INDEX(Papers!D$2:D$998,MATCH($A142, Papers!$A$2:$A$998,0)),"")</f>
        <v>Leo, Benjamin, Robert Morello, Jonathan Mellon, Tiago Peixoto, and Stephen Davenport</v>
      </c>
      <c r="D142" s="265">
        <f t="array" ref="D142">IFerror(INDEX(Papers!F$2:F$998,MATCH($A142, Papers!$A$2:$A$998,0)),"")</f>
        <v>2015</v>
      </c>
      <c r="E142" s="265">
        <f t="array" ref="E142">IFerror(INDEX(Papers!G$2:G$998,MATCH($A142, Papers!$A$2:$A$998,0)),"")</f>
        <v>2014</v>
      </c>
      <c r="F142" s="265" t="s">
        <v>260</v>
      </c>
      <c r="G142" s="266" t="s">
        <v>11</v>
      </c>
      <c r="H142" s="282" t="s">
        <v>438</v>
      </c>
      <c r="I142" s="282"/>
      <c r="J142" s="301" t="s">
        <v>437</v>
      </c>
      <c r="K142" s="285">
        <v>0.67</v>
      </c>
      <c r="L142" s="285"/>
      <c r="M142" s="271">
        <v>0.66</v>
      </c>
      <c r="N142" s="271">
        <f t="shared" si="17"/>
        <v>0.01</v>
      </c>
      <c r="O142" s="271" t="str">
        <f t="shared" si="18"/>
        <v/>
      </c>
    </row>
    <row r="143">
      <c r="A143" s="272">
        <v>11.0</v>
      </c>
      <c r="B143" s="273" t="str">
        <f t="array" ref="B143">IFerror(INDEX(Papers!C$2:C$998,MATCH($A143, Papers!$A$2:$A$998,0)),"")</f>
        <v>Do Mobile Phone Surveys Work in Poor Countries?</v>
      </c>
      <c r="C143" s="273" t="str">
        <f t="array" ref="C143">IFerror(INDEX(Papers!D$2:D$998,MATCH($A143, Papers!$A$2:$A$998,0)),"")</f>
        <v>Leo, Benjamin, Robert Morello, Jonathan Mellon, Tiago Peixoto, and Stephen Davenport</v>
      </c>
      <c r="D143" s="274">
        <f t="array" ref="D143">IFerror(INDEX(Papers!F$2:F$998,MATCH($A143, Papers!$A$2:$A$998,0)),"")</f>
        <v>2015</v>
      </c>
      <c r="E143" s="274">
        <f t="array" ref="E143">IFerror(INDEX(Papers!G$2:G$998,MATCH($A143, Papers!$A$2:$A$998,0)),"")</f>
        <v>2014</v>
      </c>
      <c r="F143" s="274" t="s">
        <v>267</v>
      </c>
      <c r="G143" s="275" t="s">
        <v>11</v>
      </c>
      <c r="H143" s="277" t="s">
        <v>438</v>
      </c>
      <c r="I143" s="277"/>
      <c r="J143" s="300" t="s">
        <v>466</v>
      </c>
      <c r="K143" s="288">
        <v>0.61</v>
      </c>
      <c r="L143" s="281"/>
      <c r="M143" s="281">
        <v>0.74</v>
      </c>
      <c r="N143" s="281">
        <f t="shared" si="17"/>
        <v>-0.13</v>
      </c>
      <c r="O143" s="281" t="str">
        <f t="shared" si="18"/>
        <v/>
      </c>
    </row>
    <row r="144">
      <c r="A144" s="263">
        <v>13.0</v>
      </c>
      <c r="B144" s="264" t="str">
        <f t="array" ref="B144">IFerror(INDEX(Papers!C$2:C$998,MATCH($A144, Papers!$A$2:$A$998,0)),"")</f>
        <v>Patterns of Demand for Non-Ebola Health Services during and after the Ebola Outbreak: Panel Survey Evidence from Monrovia, Liberia</v>
      </c>
      <c r="C144" s="264" t="str">
        <f t="array" ref="C144">IFerror(INDEX(Papers!D$2:D$998,MATCH($A144, Papers!$A$2:$A$998,0)),"")</f>
        <v>Ben Morse, Karen Grépin, Robert Blair, and Lily Tsai</v>
      </c>
      <c r="D144" s="265">
        <f t="array" ref="D144">IFerror(INDEX(Papers!F$2:F$998,MATCH($A144, Papers!$A$2:$A$998,0)),"")</f>
        <v>2016</v>
      </c>
      <c r="E144" s="265">
        <f t="array" ref="E144">IFerror(INDEX(Papers!G$2:G$998,MATCH($A144, Papers!$A$2:$A$998,0)),"")</f>
        <v>2015</v>
      </c>
      <c r="F144" s="265" t="s">
        <v>246</v>
      </c>
      <c r="G144" s="266" t="s">
        <v>9</v>
      </c>
      <c r="H144" s="282" t="s">
        <v>467</v>
      </c>
      <c r="I144" s="282" t="s">
        <v>468</v>
      </c>
      <c r="J144" s="268" t="s">
        <v>418</v>
      </c>
      <c r="K144" s="289"/>
      <c r="L144" s="306">
        <v>37.0</v>
      </c>
      <c r="M144" s="306">
        <v>37.0</v>
      </c>
      <c r="N144" s="271" t="str">
        <f t="shared" si="17"/>
        <v/>
      </c>
      <c r="O144" s="271">
        <f t="shared" si="18"/>
        <v>0</v>
      </c>
    </row>
    <row r="145">
      <c r="A145" s="272">
        <v>13.0</v>
      </c>
      <c r="B145" s="273" t="str">
        <f t="array" ref="B145">IFerror(INDEX(Papers!C$2:C$998,MATCH($A145, Papers!$A$2:$A$998,0)),"")</f>
        <v>Patterns of Demand for Non-Ebola Health Services during and after the Ebola Outbreak: Panel Survey Evidence from Monrovia, Liberia</v>
      </c>
      <c r="C145" s="273" t="str">
        <f t="array" ref="C145">IFerror(INDEX(Papers!D$2:D$998,MATCH($A145, Papers!$A$2:$A$998,0)),"")</f>
        <v>Ben Morse, Karen Grépin, Robert Blair, and Lily Tsai</v>
      </c>
      <c r="D145" s="274">
        <f t="array" ref="D145">IFerror(INDEX(Papers!F$2:F$998,MATCH($A145, Papers!$A$2:$A$998,0)),"")</f>
        <v>2016</v>
      </c>
      <c r="E145" s="274">
        <f t="array" ref="E145">IFerror(INDEX(Papers!G$2:G$998,MATCH($A145, Papers!$A$2:$A$998,0)),"")</f>
        <v>2015</v>
      </c>
      <c r="F145" s="274" t="s">
        <v>246</v>
      </c>
      <c r="G145" s="275" t="s">
        <v>9</v>
      </c>
      <c r="H145" s="277" t="s">
        <v>467</v>
      </c>
      <c r="I145" s="277" t="s">
        <v>469</v>
      </c>
      <c r="J145" s="278" t="s">
        <v>418</v>
      </c>
      <c r="K145" s="307"/>
      <c r="L145" s="308">
        <v>37.0</v>
      </c>
      <c r="M145" s="308">
        <v>36.0</v>
      </c>
      <c r="N145" s="281" t="str">
        <f t="shared" si="17"/>
        <v/>
      </c>
      <c r="O145" s="281">
        <f t="shared" si="18"/>
        <v>1</v>
      </c>
    </row>
    <row r="146">
      <c r="A146" s="263">
        <v>13.0</v>
      </c>
      <c r="B146" s="264" t="str">
        <f t="array" ref="B146">IFerror(INDEX(Papers!C$2:C$998,MATCH($A146, Papers!$A$2:$A$998,0)),"")</f>
        <v>Patterns of Demand for Non-Ebola Health Services during and after the Ebola Outbreak: Panel Survey Evidence from Monrovia, Liberia</v>
      </c>
      <c r="C146" s="264" t="str">
        <f t="array" ref="C146">IFerror(INDEX(Papers!D$2:D$998,MATCH($A146, Papers!$A$2:$A$998,0)),"")</f>
        <v>Ben Morse, Karen Grépin, Robert Blair, and Lily Tsai</v>
      </c>
      <c r="D146" s="265">
        <f t="array" ref="D146">IFerror(INDEX(Papers!F$2:F$998,MATCH($A146, Papers!$A$2:$A$998,0)),"")</f>
        <v>2016</v>
      </c>
      <c r="E146" s="265">
        <f t="array" ref="E146">IFerror(INDEX(Papers!G$2:G$998,MATCH($A146, Papers!$A$2:$A$998,0)),"")</f>
        <v>2015</v>
      </c>
      <c r="F146" s="265" t="s">
        <v>246</v>
      </c>
      <c r="G146" s="266" t="s">
        <v>9</v>
      </c>
      <c r="H146" s="282" t="s">
        <v>467</v>
      </c>
      <c r="I146" s="282" t="s">
        <v>469</v>
      </c>
      <c r="J146" s="301" t="s">
        <v>447</v>
      </c>
      <c r="K146" s="289"/>
      <c r="L146" s="287">
        <v>0.2</v>
      </c>
      <c r="M146" s="287">
        <v>0.21</v>
      </c>
      <c r="N146" s="271" t="str">
        <f t="shared" si="17"/>
        <v/>
      </c>
      <c r="O146" s="271">
        <f t="shared" si="18"/>
        <v>-0.01</v>
      </c>
    </row>
    <row r="147">
      <c r="A147" s="272">
        <v>13.0</v>
      </c>
      <c r="B147" s="273" t="str">
        <f t="array" ref="B147">IFerror(INDEX(Papers!C$2:C$998,MATCH($A147, Papers!$A$2:$A$998,0)),"")</f>
        <v>Patterns of Demand for Non-Ebola Health Services during and after the Ebola Outbreak: Panel Survey Evidence from Monrovia, Liberia</v>
      </c>
      <c r="C147" s="273" t="str">
        <f t="array" ref="C147">IFerror(INDEX(Papers!D$2:D$998,MATCH($A147, Papers!$A$2:$A$998,0)),"")</f>
        <v>Ben Morse, Karen Grépin, Robert Blair, and Lily Tsai</v>
      </c>
      <c r="D147" s="274">
        <f t="array" ref="D147">IFerror(INDEX(Papers!F$2:F$998,MATCH($A147, Papers!$A$2:$A$998,0)),"")</f>
        <v>2016</v>
      </c>
      <c r="E147" s="274">
        <f t="array" ref="E147">IFerror(INDEX(Papers!G$2:G$998,MATCH($A147, Papers!$A$2:$A$998,0)),"")</f>
        <v>2015</v>
      </c>
      <c r="F147" s="274" t="s">
        <v>246</v>
      </c>
      <c r="G147" s="275" t="s">
        <v>9</v>
      </c>
      <c r="H147" s="277" t="s">
        <v>467</v>
      </c>
      <c r="I147" s="277" t="s">
        <v>468</v>
      </c>
      <c r="J147" s="300" t="s">
        <v>447</v>
      </c>
      <c r="K147" s="307"/>
      <c r="L147" s="286">
        <v>0.2</v>
      </c>
      <c r="M147" s="286">
        <v>0.21</v>
      </c>
      <c r="N147" s="281" t="str">
        <f t="shared" si="17"/>
        <v/>
      </c>
      <c r="O147" s="281">
        <f t="shared" si="18"/>
        <v>-0.01</v>
      </c>
    </row>
    <row r="148">
      <c r="A148" s="263">
        <v>13.0</v>
      </c>
      <c r="B148" s="264" t="str">
        <f t="array" ref="B148">IFerror(INDEX(Papers!C$2:C$998,MATCH($A148, Papers!$A$2:$A$998,0)),"")</f>
        <v>Patterns of Demand for Non-Ebola Health Services during and after the Ebola Outbreak: Panel Survey Evidence from Monrovia, Liberia</v>
      </c>
      <c r="C148" s="264" t="str">
        <f t="array" ref="C148">IFerror(INDEX(Papers!D$2:D$998,MATCH($A148, Papers!$A$2:$A$998,0)),"")</f>
        <v>Ben Morse, Karen Grépin, Robert Blair, and Lily Tsai</v>
      </c>
      <c r="D148" s="265">
        <f t="array" ref="D148">IFerror(INDEX(Papers!F$2:F$998,MATCH($A148, Papers!$A$2:$A$998,0)),"")</f>
        <v>2016</v>
      </c>
      <c r="E148" s="265">
        <f t="array" ref="E148">IFerror(INDEX(Papers!G$2:G$998,MATCH($A148, Papers!$A$2:$A$998,0)),"")</f>
        <v>2015</v>
      </c>
      <c r="F148" s="265" t="s">
        <v>246</v>
      </c>
      <c r="G148" s="266" t="s">
        <v>9</v>
      </c>
      <c r="H148" s="282" t="s">
        <v>467</v>
      </c>
      <c r="I148" s="282" t="s">
        <v>469</v>
      </c>
      <c r="J148" s="268" t="s">
        <v>424</v>
      </c>
      <c r="K148" s="289"/>
      <c r="L148" s="287">
        <v>0.56</v>
      </c>
      <c r="M148" s="287">
        <v>0.57</v>
      </c>
      <c r="N148" s="271" t="str">
        <f t="shared" si="17"/>
        <v/>
      </c>
      <c r="O148" s="271">
        <f t="shared" si="18"/>
        <v>-0.01</v>
      </c>
    </row>
    <row r="149">
      <c r="A149" s="272">
        <v>13.0</v>
      </c>
      <c r="B149" s="273" t="str">
        <f t="array" ref="B149">IFerror(INDEX(Papers!C$2:C$998,MATCH($A149, Papers!$A$2:$A$998,0)),"")</f>
        <v>Patterns of Demand for Non-Ebola Health Services during and after the Ebola Outbreak: Panel Survey Evidence from Monrovia, Liberia</v>
      </c>
      <c r="C149" s="273" t="str">
        <f t="array" ref="C149">IFerror(INDEX(Papers!D$2:D$998,MATCH($A149, Papers!$A$2:$A$998,0)),"")</f>
        <v>Ben Morse, Karen Grépin, Robert Blair, and Lily Tsai</v>
      </c>
      <c r="D149" s="274">
        <f t="array" ref="D149">IFerror(INDEX(Papers!F$2:F$998,MATCH($A149, Papers!$A$2:$A$998,0)),"")</f>
        <v>2016</v>
      </c>
      <c r="E149" s="274">
        <f t="array" ref="E149">IFerror(INDEX(Papers!G$2:G$998,MATCH($A149, Papers!$A$2:$A$998,0)),"")</f>
        <v>2015</v>
      </c>
      <c r="F149" s="274" t="s">
        <v>246</v>
      </c>
      <c r="G149" s="275" t="s">
        <v>9</v>
      </c>
      <c r="H149" s="277" t="s">
        <v>467</v>
      </c>
      <c r="I149" s="277" t="s">
        <v>468</v>
      </c>
      <c r="J149" s="278" t="s">
        <v>424</v>
      </c>
      <c r="K149" s="307"/>
      <c r="L149" s="286">
        <v>0.56</v>
      </c>
      <c r="M149" s="286">
        <v>0.56</v>
      </c>
      <c r="N149" s="281" t="str">
        <f t="shared" si="17"/>
        <v/>
      </c>
      <c r="O149" s="281">
        <f t="shared" si="18"/>
        <v>0</v>
      </c>
    </row>
    <row r="150">
      <c r="A150" s="263">
        <v>13.0</v>
      </c>
      <c r="B150" s="264" t="str">
        <f t="array" ref="B150">IFerror(INDEX(Papers!C$2:C$998,MATCH($A150, Papers!$A$2:$A$998,0)),"")</f>
        <v>Patterns of Demand for Non-Ebola Health Services during and after the Ebola Outbreak: Panel Survey Evidence from Monrovia, Liberia</v>
      </c>
      <c r="C150" s="264" t="str">
        <f t="array" ref="C150">IFerror(INDEX(Papers!D$2:D$998,MATCH($A150, Papers!$A$2:$A$998,0)),"")</f>
        <v>Ben Morse, Karen Grépin, Robert Blair, and Lily Tsai</v>
      </c>
      <c r="D150" s="265">
        <f t="array" ref="D150">IFerror(INDEX(Papers!F$2:F$998,MATCH($A150, Papers!$A$2:$A$998,0)),"")</f>
        <v>2016</v>
      </c>
      <c r="E150" s="265">
        <f t="array" ref="E150">IFerror(INDEX(Papers!G$2:G$998,MATCH($A150, Papers!$A$2:$A$998,0)),"")</f>
        <v>2015</v>
      </c>
      <c r="F150" s="265" t="s">
        <v>246</v>
      </c>
      <c r="G150" s="266" t="s">
        <v>9</v>
      </c>
      <c r="H150" s="282" t="s">
        <v>467</v>
      </c>
      <c r="I150" s="282" t="s">
        <v>469</v>
      </c>
      <c r="J150" s="268" t="s">
        <v>470</v>
      </c>
      <c r="K150" s="289"/>
      <c r="L150" s="287">
        <v>7.6</v>
      </c>
      <c r="M150" s="287">
        <v>7.6</v>
      </c>
      <c r="N150" s="271" t="str">
        <f t="shared" si="17"/>
        <v/>
      </c>
      <c r="O150" s="271">
        <f t="shared" si="18"/>
        <v>0</v>
      </c>
    </row>
    <row r="151">
      <c r="A151" s="272">
        <v>13.0</v>
      </c>
      <c r="B151" s="273" t="str">
        <f t="array" ref="B151">IFerror(INDEX(Papers!C$2:C$998,MATCH($A151, Papers!$A$2:$A$998,0)),"")</f>
        <v>Patterns of Demand for Non-Ebola Health Services during and after the Ebola Outbreak: Panel Survey Evidence from Monrovia, Liberia</v>
      </c>
      <c r="C151" s="273" t="str">
        <f t="array" ref="C151">IFerror(INDEX(Papers!D$2:D$998,MATCH($A151, Papers!$A$2:$A$998,0)),"")</f>
        <v>Ben Morse, Karen Grépin, Robert Blair, and Lily Tsai</v>
      </c>
      <c r="D151" s="274">
        <f t="array" ref="D151">IFerror(INDEX(Papers!F$2:F$998,MATCH($A151, Papers!$A$2:$A$998,0)),"")</f>
        <v>2016</v>
      </c>
      <c r="E151" s="274">
        <f t="array" ref="E151">IFerror(INDEX(Papers!G$2:G$998,MATCH($A151, Papers!$A$2:$A$998,0)),"")</f>
        <v>2015</v>
      </c>
      <c r="F151" s="274" t="s">
        <v>246</v>
      </c>
      <c r="G151" s="275" t="s">
        <v>9</v>
      </c>
      <c r="H151" s="277" t="s">
        <v>467</v>
      </c>
      <c r="I151" s="277" t="s">
        <v>468</v>
      </c>
      <c r="J151" s="278" t="s">
        <v>470</v>
      </c>
      <c r="K151" s="307"/>
      <c r="L151" s="286">
        <v>7.6</v>
      </c>
      <c r="M151" s="286">
        <v>7.4</v>
      </c>
      <c r="N151" s="281" t="str">
        <f t="shared" si="17"/>
        <v/>
      </c>
      <c r="O151" s="281">
        <f t="shared" si="18"/>
        <v>0.2</v>
      </c>
    </row>
    <row r="152">
      <c r="A152" s="263">
        <v>13.0</v>
      </c>
      <c r="B152" s="264" t="str">
        <f t="array" ref="B152">IFerror(INDEX(Papers!C$2:C$998,MATCH($A152, Papers!$A$2:$A$998,0)),"")</f>
        <v>Patterns of Demand for Non-Ebola Health Services during and after the Ebola Outbreak: Panel Survey Evidence from Monrovia, Liberia</v>
      </c>
      <c r="C152" s="264" t="str">
        <f t="array" ref="C152">IFerror(INDEX(Papers!D$2:D$998,MATCH($A152, Papers!$A$2:$A$998,0)),"")</f>
        <v>Ben Morse, Karen Grépin, Robert Blair, and Lily Tsai</v>
      </c>
      <c r="D152" s="265">
        <f t="array" ref="D152">IFerror(INDEX(Papers!F$2:F$998,MATCH($A152, Papers!$A$2:$A$998,0)),"")</f>
        <v>2016</v>
      </c>
      <c r="E152" s="265">
        <f t="array" ref="E152">IFerror(INDEX(Papers!G$2:G$998,MATCH($A152, Papers!$A$2:$A$998,0)),"")</f>
        <v>2015</v>
      </c>
      <c r="F152" s="265" t="s">
        <v>246</v>
      </c>
      <c r="G152" s="266" t="s">
        <v>9</v>
      </c>
      <c r="H152" s="282" t="s">
        <v>467</v>
      </c>
      <c r="I152" s="282" t="s">
        <v>468</v>
      </c>
      <c r="J152" s="268" t="s">
        <v>471</v>
      </c>
      <c r="K152" s="289"/>
      <c r="L152" s="306">
        <v>51.0</v>
      </c>
      <c r="M152" s="306">
        <v>52.0</v>
      </c>
      <c r="N152" s="271" t="str">
        <f t="shared" si="17"/>
        <v/>
      </c>
      <c r="O152" s="271">
        <f t="shared" si="18"/>
        <v>-1</v>
      </c>
    </row>
    <row r="153">
      <c r="A153" s="272">
        <v>13.0</v>
      </c>
      <c r="B153" s="273" t="str">
        <f t="array" ref="B153">IFerror(INDEX(Papers!C$2:C$998,MATCH($A153, Papers!$A$2:$A$998,0)),"")</f>
        <v>Patterns of Demand for Non-Ebola Health Services during and after the Ebola Outbreak: Panel Survey Evidence from Monrovia, Liberia</v>
      </c>
      <c r="C153" s="273" t="str">
        <f t="array" ref="C153">IFerror(INDEX(Papers!D$2:D$998,MATCH($A153, Papers!$A$2:$A$998,0)),"")</f>
        <v>Ben Morse, Karen Grépin, Robert Blair, and Lily Tsai</v>
      </c>
      <c r="D153" s="274">
        <f t="array" ref="D153">IFerror(INDEX(Papers!F$2:F$998,MATCH($A153, Papers!$A$2:$A$998,0)),"")</f>
        <v>2016</v>
      </c>
      <c r="E153" s="274">
        <f t="array" ref="E153">IFerror(INDEX(Papers!G$2:G$998,MATCH($A153, Papers!$A$2:$A$998,0)),"")</f>
        <v>2015</v>
      </c>
      <c r="F153" s="274" t="s">
        <v>246</v>
      </c>
      <c r="G153" s="275" t="s">
        <v>9</v>
      </c>
      <c r="H153" s="277" t="s">
        <v>467</v>
      </c>
      <c r="I153" s="277" t="s">
        <v>469</v>
      </c>
      <c r="J153" s="278" t="s">
        <v>471</v>
      </c>
      <c r="K153" s="307"/>
      <c r="L153" s="308">
        <v>51.0</v>
      </c>
      <c r="M153" s="308">
        <v>50.0</v>
      </c>
      <c r="N153" s="281" t="str">
        <f t="shared" si="17"/>
        <v/>
      </c>
      <c r="O153" s="281">
        <f t="shared" si="18"/>
        <v>1</v>
      </c>
    </row>
    <row r="154">
      <c r="A154" s="263">
        <v>18.0</v>
      </c>
      <c r="B154" s="264" t="str">
        <f t="array" ref="B154">IFerror(INDEX(Papers!C$2:C$998,MATCH($A154, Papers!$A$2:$A$998,0)),"")</f>
        <v>Using SMS Technology to Survey Low-Income Youth: Lessons from a Vocational Education Tracking Study in Kenya</v>
      </c>
      <c r="C154" s="264" t="str">
        <f t="array" ref="C154">IFerror(INDEX(Papers!D$2:D$998,MATCH($A154, Papers!$A$2:$A$998,0)),"")</f>
        <v>Charles Lau, Ehud Gachugu, Eric Johnson, and Leenisha Marks</v>
      </c>
      <c r="D154" s="265">
        <f t="array" ref="D154">IFerror(INDEX(Papers!F$2:F$998,MATCH($A154, Papers!$A$2:$A$998,0)),"")</f>
        <v>2018</v>
      </c>
      <c r="E154" s="265">
        <f t="array" ref="E154">IFerror(INDEX(Papers!G$2:G$998,MATCH($A154, Papers!$A$2:$A$998,0)),"")</f>
        <v>2017</v>
      </c>
      <c r="F154" s="265" t="s">
        <v>245</v>
      </c>
      <c r="G154" s="266" t="s">
        <v>10</v>
      </c>
      <c r="H154" s="309" t="s">
        <v>472</v>
      </c>
      <c r="I154" s="267"/>
      <c r="J154" s="268" t="s">
        <v>418</v>
      </c>
      <c r="K154" s="310"/>
      <c r="L154" s="284">
        <v>22.8</v>
      </c>
      <c r="M154" s="310">
        <v>24.2</v>
      </c>
      <c r="N154" s="271" t="str">
        <f t="shared" si="17"/>
        <v/>
      </c>
      <c r="O154" s="271">
        <f t="shared" si="18"/>
        <v>-1.4</v>
      </c>
    </row>
    <row r="155">
      <c r="A155" s="272">
        <v>18.0</v>
      </c>
      <c r="B155" s="273" t="str">
        <f t="array" ref="B155">IFerror(INDEX(Papers!C$2:C$998,MATCH($A155, Papers!$A$2:$A$998,0)),"")</f>
        <v>Using SMS Technology to Survey Low-Income Youth: Lessons from a Vocational Education Tracking Study in Kenya</v>
      </c>
      <c r="C155" s="273" t="str">
        <f t="array" ref="C155">IFerror(INDEX(Papers!D$2:D$998,MATCH($A155, Papers!$A$2:$A$998,0)),"")</f>
        <v>Charles Lau, Ehud Gachugu, Eric Johnson, and Leenisha Marks</v>
      </c>
      <c r="D155" s="274">
        <f t="array" ref="D155">IFerror(INDEX(Papers!F$2:F$998,MATCH($A155, Papers!$A$2:$A$998,0)),"")</f>
        <v>2018</v>
      </c>
      <c r="E155" s="274">
        <f t="array" ref="E155">IFerror(INDEX(Papers!G$2:G$998,MATCH($A155, Papers!$A$2:$A$998,0)),"")</f>
        <v>2017</v>
      </c>
      <c r="F155" s="274" t="s">
        <v>245</v>
      </c>
      <c r="G155" s="275" t="s">
        <v>10</v>
      </c>
      <c r="H155" s="311" t="s">
        <v>472</v>
      </c>
      <c r="I155" s="276"/>
      <c r="J155" s="278" t="s">
        <v>424</v>
      </c>
      <c r="K155" s="312"/>
      <c r="L155" s="307">
        <v>0.43</v>
      </c>
      <c r="M155" s="313">
        <v>0.48</v>
      </c>
      <c r="N155" s="281" t="str">
        <f t="shared" si="17"/>
        <v/>
      </c>
      <c r="O155" s="281">
        <f t="shared" si="18"/>
        <v>-0.05</v>
      </c>
    </row>
    <row r="156">
      <c r="A156" s="263">
        <v>18.0</v>
      </c>
      <c r="B156" s="264" t="str">
        <f t="array" ref="B156">IFerror(INDEX(Papers!C$2:C$998,MATCH($A156, Papers!$A$2:$A$998,0)),"")</f>
        <v>Using SMS Technology to Survey Low-Income Youth: Lessons from a Vocational Education Tracking Study in Kenya</v>
      </c>
      <c r="C156" s="264" t="str">
        <f t="array" ref="C156">IFerror(INDEX(Papers!D$2:D$998,MATCH($A156, Papers!$A$2:$A$998,0)),"")</f>
        <v>Charles Lau, Ehud Gachugu, Eric Johnson, and Leenisha Marks</v>
      </c>
      <c r="D156" s="265">
        <f t="array" ref="D156">IFerror(INDEX(Papers!F$2:F$998,MATCH($A156, Papers!$A$2:$A$998,0)),"")</f>
        <v>2018</v>
      </c>
      <c r="E156" s="265">
        <f t="array" ref="E156">IFerror(INDEX(Papers!G$2:G$998,MATCH($A156, Papers!$A$2:$A$998,0)),"")</f>
        <v>2017</v>
      </c>
      <c r="F156" s="265" t="s">
        <v>245</v>
      </c>
      <c r="G156" s="266" t="s">
        <v>10</v>
      </c>
      <c r="H156" s="309" t="s">
        <v>472</v>
      </c>
      <c r="I156" s="267"/>
      <c r="J156" s="268" t="s">
        <v>427</v>
      </c>
      <c r="K156" s="314"/>
      <c r="L156" s="289">
        <v>0.63</v>
      </c>
      <c r="M156" s="310">
        <v>0.79</v>
      </c>
      <c r="N156" s="271" t="str">
        <f t="shared" si="17"/>
        <v/>
      </c>
      <c r="O156" s="271">
        <f t="shared" si="18"/>
        <v>-0.16</v>
      </c>
    </row>
    <row r="157">
      <c r="A157" s="272">
        <v>19.0</v>
      </c>
      <c r="B157" s="273" t="str">
        <f t="array" ref="B157">IFerror(INDEX(Papers!C$2:C$998,MATCH($A157, Papers!$A$2:$A$998,0)),"")</f>
        <v>High Stakes, Low Resources: What Mode(s) Should Youth Employment Training Programs Use to Track Alumni? Evidence From South Africa</v>
      </c>
      <c r="C157" s="273" t="str">
        <f t="array" ref="C157">IFerror(INDEX(Papers!D$2:D$998,MATCH($A157, Papers!$A$2:$A$998,0)),"")</f>
        <v>Charles Lau, Eric Johnson, Ashley Amaya, Patricia LeBaron, and Herschel Sanders</v>
      </c>
      <c r="D157" s="274">
        <f t="array" ref="D157">IFerror(INDEX(Papers!F$2:F$998,MATCH($A157, Papers!$A$2:$A$998,0)),"")</f>
        <v>2018</v>
      </c>
      <c r="E157" s="274">
        <f t="array" ref="E157">IFerror(INDEX(Papers!G$2:G$998,MATCH($A157, Papers!$A$2:$A$998,0)),"")</f>
        <v>2018</v>
      </c>
      <c r="F157" s="274" t="s">
        <v>270</v>
      </c>
      <c r="G157" s="275" t="s">
        <v>371</v>
      </c>
      <c r="H157" s="276" t="s">
        <v>473</v>
      </c>
      <c r="I157" s="276"/>
      <c r="J157" s="300" t="s">
        <v>474</v>
      </c>
      <c r="K157" s="307"/>
      <c r="L157" s="307">
        <v>0.69</v>
      </c>
      <c r="M157" s="313">
        <v>0.66</v>
      </c>
      <c r="N157" s="313" t="str">
        <f t="shared" si="17"/>
        <v/>
      </c>
      <c r="O157" s="281">
        <f t="shared" si="18"/>
        <v>0.03</v>
      </c>
    </row>
    <row r="158">
      <c r="A158" s="263">
        <v>19.0</v>
      </c>
      <c r="B158" s="264" t="str">
        <f t="array" ref="B158">IFerror(INDEX(Papers!C$2:C$998,MATCH($A158, Papers!$A$2:$A$998,0)),"")</f>
        <v>High Stakes, Low Resources: What Mode(s) Should Youth Employment Training Programs Use to Track Alumni? Evidence From South Africa</v>
      </c>
      <c r="C158" s="264" t="str">
        <f t="array" ref="C158">IFerror(INDEX(Papers!D$2:D$998,MATCH($A158, Papers!$A$2:$A$998,0)),"")</f>
        <v>Charles Lau, Eric Johnson, Ashley Amaya, Patricia LeBaron, and Herschel Sanders</v>
      </c>
      <c r="D158" s="265">
        <f t="array" ref="D158">IFerror(INDEX(Papers!F$2:F$998,MATCH($A158, Papers!$A$2:$A$998,0)),"")</f>
        <v>2018</v>
      </c>
      <c r="E158" s="265">
        <f t="array" ref="E158">IFerror(INDEX(Papers!G$2:G$998,MATCH($A158, Papers!$A$2:$A$998,0)),"")</f>
        <v>2018</v>
      </c>
      <c r="F158" s="265" t="s">
        <v>270</v>
      </c>
      <c r="G158" s="266" t="s">
        <v>370</v>
      </c>
      <c r="H158" s="267" t="s">
        <v>473</v>
      </c>
      <c r="I158" s="267"/>
      <c r="J158" s="301" t="s">
        <v>474</v>
      </c>
      <c r="K158" s="289"/>
      <c r="L158" s="289">
        <v>0.69</v>
      </c>
      <c r="M158" s="315">
        <v>0.63</v>
      </c>
      <c r="N158" s="310" t="str">
        <f t="shared" si="17"/>
        <v/>
      </c>
      <c r="O158" s="271">
        <f t="shared" si="18"/>
        <v>0.06</v>
      </c>
    </row>
    <row r="159">
      <c r="A159" s="272">
        <v>19.0</v>
      </c>
      <c r="B159" s="273" t="str">
        <f t="array" ref="B159">IFerror(INDEX(Papers!C$2:C$998,MATCH($A159, Papers!$A$2:$A$998,0)),"")</f>
        <v>High Stakes, Low Resources: What Mode(s) Should Youth Employment Training Programs Use to Track Alumni? Evidence From South Africa</v>
      </c>
      <c r="C159" s="273" t="str">
        <f t="array" ref="C159">IFerror(INDEX(Papers!D$2:D$998,MATCH($A159, Papers!$A$2:$A$998,0)),"")</f>
        <v>Charles Lau, Eric Johnson, Ashley Amaya, Patricia LeBaron, and Herschel Sanders</v>
      </c>
      <c r="D159" s="274">
        <f t="array" ref="D159">IFerror(INDEX(Papers!F$2:F$998,MATCH($A159, Papers!$A$2:$A$998,0)),"")</f>
        <v>2018</v>
      </c>
      <c r="E159" s="274">
        <f t="array" ref="E159">IFerror(INDEX(Papers!G$2:G$998,MATCH($A159, Papers!$A$2:$A$998,0)),"")</f>
        <v>2018</v>
      </c>
      <c r="F159" s="274" t="s">
        <v>270</v>
      </c>
      <c r="G159" s="275" t="s">
        <v>10</v>
      </c>
      <c r="H159" s="276" t="s">
        <v>473</v>
      </c>
      <c r="I159" s="276"/>
      <c r="J159" s="300" t="s">
        <v>474</v>
      </c>
      <c r="K159" s="307"/>
      <c r="L159" s="307">
        <v>0.69</v>
      </c>
      <c r="M159" s="313">
        <v>0.62</v>
      </c>
      <c r="N159" s="313" t="str">
        <f t="shared" si="17"/>
        <v/>
      </c>
      <c r="O159" s="281">
        <f t="shared" si="18"/>
        <v>0.07</v>
      </c>
    </row>
    <row r="160">
      <c r="A160" s="263">
        <v>19.0</v>
      </c>
      <c r="B160" s="264" t="str">
        <f t="array" ref="B160">IFerror(INDEX(Papers!C$2:C$998,MATCH($A160, Papers!$A$2:$A$998,0)),"")</f>
        <v>High Stakes, Low Resources: What Mode(s) Should Youth Employment Training Programs Use to Track Alumni? Evidence From South Africa</v>
      </c>
      <c r="C160" s="264" t="str">
        <f t="array" ref="C160">IFerror(INDEX(Papers!D$2:D$998,MATCH($A160, Papers!$A$2:$A$998,0)),"")</f>
        <v>Charles Lau, Eric Johnson, Ashley Amaya, Patricia LeBaron, and Herschel Sanders</v>
      </c>
      <c r="D160" s="265">
        <f t="array" ref="D160">IFerror(INDEX(Papers!F$2:F$998,MATCH($A160, Papers!$A$2:$A$998,0)),"")</f>
        <v>2018</v>
      </c>
      <c r="E160" s="265">
        <f t="array" ref="E160">IFerror(INDEX(Papers!G$2:G$998,MATCH($A160, Papers!$A$2:$A$998,0)),"")</f>
        <v>2018</v>
      </c>
      <c r="F160" s="265" t="s">
        <v>270</v>
      </c>
      <c r="G160" s="266" t="s">
        <v>12</v>
      </c>
      <c r="H160" s="267" t="s">
        <v>473</v>
      </c>
      <c r="I160" s="267"/>
      <c r="J160" s="301" t="s">
        <v>474</v>
      </c>
      <c r="K160" s="289"/>
      <c r="L160" s="289">
        <v>0.69</v>
      </c>
      <c r="M160" s="315">
        <v>0.62</v>
      </c>
      <c r="N160" s="310" t="str">
        <f t="shared" si="17"/>
        <v/>
      </c>
      <c r="O160" s="271">
        <f t="shared" si="18"/>
        <v>0.07</v>
      </c>
    </row>
    <row r="161">
      <c r="A161" s="272">
        <v>19.0</v>
      </c>
      <c r="B161" s="273" t="str">
        <f t="array" ref="B161">IFerror(INDEX(Papers!C$2:C$998,MATCH($A161, Papers!$A$2:$A$998,0)),"")</f>
        <v>High Stakes, Low Resources: What Mode(s) Should Youth Employment Training Programs Use to Track Alumni? Evidence From South Africa</v>
      </c>
      <c r="C161" s="273" t="str">
        <f t="array" ref="C161">IFerror(INDEX(Papers!D$2:D$998,MATCH($A161, Papers!$A$2:$A$998,0)),"")</f>
        <v>Charles Lau, Eric Johnson, Ashley Amaya, Patricia LeBaron, and Herschel Sanders</v>
      </c>
      <c r="D161" s="274">
        <f t="array" ref="D161">IFerror(INDEX(Papers!F$2:F$998,MATCH($A161, Papers!$A$2:$A$998,0)),"")</f>
        <v>2018</v>
      </c>
      <c r="E161" s="274">
        <f t="array" ref="E161">IFerror(INDEX(Papers!G$2:G$998,MATCH($A161, Papers!$A$2:$A$998,0)),"")</f>
        <v>2018</v>
      </c>
      <c r="F161" s="274" t="s">
        <v>270</v>
      </c>
      <c r="G161" s="275" t="s">
        <v>370</v>
      </c>
      <c r="H161" s="276" t="s">
        <v>473</v>
      </c>
      <c r="I161" s="276"/>
      <c r="J161" s="278" t="s">
        <v>424</v>
      </c>
      <c r="K161" s="313"/>
      <c r="L161" s="313">
        <v>0.63</v>
      </c>
      <c r="M161" s="313">
        <v>0.64</v>
      </c>
      <c r="N161" s="313" t="str">
        <f t="shared" si="17"/>
        <v/>
      </c>
      <c r="O161" s="281">
        <f t="shared" si="18"/>
        <v>-0.01</v>
      </c>
    </row>
    <row r="162">
      <c r="A162" s="263">
        <v>19.0</v>
      </c>
      <c r="B162" s="264" t="str">
        <f t="array" ref="B162">IFerror(INDEX(Papers!C$2:C$998,MATCH($A162, Papers!$A$2:$A$998,0)),"")</f>
        <v>High Stakes, Low Resources: What Mode(s) Should Youth Employment Training Programs Use to Track Alumni? Evidence From South Africa</v>
      </c>
      <c r="C162" s="264" t="str">
        <f t="array" ref="C162">IFerror(INDEX(Papers!D$2:D$998,MATCH($A162, Papers!$A$2:$A$998,0)),"")</f>
        <v>Charles Lau, Eric Johnson, Ashley Amaya, Patricia LeBaron, and Herschel Sanders</v>
      </c>
      <c r="D162" s="265">
        <f t="array" ref="D162">IFerror(INDEX(Papers!F$2:F$998,MATCH($A162, Papers!$A$2:$A$998,0)),"")</f>
        <v>2018</v>
      </c>
      <c r="E162" s="265">
        <f t="array" ref="E162">IFerror(INDEX(Papers!G$2:G$998,MATCH($A162, Papers!$A$2:$A$998,0)),"")</f>
        <v>2018</v>
      </c>
      <c r="F162" s="265" t="s">
        <v>270</v>
      </c>
      <c r="G162" s="266" t="s">
        <v>10</v>
      </c>
      <c r="H162" s="267" t="s">
        <v>473</v>
      </c>
      <c r="I162" s="267"/>
      <c r="J162" s="268" t="s">
        <v>424</v>
      </c>
      <c r="K162" s="310"/>
      <c r="L162" s="310">
        <v>0.63</v>
      </c>
      <c r="M162" s="310">
        <v>0.62</v>
      </c>
      <c r="N162" s="310" t="str">
        <f t="shared" si="17"/>
        <v/>
      </c>
      <c r="O162" s="271">
        <f t="shared" si="18"/>
        <v>0.01</v>
      </c>
    </row>
    <row r="163">
      <c r="A163" s="272">
        <v>19.0</v>
      </c>
      <c r="B163" s="273" t="str">
        <f t="array" ref="B163">IFerror(INDEX(Papers!C$2:C$998,MATCH($A163, Papers!$A$2:$A$998,0)),"")</f>
        <v>High Stakes, Low Resources: What Mode(s) Should Youth Employment Training Programs Use to Track Alumni? Evidence From South Africa</v>
      </c>
      <c r="C163" s="273" t="str">
        <f t="array" ref="C163">IFerror(INDEX(Papers!D$2:D$998,MATCH($A163, Papers!$A$2:$A$998,0)),"")</f>
        <v>Charles Lau, Eric Johnson, Ashley Amaya, Patricia LeBaron, and Herschel Sanders</v>
      </c>
      <c r="D163" s="274">
        <f t="array" ref="D163">IFerror(INDEX(Papers!F$2:F$998,MATCH($A163, Papers!$A$2:$A$998,0)),"")</f>
        <v>2018</v>
      </c>
      <c r="E163" s="274">
        <f t="array" ref="E163">IFerror(INDEX(Papers!G$2:G$998,MATCH($A163, Papers!$A$2:$A$998,0)),"")</f>
        <v>2018</v>
      </c>
      <c r="F163" s="274" t="s">
        <v>270</v>
      </c>
      <c r="G163" s="275" t="s">
        <v>12</v>
      </c>
      <c r="H163" s="276" t="s">
        <v>473</v>
      </c>
      <c r="I163" s="276"/>
      <c r="J163" s="278" t="s">
        <v>424</v>
      </c>
      <c r="K163" s="313"/>
      <c r="L163" s="313">
        <v>0.63</v>
      </c>
      <c r="M163" s="313">
        <v>0.62</v>
      </c>
      <c r="N163" s="313" t="str">
        <f t="shared" si="17"/>
        <v/>
      </c>
      <c r="O163" s="281">
        <f t="shared" si="18"/>
        <v>0.01</v>
      </c>
    </row>
    <row r="164">
      <c r="A164" s="263">
        <v>19.0</v>
      </c>
      <c r="B164" s="264" t="str">
        <f t="array" ref="B164">IFerror(INDEX(Papers!C$2:C$998,MATCH($A164, Papers!$A$2:$A$998,0)),"")</f>
        <v>High Stakes, Low Resources: What Mode(s) Should Youth Employment Training Programs Use to Track Alumni? Evidence From South Africa</v>
      </c>
      <c r="C164" s="264" t="str">
        <f t="array" ref="C164">IFerror(INDEX(Papers!D$2:D$998,MATCH($A164, Papers!$A$2:$A$998,0)),"")</f>
        <v>Charles Lau, Eric Johnson, Ashley Amaya, Patricia LeBaron, and Herschel Sanders</v>
      </c>
      <c r="D164" s="265">
        <f t="array" ref="D164">IFerror(INDEX(Papers!F$2:F$998,MATCH($A164, Papers!$A$2:$A$998,0)),"")</f>
        <v>2018</v>
      </c>
      <c r="E164" s="265">
        <f t="array" ref="E164">IFerror(INDEX(Papers!G$2:G$998,MATCH($A164, Papers!$A$2:$A$998,0)),"")</f>
        <v>2018</v>
      </c>
      <c r="F164" s="265" t="s">
        <v>270</v>
      </c>
      <c r="G164" s="266" t="s">
        <v>371</v>
      </c>
      <c r="H164" s="267" t="s">
        <v>473</v>
      </c>
      <c r="I164" s="267"/>
      <c r="J164" s="268" t="s">
        <v>424</v>
      </c>
      <c r="K164" s="310"/>
      <c r="L164" s="310">
        <v>0.63</v>
      </c>
      <c r="M164" s="310">
        <v>0.59</v>
      </c>
      <c r="N164" s="310" t="str">
        <f t="shared" si="17"/>
        <v/>
      </c>
      <c r="O164" s="271">
        <f t="shared" si="18"/>
        <v>0.04</v>
      </c>
    </row>
    <row r="165">
      <c r="A165" s="272">
        <v>20.0</v>
      </c>
      <c r="B165" s="273" t="str">
        <f t="array" ref="B165">IFerror(INDEX(Papers!C$2:C$998,MATCH($A165, Papers!$A$2:$A$998,0)),"")</f>
        <v>How Representative Are SMS Surveys in Africa? Experimental Evidence From Four Countries</v>
      </c>
      <c r="C165" s="273" t="str">
        <f t="array" ref="C165">IFerror(INDEX(Papers!D$2:D$998,MATCH($A165, Papers!$A$2:$A$998,0)),"")</f>
        <v>Charles Lau, Ansie Lombaard, Melissa Baker, Joe Eyerman, and Lisa Thalji</v>
      </c>
      <c r="D165" s="274">
        <f t="array" ref="D165">IFerror(INDEX(Papers!F$2:F$998,MATCH($A165, Papers!$A$2:$A$998,0)),"")</f>
        <v>2019</v>
      </c>
      <c r="E165" s="274">
        <f t="array" ref="E165">IFerror(INDEX(Papers!G$2:G$998,MATCH($A165, Papers!$A$2:$A$998,0)),"")</f>
        <v>2015</v>
      </c>
      <c r="F165" s="274" t="s">
        <v>245</v>
      </c>
      <c r="G165" s="275" t="s">
        <v>10</v>
      </c>
      <c r="H165" s="277" t="s">
        <v>293</v>
      </c>
      <c r="I165" s="277" t="s">
        <v>475</v>
      </c>
      <c r="J165" s="278" t="s">
        <v>476</v>
      </c>
      <c r="K165" s="312"/>
      <c r="L165" s="286">
        <v>0.47</v>
      </c>
      <c r="M165" s="286">
        <v>0.45</v>
      </c>
      <c r="N165" s="313" t="str">
        <f t="shared" si="17"/>
        <v/>
      </c>
      <c r="O165" s="281">
        <f t="shared" si="18"/>
        <v>0.02</v>
      </c>
    </row>
    <row r="166">
      <c r="A166" s="263">
        <v>20.0</v>
      </c>
      <c r="B166" s="264" t="str">
        <f t="array" ref="B166">IFerror(INDEX(Papers!C$2:C$998,MATCH($A166, Papers!$A$2:$A$998,0)),"")</f>
        <v>How Representative Are SMS Surveys in Africa? Experimental Evidence From Four Countries</v>
      </c>
      <c r="C166" s="264" t="str">
        <f t="array" ref="C166">IFerror(INDEX(Papers!D$2:D$998,MATCH($A166, Papers!$A$2:$A$998,0)),"")</f>
        <v>Charles Lau, Ansie Lombaard, Melissa Baker, Joe Eyerman, and Lisa Thalji</v>
      </c>
      <c r="D166" s="265">
        <f t="array" ref="D166">IFerror(INDEX(Papers!F$2:F$998,MATCH($A166, Papers!$A$2:$A$998,0)),"")</f>
        <v>2019</v>
      </c>
      <c r="E166" s="265">
        <f t="array" ref="E166">IFerror(INDEX(Papers!G$2:G$998,MATCH($A166, Papers!$A$2:$A$998,0)),"")</f>
        <v>2015</v>
      </c>
      <c r="F166" s="265" t="s">
        <v>245</v>
      </c>
      <c r="G166" s="266" t="s">
        <v>10</v>
      </c>
      <c r="H166" s="282" t="s">
        <v>293</v>
      </c>
      <c r="I166" s="267" t="s">
        <v>477</v>
      </c>
      <c r="J166" s="268" t="s">
        <v>476</v>
      </c>
      <c r="K166" s="314"/>
      <c r="L166" s="287">
        <v>0.48</v>
      </c>
      <c r="M166" s="287">
        <v>0.44</v>
      </c>
      <c r="N166" s="310" t="str">
        <f t="shared" si="17"/>
        <v/>
      </c>
      <c r="O166" s="271">
        <f t="shared" si="18"/>
        <v>0.04</v>
      </c>
    </row>
    <row r="167">
      <c r="A167" s="272">
        <v>20.0</v>
      </c>
      <c r="B167" s="273" t="str">
        <f t="array" ref="B167">IFerror(INDEX(Papers!C$2:C$998,MATCH($A167, Papers!$A$2:$A$998,0)),"")</f>
        <v>How Representative Are SMS Surveys in Africa? Experimental Evidence From Four Countries</v>
      </c>
      <c r="C167" s="273" t="str">
        <f t="array" ref="C167">IFerror(INDEX(Papers!D$2:D$998,MATCH($A167, Papers!$A$2:$A$998,0)),"")</f>
        <v>Charles Lau, Ansie Lombaard, Melissa Baker, Joe Eyerman, and Lisa Thalji</v>
      </c>
      <c r="D167" s="274">
        <f t="array" ref="D167">IFerror(INDEX(Papers!F$2:F$998,MATCH($A167, Papers!$A$2:$A$998,0)),"")</f>
        <v>2019</v>
      </c>
      <c r="E167" s="274">
        <f t="array" ref="E167">IFerror(INDEX(Papers!G$2:G$998,MATCH($A167, Papers!$A$2:$A$998,0)),"")</f>
        <v>2015</v>
      </c>
      <c r="F167" s="274" t="s">
        <v>245</v>
      </c>
      <c r="G167" s="275" t="s">
        <v>10</v>
      </c>
      <c r="H167" s="277" t="s">
        <v>293</v>
      </c>
      <c r="I167" s="276" t="s">
        <v>477</v>
      </c>
      <c r="J167" s="278" t="s">
        <v>440</v>
      </c>
      <c r="K167" s="312"/>
      <c r="L167" s="286">
        <v>0.31</v>
      </c>
      <c r="M167" s="286">
        <v>0.31</v>
      </c>
      <c r="N167" s="313" t="str">
        <f t="shared" si="17"/>
        <v/>
      </c>
      <c r="O167" s="281">
        <f t="shared" si="18"/>
        <v>0</v>
      </c>
    </row>
    <row r="168">
      <c r="A168" s="263">
        <v>20.0</v>
      </c>
      <c r="B168" s="264" t="str">
        <f t="array" ref="B168">IFerror(INDEX(Papers!C$2:C$998,MATCH($A168, Papers!$A$2:$A$998,0)),"")</f>
        <v>How Representative Are SMS Surveys in Africa? Experimental Evidence From Four Countries</v>
      </c>
      <c r="C168" s="264" t="str">
        <f t="array" ref="C168">IFerror(INDEX(Papers!D$2:D$998,MATCH($A168, Papers!$A$2:$A$998,0)),"")</f>
        <v>Charles Lau, Ansie Lombaard, Melissa Baker, Joe Eyerman, and Lisa Thalji</v>
      </c>
      <c r="D168" s="265">
        <f t="array" ref="D168">IFerror(INDEX(Papers!F$2:F$998,MATCH($A168, Papers!$A$2:$A$998,0)),"")</f>
        <v>2019</v>
      </c>
      <c r="E168" s="265">
        <f t="array" ref="E168">IFerror(INDEX(Papers!G$2:G$998,MATCH($A168, Papers!$A$2:$A$998,0)),"")</f>
        <v>2015</v>
      </c>
      <c r="F168" s="265" t="s">
        <v>245</v>
      </c>
      <c r="G168" s="266" t="s">
        <v>10</v>
      </c>
      <c r="H168" s="282" t="s">
        <v>293</v>
      </c>
      <c r="I168" s="282" t="s">
        <v>475</v>
      </c>
      <c r="J168" s="268" t="s">
        <v>440</v>
      </c>
      <c r="K168" s="314"/>
      <c r="L168" s="287">
        <v>0.31</v>
      </c>
      <c r="M168" s="287">
        <v>0.31</v>
      </c>
      <c r="N168" s="310" t="str">
        <f t="shared" si="17"/>
        <v/>
      </c>
      <c r="O168" s="271">
        <f t="shared" si="18"/>
        <v>0</v>
      </c>
    </row>
    <row r="169">
      <c r="A169" s="272">
        <v>20.0</v>
      </c>
      <c r="B169" s="273" t="str">
        <f t="array" ref="B169">IFerror(INDEX(Papers!C$2:C$998,MATCH($A169, Papers!$A$2:$A$998,0)),"")</f>
        <v>How Representative Are SMS Surveys in Africa? Experimental Evidence From Four Countries</v>
      </c>
      <c r="C169" s="273" t="str">
        <f t="array" ref="C169">IFerror(INDEX(Papers!D$2:D$998,MATCH($A169, Papers!$A$2:$A$998,0)),"")</f>
        <v>Charles Lau, Ansie Lombaard, Melissa Baker, Joe Eyerman, and Lisa Thalji</v>
      </c>
      <c r="D169" s="274">
        <f t="array" ref="D169">IFerror(INDEX(Papers!F$2:F$998,MATCH($A169, Papers!$A$2:$A$998,0)),"")</f>
        <v>2019</v>
      </c>
      <c r="E169" s="274">
        <f t="array" ref="E169">IFerror(INDEX(Papers!G$2:G$998,MATCH($A169, Papers!$A$2:$A$998,0)),"")</f>
        <v>2015</v>
      </c>
      <c r="F169" s="274" t="s">
        <v>245</v>
      </c>
      <c r="G169" s="275" t="s">
        <v>10</v>
      </c>
      <c r="H169" s="277" t="s">
        <v>293</v>
      </c>
      <c r="I169" s="276" t="s">
        <v>477</v>
      </c>
      <c r="J169" s="278" t="s">
        <v>478</v>
      </c>
      <c r="K169" s="312"/>
      <c r="L169" s="286">
        <v>0.12</v>
      </c>
      <c r="M169" s="286">
        <v>0.15</v>
      </c>
      <c r="N169" s="313" t="str">
        <f t="shared" si="17"/>
        <v/>
      </c>
      <c r="O169" s="281">
        <f t="shared" si="18"/>
        <v>-0.03</v>
      </c>
    </row>
    <row r="170">
      <c r="A170" s="263">
        <v>20.0</v>
      </c>
      <c r="B170" s="264" t="str">
        <f t="array" ref="B170">IFerror(INDEX(Papers!C$2:C$998,MATCH($A170, Papers!$A$2:$A$998,0)),"")</f>
        <v>How Representative Are SMS Surveys in Africa? Experimental Evidence From Four Countries</v>
      </c>
      <c r="C170" s="264" t="str">
        <f t="array" ref="C170">IFerror(INDEX(Papers!D$2:D$998,MATCH($A170, Papers!$A$2:$A$998,0)),"")</f>
        <v>Charles Lau, Ansie Lombaard, Melissa Baker, Joe Eyerman, and Lisa Thalji</v>
      </c>
      <c r="D170" s="265">
        <f t="array" ref="D170">IFerror(INDEX(Papers!F$2:F$998,MATCH($A170, Papers!$A$2:$A$998,0)),"")</f>
        <v>2019</v>
      </c>
      <c r="E170" s="265">
        <f t="array" ref="E170">IFerror(INDEX(Papers!G$2:G$998,MATCH($A170, Papers!$A$2:$A$998,0)),"")</f>
        <v>2015</v>
      </c>
      <c r="F170" s="265" t="s">
        <v>245</v>
      </c>
      <c r="G170" s="266" t="s">
        <v>10</v>
      </c>
      <c r="H170" s="282" t="s">
        <v>293</v>
      </c>
      <c r="I170" s="282" t="s">
        <v>475</v>
      </c>
      <c r="J170" s="268" t="s">
        <v>478</v>
      </c>
      <c r="K170" s="314"/>
      <c r="L170" s="287">
        <v>0.13</v>
      </c>
      <c r="M170" s="287">
        <v>0.15</v>
      </c>
      <c r="N170" s="310" t="str">
        <f t="shared" si="17"/>
        <v/>
      </c>
      <c r="O170" s="271">
        <f t="shared" si="18"/>
        <v>-0.02</v>
      </c>
    </row>
    <row r="171">
      <c r="A171" s="272">
        <v>20.0</v>
      </c>
      <c r="B171" s="273" t="str">
        <f t="array" ref="B171">IFerror(INDEX(Papers!C$2:C$998,MATCH($A171, Papers!$A$2:$A$998,0)),"")</f>
        <v>How Representative Are SMS Surveys in Africa? Experimental Evidence From Four Countries</v>
      </c>
      <c r="C171" s="273" t="str">
        <f t="array" ref="C171">IFerror(INDEX(Papers!D$2:D$998,MATCH($A171, Papers!$A$2:$A$998,0)),"")</f>
        <v>Charles Lau, Ansie Lombaard, Melissa Baker, Joe Eyerman, and Lisa Thalji</v>
      </c>
      <c r="D171" s="274">
        <f t="array" ref="D171">IFerror(INDEX(Papers!F$2:F$998,MATCH($A171, Papers!$A$2:$A$998,0)),"")</f>
        <v>2019</v>
      </c>
      <c r="E171" s="274">
        <f t="array" ref="E171">IFerror(INDEX(Papers!G$2:G$998,MATCH($A171, Papers!$A$2:$A$998,0)),"")</f>
        <v>2015</v>
      </c>
      <c r="F171" s="274" t="s">
        <v>245</v>
      </c>
      <c r="G171" s="275" t="s">
        <v>10</v>
      </c>
      <c r="H171" s="277" t="s">
        <v>293</v>
      </c>
      <c r="I171" s="276" t="s">
        <v>477</v>
      </c>
      <c r="J171" s="278" t="s">
        <v>479</v>
      </c>
      <c r="K171" s="312"/>
      <c r="L171" s="286">
        <v>0.09</v>
      </c>
      <c r="M171" s="286">
        <v>0.09</v>
      </c>
      <c r="N171" s="313" t="str">
        <f t="shared" si="17"/>
        <v/>
      </c>
      <c r="O171" s="281">
        <f t="shared" si="18"/>
        <v>0</v>
      </c>
    </row>
    <row r="172">
      <c r="A172" s="263">
        <v>20.0</v>
      </c>
      <c r="B172" s="264" t="str">
        <f t="array" ref="B172">IFerror(INDEX(Papers!C$2:C$998,MATCH($A172, Papers!$A$2:$A$998,0)),"")</f>
        <v>How Representative Are SMS Surveys in Africa? Experimental Evidence From Four Countries</v>
      </c>
      <c r="C172" s="264" t="str">
        <f t="array" ref="C172">IFerror(INDEX(Papers!D$2:D$998,MATCH($A172, Papers!$A$2:$A$998,0)),"")</f>
        <v>Charles Lau, Ansie Lombaard, Melissa Baker, Joe Eyerman, and Lisa Thalji</v>
      </c>
      <c r="D172" s="265">
        <f t="array" ref="D172">IFerror(INDEX(Papers!F$2:F$998,MATCH($A172, Papers!$A$2:$A$998,0)),"")</f>
        <v>2019</v>
      </c>
      <c r="E172" s="265">
        <f t="array" ref="E172">IFerror(INDEX(Papers!G$2:G$998,MATCH($A172, Papers!$A$2:$A$998,0)),"")</f>
        <v>2015</v>
      </c>
      <c r="F172" s="265" t="s">
        <v>245</v>
      </c>
      <c r="G172" s="266" t="s">
        <v>10</v>
      </c>
      <c r="H172" s="282" t="s">
        <v>293</v>
      </c>
      <c r="I172" s="282" t="s">
        <v>475</v>
      </c>
      <c r="J172" s="268" t="s">
        <v>479</v>
      </c>
      <c r="K172" s="314"/>
      <c r="L172" s="287">
        <v>0.1</v>
      </c>
      <c r="M172" s="287">
        <v>0.09</v>
      </c>
      <c r="N172" s="310" t="str">
        <f t="shared" si="17"/>
        <v/>
      </c>
      <c r="O172" s="271">
        <f t="shared" si="18"/>
        <v>0.01</v>
      </c>
    </row>
    <row r="173">
      <c r="A173" s="272">
        <v>20.0</v>
      </c>
      <c r="B173" s="273" t="str">
        <f t="array" ref="B173">IFerror(INDEX(Papers!C$2:C$998,MATCH($A173, Papers!$A$2:$A$998,0)),"")</f>
        <v>How Representative Are SMS Surveys in Africa? Experimental Evidence From Four Countries</v>
      </c>
      <c r="C173" s="273" t="str">
        <f t="array" ref="C173">IFerror(INDEX(Papers!D$2:D$998,MATCH($A173, Papers!$A$2:$A$998,0)),"")</f>
        <v>Charles Lau, Ansie Lombaard, Melissa Baker, Joe Eyerman, and Lisa Thalji</v>
      </c>
      <c r="D173" s="274">
        <f t="array" ref="D173">IFerror(INDEX(Papers!F$2:F$998,MATCH($A173, Papers!$A$2:$A$998,0)),"")</f>
        <v>2019</v>
      </c>
      <c r="E173" s="274">
        <f t="array" ref="E173">IFerror(INDEX(Papers!G$2:G$998,MATCH($A173, Papers!$A$2:$A$998,0)),"")</f>
        <v>2015</v>
      </c>
      <c r="F173" s="274" t="s">
        <v>251</v>
      </c>
      <c r="G173" s="275" t="s">
        <v>10</v>
      </c>
      <c r="H173" s="277" t="s">
        <v>480</v>
      </c>
      <c r="I173" s="276" t="s">
        <v>293</v>
      </c>
      <c r="J173" s="278" t="s">
        <v>447</v>
      </c>
      <c r="K173" s="286">
        <v>0.1</v>
      </c>
      <c r="L173" s="307"/>
      <c r="M173" s="286">
        <v>0.6</v>
      </c>
      <c r="N173" s="316">
        <f t="shared" si="17"/>
        <v>-0.5</v>
      </c>
      <c r="O173" s="281" t="str">
        <f t="shared" si="18"/>
        <v/>
      </c>
    </row>
    <row r="174">
      <c r="A174" s="263">
        <v>20.0</v>
      </c>
      <c r="B174" s="264" t="str">
        <f t="array" ref="B174">IFerror(INDEX(Papers!C$2:C$998,MATCH($A174, Papers!$A$2:$A$998,0)),"")</f>
        <v>How Representative Are SMS Surveys in Africa? Experimental Evidence From Four Countries</v>
      </c>
      <c r="C174" s="264" t="str">
        <f t="array" ref="C174">IFerror(INDEX(Papers!D$2:D$998,MATCH($A174, Papers!$A$2:$A$998,0)),"")</f>
        <v>Charles Lau, Ansie Lombaard, Melissa Baker, Joe Eyerman, and Lisa Thalji</v>
      </c>
      <c r="D174" s="265">
        <f t="array" ref="D174">IFerror(INDEX(Papers!F$2:F$998,MATCH($A174, Papers!$A$2:$A$998,0)),"")</f>
        <v>2019</v>
      </c>
      <c r="E174" s="265">
        <f t="array" ref="E174">IFerror(INDEX(Papers!G$2:G$998,MATCH($A174, Papers!$A$2:$A$998,0)),"")</f>
        <v>2015</v>
      </c>
      <c r="F174" s="265" t="s">
        <v>243</v>
      </c>
      <c r="G174" s="266" t="s">
        <v>10</v>
      </c>
      <c r="H174" s="282" t="s">
        <v>481</v>
      </c>
      <c r="I174" s="267" t="s">
        <v>293</v>
      </c>
      <c r="J174" s="268" t="s">
        <v>447</v>
      </c>
      <c r="K174" s="317">
        <v>0.09</v>
      </c>
      <c r="L174" s="285"/>
      <c r="M174" s="317">
        <v>0.36</v>
      </c>
      <c r="N174" s="271">
        <f t="shared" si="17"/>
        <v>-0.27</v>
      </c>
      <c r="O174" s="271" t="str">
        <f t="shared" si="18"/>
        <v/>
      </c>
    </row>
    <row r="175">
      <c r="A175" s="272">
        <v>20.0</v>
      </c>
      <c r="B175" s="273" t="str">
        <f t="array" ref="B175">IFerror(INDEX(Papers!C$2:C$998,MATCH($A175, Papers!$A$2:$A$998,0)),"")</f>
        <v>How Representative Are SMS Surveys in Africa? Experimental Evidence From Four Countries</v>
      </c>
      <c r="C175" s="273" t="str">
        <f t="array" ref="C175">IFerror(INDEX(Papers!D$2:D$998,MATCH($A175, Papers!$A$2:$A$998,0)),"")</f>
        <v>Charles Lau, Ansie Lombaard, Melissa Baker, Joe Eyerman, and Lisa Thalji</v>
      </c>
      <c r="D175" s="274">
        <f t="array" ref="D175">IFerror(INDEX(Papers!F$2:F$998,MATCH($A175, Papers!$A$2:$A$998,0)),"")</f>
        <v>2019</v>
      </c>
      <c r="E175" s="274">
        <f t="array" ref="E175">IFerror(INDEX(Papers!G$2:G$998,MATCH($A175, Papers!$A$2:$A$998,0)),"")</f>
        <v>2015</v>
      </c>
      <c r="F175" s="274" t="s">
        <v>245</v>
      </c>
      <c r="G175" s="275" t="s">
        <v>10</v>
      </c>
      <c r="H175" s="277" t="s">
        <v>482</v>
      </c>
      <c r="I175" s="276" t="s">
        <v>293</v>
      </c>
      <c r="J175" s="278" t="s">
        <v>447</v>
      </c>
      <c r="K175" s="286">
        <v>0.15</v>
      </c>
      <c r="L175" s="286"/>
      <c r="M175" s="286">
        <v>0.35</v>
      </c>
      <c r="N175" s="316">
        <f t="shared" si="17"/>
        <v>-0.2</v>
      </c>
      <c r="O175" s="281" t="str">
        <f t="shared" si="18"/>
        <v/>
      </c>
    </row>
    <row r="176">
      <c r="A176" s="263">
        <v>20.0</v>
      </c>
      <c r="B176" s="264" t="str">
        <f t="array" ref="B176">IFerror(INDEX(Papers!C$2:C$998,MATCH($A176, Papers!$A$2:$A$998,0)),"")</f>
        <v>How Representative Are SMS Surveys in Africa? Experimental Evidence From Four Countries</v>
      </c>
      <c r="C176" s="264" t="str">
        <f t="array" ref="C176">IFerror(INDEX(Papers!D$2:D$998,MATCH($A176, Papers!$A$2:$A$998,0)),"")</f>
        <v>Charles Lau, Ansie Lombaard, Melissa Baker, Joe Eyerman, and Lisa Thalji</v>
      </c>
      <c r="D176" s="265">
        <f t="array" ref="D176">IFerror(INDEX(Papers!F$2:F$998,MATCH($A176, Papers!$A$2:$A$998,0)),"")</f>
        <v>2019</v>
      </c>
      <c r="E176" s="265">
        <f t="array" ref="E176">IFerror(INDEX(Papers!G$2:G$998,MATCH($A176, Papers!$A$2:$A$998,0)),"")</f>
        <v>2015</v>
      </c>
      <c r="F176" s="265" t="s">
        <v>258</v>
      </c>
      <c r="G176" s="266" t="s">
        <v>10</v>
      </c>
      <c r="H176" s="282" t="s">
        <v>483</v>
      </c>
      <c r="I176" s="267" t="s">
        <v>293</v>
      </c>
      <c r="J176" s="268" t="s">
        <v>447</v>
      </c>
      <c r="K176" s="287">
        <v>0.8</v>
      </c>
      <c r="L176" s="287"/>
      <c r="M176" s="287">
        <v>0.48</v>
      </c>
      <c r="N176" s="318">
        <f t="shared" si="17"/>
        <v>0.32</v>
      </c>
      <c r="O176" s="271" t="str">
        <f t="shared" si="18"/>
        <v/>
      </c>
    </row>
    <row r="177">
      <c r="A177" s="272">
        <v>20.0</v>
      </c>
      <c r="B177" s="273" t="str">
        <f t="array" ref="B177">IFerror(INDEX(Papers!C$2:C$998,MATCH($A177, Papers!$A$2:$A$998,0)),"")</f>
        <v>How Representative Are SMS Surveys in Africa? Experimental Evidence From Four Countries</v>
      </c>
      <c r="C177" s="273" t="str">
        <f t="array" ref="C177">IFerror(INDEX(Papers!D$2:D$998,MATCH($A177, Papers!$A$2:$A$998,0)),"")</f>
        <v>Charles Lau, Ansie Lombaard, Melissa Baker, Joe Eyerman, and Lisa Thalji</v>
      </c>
      <c r="D177" s="274">
        <f t="array" ref="D177">IFerror(INDEX(Papers!F$2:F$998,MATCH($A177, Papers!$A$2:$A$998,0)),"")</f>
        <v>2019</v>
      </c>
      <c r="E177" s="274">
        <f t="array" ref="E177">IFerror(INDEX(Papers!G$2:G$998,MATCH($A177, Papers!$A$2:$A$998,0)),"")</f>
        <v>2015</v>
      </c>
      <c r="F177" s="274" t="s">
        <v>245</v>
      </c>
      <c r="G177" s="275" t="s">
        <v>10</v>
      </c>
      <c r="H177" s="277" t="s">
        <v>293</v>
      </c>
      <c r="I177" s="276" t="s">
        <v>477</v>
      </c>
      <c r="J177" s="278" t="s">
        <v>447</v>
      </c>
      <c r="K177" s="312"/>
      <c r="L177" s="286">
        <v>0.37</v>
      </c>
      <c r="M177" s="286">
        <v>0.37</v>
      </c>
      <c r="N177" s="313" t="str">
        <f t="shared" si="17"/>
        <v/>
      </c>
      <c r="O177" s="281">
        <f t="shared" si="18"/>
        <v>0</v>
      </c>
    </row>
    <row r="178">
      <c r="A178" s="263">
        <v>20.0</v>
      </c>
      <c r="B178" s="264" t="str">
        <f t="array" ref="B178">IFerror(INDEX(Papers!C$2:C$998,MATCH($A178, Papers!$A$2:$A$998,0)),"")</f>
        <v>How Representative Are SMS Surveys in Africa? Experimental Evidence From Four Countries</v>
      </c>
      <c r="C178" s="264" t="str">
        <f t="array" ref="C178">IFerror(INDEX(Papers!D$2:D$998,MATCH($A178, Papers!$A$2:$A$998,0)),"")</f>
        <v>Charles Lau, Ansie Lombaard, Melissa Baker, Joe Eyerman, and Lisa Thalji</v>
      </c>
      <c r="D178" s="265">
        <f t="array" ref="D178">IFerror(INDEX(Papers!F$2:F$998,MATCH($A178, Papers!$A$2:$A$998,0)),"")</f>
        <v>2019</v>
      </c>
      <c r="E178" s="265">
        <f t="array" ref="E178">IFerror(INDEX(Papers!G$2:G$998,MATCH($A178, Papers!$A$2:$A$998,0)),"")</f>
        <v>2015</v>
      </c>
      <c r="F178" s="265" t="s">
        <v>245</v>
      </c>
      <c r="G178" s="266" t="s">
        <v>10</v>
      </c>
      <c r="H178" s="282" t="s">
        <v>293</v>
      </c>
      <c r="I178" s="282" t="s">
        <v>475</v>
      </c>
      <c r="J178" s="268" t="s">
        <v>447</v>
      </c>
      <c r="K178" s="314"/>
      <c r="L178" s="287">
        <v>0.38</v>
      </c>
      <c r="M178" s="287">
        <v>0.36</v>
      </c>
      <c r="N178" s="310" t="str">
        <f t="shared" si="17"/>
        <v/>
      </c>
      <c r="O178" s="271">
        <f t="shared" si="18"/>
        <v>0.02</v>
      </c>
    </row>
    <row r="179">
      <c r="A179" s="272">
        <v>20.0</v>
      </c>
      <c r="B179" s="273" t="str">
        <f t="array" ref="B179">IFerror(INDEX(Papers!C$2:C$998,MATCH($A179, Papers!$A$2:$A$998,0)),"")</f>
        <v>How Representative Are SMS Surveys in Africa? Experimental Evidence From Four Countries</v>
      </c>
      <c r="C179" s="273" t="str">
        <f t="array" ref="C179">IFerror(INDEX(Papers!D$2:D$998,MATCH($A179, Papers!$A$2:$A$998,0)),"")</f>
        <v>Charles Lau, Ansie Lombaard, Melissa Baker, Joe Eyerman, and Lisa Thalji</v>
      </c>
      <c r="D179" s="274">
        <f t="array" ref="D179">IFerror(INDEX(Papers!F$2:F$998,MATCH($A179, Papers!$A$2:$A$998,0)),"")</f>
        <v>2019</v>
      </c>
      <c r="E179" s="274">
        <f t="array" ref="E179">IFerror(INDEX(Papers!G$2:G$998,MATCH($A179, Papers!$A$2:$A$998,0)),"")</f>
        <v>2015</v>
      </c>
      <c r="F179" s="274" t="s">
        <v>245</v>
      </c>
      <c r="G179" s="275" t="s">
        <v>10</v>
      </c>
      <c r="H179" s="277" t="s">
        <v>482</v>
      </c>
      <c r="I179" s="276" t="s">
        <v>293</v>
      </c>
      <c r="J179" s="300" t="s">
        <v>484</v>
      </c>
      <c r="K179" s="286">
        <v>0.49</v>
      </c>
      <c r="L179" s="286"/>
      <c r="M179" s="286">
        <v>0.22</v>
      </c>
      <c r="N179" s="316">
        <f t="shared" si="17"/>
        <v>0.27</v>
      </c>
      <c r="O179" s="281" t="str">
        <f t="shared" si="18"/>
        <v/>
      </c>
    </row>
    <row r="180">
      <c r="A180" s="263">
        <v>20.0</v>
      </c>
      <c r="B180" s="264" t="str">
        <f t="array" ref="B180">IFerror(INDEX(Papers!C$2:C$998,MATCH($A180, Papers!$A$2:$A$998,0)),"")</f>
        <v>How Representative Are SMS Surveys in Africa? Experimental Evidence From Four Countries</v>
      </c>
      <c r="C180" s="264" t="str">
        <f t="array" ref="C180">IFerror(INDEX(Papers!D$2:D$998,MATCH($A180, Papers!$A$2:$A$998,0)),"")</f>
        <v>Charles Lau, Ansie Lombaard, Melissa Baker, Joe Eyerman, and Lisa Thalji</v>
      </c>
      <c r="D180" s="265">
        <f t="array" ref="D180">IFerror(INDEX(Papers!F$2:F$998,MATCH($A180, Papers!$A$2:$A$998,0)),"")</f>
        <v>2019</v>
      </c>
      <c r="E180" s="265">
        <f t="array" ref="E180">IFerror(INDEX(Papers!G$2:G$998,MATCH($A180, Papers!$A$2:$A$998,0)),"")</f>
        <v>2015</v>
      </c>
      <c r="F180" s="265" t="s">
        <v>251</v>
      </c>
      <c r="G180" s="266" t="s">
        <v>10</v>
      </c>
      <c r="H180" s="282" t="s">
        <v>480</v>
      </c>
      <c r="I180" s="267" t="s">
        <v>293</v>
      </c>
      <c r="J180" s="301" t="s">
        <v>484</v>
      </c>
      <c r="K180" s="287">
        <v>0.53</v>
      </c>
      <c r="L180" s="289"/>
      <c r="M180" s="287">
        <v>0.05</v>
      </c>
      <c r="N180" s="318">
        <f t="shared" si="17"/>
        <v>0.48</v>
      </c>
      <c r="O180" s="271" t="str">
        <f t="shared" si="18"/>
        <v/>
      </c>
    </row>
    <row r="181">
      <c r="A181" s="272">
        <v>20.0</v>
      </c>
      <c r="B181" s="273" t="str">
        <f t="array" ref="B181">IFerror(INDEX(Papers!C$2:C$998,MATCH($A181, Papers!$A$2:$A$998,0)),"")</f>
        <v>How Representative Are SMS Surveys in Africa? Experimental Evidence From Four Countries</v>
      </c>
      <c r="C181" s="273" t="str">
        <f t="array" ref="C181">IFerror(INDEX(Papers!D$2:D$998,MATCH($A181, Papers!$A$2:$A$998,0)),"")</f>
        <v>Charles Lau, Ansie Lombaard, Melissa Baker, Joe Eyerman, and Lisa Thalji</v>
      </c>
      <c r="D181" s="274">
        <f t="array" ref="D181">IFerror(INDEX(Papers!F$2:F$998,MATCH($A181, Papers!$A$2:$A$998,0)),"")</f>
        <v>2019</v>
      </c>
      <c r="E181" s="274">
        <f t="array" ref="E181">IFerror(INDEX(Papers!G$2:G$998,MATCH($A181, Papers!$A$2:$A$998,0)),"")</f>
        <v>2015</v>
      </c>
      <c r="F181" s="274" t="s">
        <v>258</v>
      </c>
      <c r="G181" s="275" t="s">
        <v>10</v>
      </c>
      <c r="H181" s="277" t="s">
        <v>483</v>
      </c>
      <c r="I181" s="276" t="s">
        <v>293</v>
      </c>
      <c r="J181" s="300" t="s">
        <v>484</v>
      </c>
      <c r="K181" s="286">
        <v>0.64</v>
      </c>
      <c r="L181" s="286"/>
      <c r="M181" s="286">
        <v>0.11</v>
      </c>
      <c r="N181" s="316">
        <f t="shared" si="17"/>
        <v>0.53</v>
      </c>
      <c r="O181" s="281" t="str">
        <f t="shared" si="18"/>
        <v/>
      </c>
    </row>
    <row r="182">
      <c r="A182" s="263">
        <v>20.0</v>
      </c>
      <c r="B182" s="264" t="str">
        <f t="array" ref="B182">IFerror(INDEX(Papers!C$2:C$998,MATCH($A182, Papers!$A$2:$A$998,0)),"")</f>
        <v>How Representative Are SMS Surveys in Africa? Experimental Evidence From Four Countries</v>
      </c>
      <c r="C182" s="264" t="str">
        <f t="array" ref="C182">IFerror(INDEX(Papers!D$2:D$998,MATCH($A182, Papers!$A$2:$A$998,0)),"")</f>
        <v>Charles Lau, Ansie Lombaard, Melissa Baker, Joe Eyerman, and Lisa Thalji</v>
      </c>
      <c r="D182" s="265">
        <f t="array" ref="D182">IFerror(INDEX(Papers!F$2:F$998,MATCH($A182, Papers!$A$2:$A$998,0)),"")</f>
        <v>2019</v>
      </c>
      <c r="E182" s="265">
        <f t="array" ref="E182">IFerror(INDEX(Papers!G$2:G$998,MATCH($A182, Papers!$A$2:$A$998,0)),"")</f>
        <v>2015</v>
      </c>
      <c r="F182" s="265" t="s">
        <v>243</v>
      </c>
      <c r="G182" s="266" t="s">
        <v>10</v>
      </c>
      <c r="H182" s="282" t="s">
        <v>481</v>
      </c>
      <c r="I182" s="267" t="s">
        <v>293</v>
      </c>
      <c r="J182" s="301" t="s">
        <v>484</v>
      </c>
      <c r="K182" s="317">
        <v>0.74</v>
      </c>
      <c r="L182" s="285"/>
      <c r="M182" s="317">
        <v>0.12</v>
      </c>
      <c r="N182" s="271">
        <f t="shared" si="17"/>
        <v>0.62</v>
      </c>
      <c r="O182" s="271" t="str">
        <f t="shared" si="18"/>
        <v/>
      </c>
    </row>
    <row r="183">
      <c r="A183" s="272">
        <v>20.0</v>
      </c>
      <c r="B183" s="273" t="str">
        <f t="array" ref="B183">IFerror(INDEX(Papers!C$2:C$998,MATCH($A183, Papers!$A$2:$A$998,0)),"")</f>
        <v>How Representative Are SMS Surveys in Africa? Experimental Evidence From Four Countries</v>
      </c>
      <c r="C183" s="273" t="str">
        <f t="array" ref="C183">IFerror(INDEX(Papers!D$2:D$998,MATCH($A183, Papers!$A$2:$A$998,0)),"")</f>
        <v>Charles Lau, Ansie Lombaard, Melissa Baker, Joe Eyerman, and Lisa Thalji</v>
      </c>
      <c r="D183" s="274">
        <f t="array" ref="D183">IFerror(INDEX(Papers!F$2:F$998,MATCH($A183, Papers!$A$2:$A$998,0)),"")</f>
        <v>2019</v>
      </c>
      <c r="E183" s="274">
        <f t="array" ref="E183">IFerror(INDEX(Papers!G$2:G$998,MATCH($A183, Papers!$A$2:$A$998,0)),"")</f>
        <v>2015</v>
      </c>
      <c r="F183" s="274" t="s">
        <v>245</v>
      </c>
      <c r="G183" s="275" t="s">
        <v>10</v>
      </c>
      <c r="H183" s="277" t="s">
        <v>293</v>
      </c>
      <c r="I183" s="277" t="s">
        <v>475</v>
      </c>
      <c r="J183" s="300" t="s">
        <v>484</v>
      </c>
      <c r="K183" s="312"/>
      <c r="L183" s="286">
        <v>0.17</v>
      </c>
      <c r="M183" s="286">
        <v>0.2</v>
      </c>
      <c r="N183" s="313" t="str">
        <f t="shared" si="17"/>
        <v/>
      </c>
      <c r="O183" s="281">
        <f t="shared" si="18"/>
        <v>-0.03</v>
      </c>
    </row>
    <row r="184">
      <c r="A184" s="263">
        <v>20.0</v>
      </c>
      <c r="B184" s="264" t="str">
        <f t="array" ref="B184">IFerror(INDEX(Papers!C$2:C$998,MATCH($A184, Papers!$A$2:$A$998,0)),"")</f>
        <v>How Representative Are SMS Surveys in Africa? Experimental Evidence From Four Countries</v>
      </c>
      <c r="C184" s="264" t="str">
        <f t="array" ref="C184">IFerror(INDEX(Papers!D$2:D$998,MATCH($A184, Papers!$A$2:$A$998,0)),"")</f>
        <v>Charles Lau, Ansie Lombaard, Melissa Baker, Joe Eyerman, and Lisa Thalji</v>
      </c>
      <c r="D184" s="265">
        <f t="array" ref="D184">IFerror(INDEX(Papers!F$2:F$998,MATCH($A184, Papers!$A$2:$A$998,0)),"")</f>
        <v>2019</v>
      </c>
      <c r="E184" s="265">
        <f t="array" ref="E184">IFerror(INDEX(Papers!G$2:G$998,MATCH($A184, Papers!$A$2:$A$998,0)),"")</f>
        <v>2015</v>
      </c>
      <c r="F184" s="265" t="s">
        <v>245</v>
      </c>
      <c r="G184" s="266" t="s">
        <v>10</v>
      </c>
      <c r="H184" s="282" t="s">
        <v>293</v>
      </c>
      <c r="I184" s="267" t="s">
        <v>477</v>
      </c>
      <c r="J184" s="301" t="s">
        <v>484</v>
      </c>
      <c r="K184" s="314"/>
      <c r="L184" s="287">
        <v>0.17</v>
      </c>
      <c r="M184" s="287">
        <v>0.19</v>
      </c>
      <c r="N184" s="310" t="str">
        <f t="shared" si="17"/>
        <v/>
      </c>
      <c r="O184" s="271">
        <f t="shared" si="18"/>
        <v>-0.02</v>
      </c>
    </row>
    <row r="185">
      <c r="A185" s="272">
        <v>20.0</v>
      </c>
      <c r="B185" s="273" t="str">
        <f t="array" ref="B185">IFerror(INDEX(Papers!C$2:C$998,MATCH($A185, Papers!$A$2:$A$998,0)),"")</f>
        <v>How Representative Are SMS Surveys in Africa? Experimental Evidence From Four Countries</v>
      </c>
      <c r="C185" s="273" t="str">
        <f t="array" ref="C185">IFerror(INDEX(Papers!D$2:D$998,MATCH($A185, Papers!$A$2:$A$998,0)),"")</f>
        <v>Charles Lau, Ansie Lombaard, Melissa Baker, Joe Eyerman, and Lisa Thalji</v>
      </c>
      <c r="D185" s="274">
        <f t="array" ref="D185">IFerror(INDEX(Papers!F$2:F$998,MATCH($A185, Papers!$A$2:$A$998,0)),"")</f>
        <v>2019</v>
      </c>
      <c r="E185" s="274">
        <f t="array" ref="E185">IFerror(INDEX(Papers!G$2:G$998,MATCH($A185, Papers!$A$2:$A$998,0)),"")</f>
        <v>2015</v>
      </c>
      <c r="F185" s="274" t="s">
        <v>243</v>
      </c>
      <c r="G185" s="275" t="s">
        <v>10</v>
      </c>
      <c r="H185" s="277" t="s">
        <v>481</v>
      </c>
      <c r="I185" s="276" t="s">
        <v>293</v>
      </c>
      <c r="J185" s="278" t="s">
        <v>485</v>
      </c>
      <c r="K185" s="319">
        <v>0.17</v>
      </c>
      <c r="L185" s="288"/>
      <c r="M185" s="319">
        <v>0.5</v>
      </c>
      <c r="N185" s="281">
        <f t="shared" si="17"/>
        <v>-0.33</v>
      </c>
      <c r="O185" s="281" t="str">
        <f t="shared" si="18"/>
        <v/>
      </c>
    </row>
    <row r="186">
      <c r="A186" s="263">
        <v>20.0</v>
      </c>
      <c r="B186" s="264" t="str">
        <f t="array" ref="B186">IFerror(INDEX(Papers!C$2:C$998,MATCH($A186, Papers!$A$2:$A$998,0)),"")</f>
        <v>How Representative Are SMS Surveys in Africa? Experimental Evidence From Four Countries</v>
      </c>
      <c r="C186" s="264" t="str">
        <f t="array" ref="C186">IFerror(INDEX(Papers!D$2:D$998,MATCH($A186, Papers!$A$2:$A$998,0)),"")</f>
        <v>Charles Lau, Ansie Lombaard, Melissa Baker, Joe Eyerman, and Lisa Thalji</v>
      </c>
      <c r="D186" s="265">
        <f t="array" ref="D186">IFerror(INDEX(Papers!F$2:F$998,MATCH($A186, Papers!$A$2:$A$998,0)),"")</f>
        <v>2019</v>
      </c>
      <c r="E186" s="265">
        <f t="array" ref="E186">IFerror(INDEX(Papers!G$2:G$998,MATCH($A186, Papers!$A$2:$A$998,0)),"")</f>
        <v>2015</v>
      </c>
      <c r="F186" s="265" t="s">
        <v>258</v>
      </c>
      <c r="G186" s="266" t="s">
        <v>10</v>
      </c>
      <c r="H186" s="282" t="s">
        <v>483</v>
      </c>
      <c r="I186" s="267" t="s">
        <v>293</v>
      </c>
      <c r="J186" s="268" t="s">
        <v>485</v>
      </c>
      <c r="K186" s="287">
        <v>0.27</v>
      </c>
      <c r="L186" s="287"/>
      <c r="M186" s="287">
        <v>0.41</v>
      </c>
      <c r="N186" s="318">
        <f t="shared" si="17"/>
        <v>-0.14</v>
      </c>
      <c r="O186" s="271" t="str">
        <f t="shared" si="18"/>
        <v/>
      </c>
    </row>
    <row r="187">
      <c r="A187" s="272">
        <v>20.0</v>
      </c>
      <c r="B187" s="273" t="str">
        <f t="array" ref="B187">IFerror(INDEX(Papers!C$2:C$998,MATCH($A187, Papers!$A$2:$A$998,0)),"")</f>
        <v>How Representative Are SMS Surveys in Africa? Experimental Evidence From Four Countries</v>
      </c>
      <c r="C187" s="273" t="str">
        <f t="array" ref="C187">IFerror(INDEX(Papers!D$2:D$998,MATCH($A187, Papers!$A$2:$A$998,0)),"")</f>
        <v>Charles Lau, Ansie Lombaard, Melissa Baker, Joe Eyerman, and Lisa Thalji</v>
      </c>
      <c r="D187" s="274">
        <f t="array" ref="D187">IFerror(INDEX(Papers!F$2:F$998,MATCH($A187, Papers!$A$2:$A$998,0)),"")</f>
        <v>2019</v>
      </c>
      <c r="E187" s="274">
        <f t="array" ref="E187">IFerror(INDEX(Papers!G$2:G$998,MATCH($A187, Papers!$A$2:$A$998,0)),"")</f>
        <v>2015</v>
      </c>
      <c r="F187" s="274" t="s">
        <v>245</v>
      </c>
      <c r="G187" s="275" t="s">
        <v>10</v>
      </c>
      <c r="H187" s="277" t="s">
        <v>482</v>
      </c>
      <c r="I187" s="276" t="s">
        <v>293</v>
      </c>
      <c r="J187" s="278" t="s">
        <v>485</v>
      </c>
      <c r="K187" s="286">
        <v>0.36</v>
      </c>
      <c r="L187" s="286"/>
      <c r="M187" s="286">
        <v>0.43</v>
      </c>
      <c r="N187" s="316">
        <f t="shared" si="17"/>
        <v>-0.07</v>
      </c>
      <c r="O187" s="281" t="str">
        <f t="shared" si="18"/>
        <v/>
      </c>
    </row>
    <row r="188">
      <c r="A188" s="263">
        <v>20.0</v>
      </c>
      <c r="B188" s="264" t="str">
        <f t="array" ref="B188">IFerror(INDEX(Papers!C$2:C$998,MATCH($A188, Papers!$A$2:$A$998,0)),"")</f>
        <v>How Representative Are SMS Surveys in Africa? Experimental Evidence From Four Countries</v>
      </c>
      <c r="C188" s="264" t="str">
        <f t="array" ref="C188">IFerror(INDEX(Papers!D$2:D$998,MATCH($A188, Papers!$A$2:$A$998,0)),"")</f>
        <v>Charles Lau, Ansie Lombaard, Melissa Baker, Joe Eyerman, and Lisa Thalji</v>
      </c>
      <c r="D188" s="265">
        <f t="array" ref="D188">IFerror(INDEX(Papers!F$2:F$998,MATCH($A188, Papers!$A$2:$A$998,0)),"")</f>
        <v>2019</v>
      </c>
      <c r="E188" s="265">
        <f t="array" ref="E188">IFerror(INDEX(Papers!G$2:G$998,MATCH($A188, Papers!$A$2:$A$998,0)),"")</f>
        <v>2015</v>
      </c>
      <c r="F188" s="265" t="s">
        <v>251</v>
      </c>
      <c r="G188" s="266" t="s">
        <v>10</v>
      </c>
      <c r="H188" s="282" t="s">
        <v>480</v>
      </c>
      <c r="I188" s="267" t="s">
        <v>293</v>
      </c>
      <c r="J188" s="268" t="s">
        <v>485</v>
      </c>
      <c r="K188" s="287">
        <v>0.37</v>
      </c>
      <c r="L188" s="289"/>
      <c r="M188" s="287">
        <v>0.35</v>
      </c>
      <c r="N188" s="318">
        <f t="shared" si="17"/>
        <v>0.02</v>
      </c>
      <c r="O188" s="271" t="str">
        <f t="shared" si="18"/>
        <v/>
      </c>
    </row>
    <row r="189">
      <c r="A189" s="272">
        <v>20.0</v>
      </c>
      <c r="B189" s="273" t="str">
        <f t="array" ref="B189">IFerror(INDEX(Papers!C$2:C$998,MATCH($A189, Papers!$A$2:$A$998,0)),"")</f>
        <v>How Representative Are SMS Surveys in Africa? Experimental Evidence From Four Countries</v>
      </c>
      <c r="C189" s="273" t="str">
        <f t="array" ref="C189">IFerror(INDEX(Papers!D$2:D$998,MATCH($A189, Papers!$A$2:$A$998,0)),"")</f>
        <v>Charles Lau, Ansie Lombaard, Melissa Baker, Joe Eyerman, and Lisa Thalji</v>
      </c>
      <c r="D189" s="274">
        <f t="array" ref="D189">IFerror(INDEX(Papers!F$2:F$998,MATCH($A189, Papers!$A$2:$A$998,0)),"")</f>
        <v>2019</v>
      </c>
      <c r="E189" s="274">
        <f t="array" ref="E189">IFerror(INDEX(Papers!G$2:G$998,MATCH($A189, Papers!$A$2:$A$998,0)),"")</f>
        <v>2015</v>
      </c>
      <c r="F189" s="274" t="s">
        <v>245</v>
      </c>
      <c r="G189" s="275" t="s">
        <v>10</v>
      </c>
      <c r="H189" s="277" t="s">
        <v>293</v>
      </c>
      <c r="I189" s="277" t="s">
        <v>475</v>
      </c>
      <c r="J189" s="278" t="s">
        <v>485</v>
      </c>
      <c r="K189" s="312"/>
      <c r="L189" s="286">
        <v>0.45</v>
      </c>
      <c r="M189" s="286">
        <v>0.45</v>
      </c>
      <c r="N189" s="313" t="str">
        <f t="shared" si="17"/>
        <v/>
      </c>
      <c r="O189" s="281">
        <f t="shared" si="18"/>
        <v>0</v>
      </c>
    </row>
    <row r="190">
      <c r="A190" s="263">
        <v>20.0</v>
      </c>
      <c r="B190" s="264" t="str">
        <f t="array" ref="B190">IFerror(INDEX(Papers!C$2:C$998,MATCH($A190, Papers!$A$2:$A$998,0)),"")</f>
        <v>How Representative Are SMS Surveys in Africa? Experimental Evidence From Four Countries</v>
      </c>
      <c r="C190" s="264" t="str">
        <f t="array" ref="C190">IFerror(INDEX(Papers!D$2:D$998,MATCH($A190, Papers!$A$2:$A$998,0)),"")</f>
        <v>Charles Lau, Ansie Lombaard, Melissa Baker, Joe Eyerman, and Lisa Thalji</v>
      </c>
      <c r="D190" s="265">
        <f t="array" ref="D190">IFerror(INDEX(Papers!F$2:F$998,MATCH($A190, Papers!$A$2:$A$998,0)),"")</f>
        <v>2019</v>
      </c>
      <c r="E190" s="265">
        <f t="array" ref="E190">IFerror(INDEX(Papers!G$2:G$998,MATCH($A190, Papers!$A$2:$A$998,0)),"")</f>
        <v>2015</v>
      </c>
      <c r="F190" s="265" t="s">
        <v>245</v>
      </c>
      <c r="G190" s="266" t="s">
        <v>10</v>
      </c>
      <c r="H190" s="282" t="s">
        <v>293</v>
      </c>
      <c r="I190" s="267" t="s">
        <v>477</v>
      </c>
      <c r="J190" s="268" t="s">
        <v>485</v>
      </c>
      <c r="K190" s="314"/>
      <c r="L190" s="287">
        <v>0.46</v>
      </c>
      <c r="M190" s="287">
        <v>0.44</v>
      </c>
      <c r="N190" s="310" t="str">
        <f t="shared" si="17"/>
        <v/>
      </c>
      <c r="O190" s="271">
        <f t="shared" si="18"/>
        <v>0.02</v>
      </c>
    </row>
    <row r="191">
      <c r="A191" s="272">
        <v>20.0</v>
      </c>
      <c r="B191" s="273" t="str">
        <f t="array" ref="B191">IFerror(INDEX(Papers!C$2:C$998,MATCH($A191, Papers!$A$2:$A$998,0)),"")</f>
        <v>How Representative Are SMS Surveys in Africa? Experimental Evidence From Four Countries</v>
      </c>
      <c r="C191" s="273" t="str">
        <f t="array" ref="C191">IFerror(INDEX(Papers!D$2:D$998,MATCH($A191, Papers!$A$2:$A$998,0)),"")</f>
        <v>Charles Lau, Ansie Lombaard, Melissa Baker, Joe Eyerman, and Lisa Thalji</v>
      </c>
      <c r="D191" s="274">
        <f t="array" ref="D191">IFerror(INDEX(Papers!F$2:F$998,MATCH($A191, Papers!$A$2:$A$998,0)),"")</f>
        <v>2019</v>
      </c>
      <c r="E191" s="274">
        <f t="array" ref="E191">IFerror(INDEX(Papers!G$2:G$998,MATCH($A191, Papers!$A$2:$A$998,0)),"")</f>
        <v>2015</v>
      </c>
      <c r="F191" s="274" t="s">
        <v>243</v>
      </c>
      <c r="G191" s="275" t="s">
        <v>10</v>
      </c>
      <c r="H191" s="277" t="s">
        <v>481</v>
      </c>
      <c r="I191" s="276" t="s">
        <v>293</v>
      </c>
      <c r="J191" s="278" t="s">
        <v>423</v>
      </c>
      <c r="K191" s="319">
        <v>0.1</v>
      </c>
      <c r="L191" s="288"/>
      <c r="M191" s="319">
        <v>0.25</v>
      </c>
      <c r="N191" s="281">
        <f t="shared" si="17"/>
        <v>-0.15</v>
      </c>
      <c r="O191" s="281" t="str">
        <f t="shared" si="18"/>
        <v/>
      </c>
    </row>
    <row r="192">
      <c r="A192" s="263">
        <v>20.0</v>
      </c>
      <c r="B192" s="264" t="str">
        <f t="array" ref="B192">IFerror(INDEX(Papers!C$2:C$998,MATCH($A192, Papers!$A$2:$A$998,0)),"")</f>
        <v>How Representative Are SMS Surveys in Africa? Experimental Evidence From Four Countries</v>
      </c>
      <c r="C192" s="264" t="str">
        <f t="array" ref="C192">IFerror(INDEX(Papers!D$2:D$998,MATCH($A192, Papers!$A$2:$A$998,0)),"")</f>
        <v>Charles Lau, Ansie Lombaard, Melissa Baker, Joe Eyerman, and Lisa Thalji</v>
      </c>
      <c r="D192" s="265">
        <f t="array" ref="D192">IFerror(INDEX(Papers!F$2:F$998,MATCH($A192, Papers!$A$2:$A$998,0)),"")</f>
        <v>2019</v>
      </c>
      <c r="E192" s="265">
        <f t="array" ref="E192">IFerror(INDEX(Papers!G$2:G$998,MATCH($A192, Papers!$A$2:$A$998,0)),"")</f>
        <v>2015</v>
      </c>
      <c r="F192" s="265" t="s">
        <v>258</v>
      </c>
      <c r="G192" s="266" t="s">
        <v>10</v>
      </c>
      <c r="H192" s="282" t="s">
        <v>483</v>
      </c>
      <c r="I192" s="267" t="s">
        <v>293</v>
      </c>
      <c r="J192" s="268" t="s">
        <v>423</v>
      </c>
      <c r="K192" s="287">
        <v>0.09</v>
      </c>
      <c r="L192" s="287"/>
      <c r="M192" s="287">
        <v>0.21</v>
      </c>
      <c r="N192" s="318">
        <f t="shared" si="17"/>
        <v>-0.12</v>
      </c>
      <c r="O192" s="271" t="str">
        <f t="shared" si="18"/>
        <v/>
      </c>
    </row>
    <row r="193">
      <c r="A193" s="272">
        <v>20.0</v>
      </c>
      <c r="B193" s="273" t="str">
        <f t="array" ref="B193">IFerror(INDEX(Papers!C$2:C$998,MATCH($A193, Papers!$A$2:$A$998,0)),"")</f>
        <v>How Representative Are SMS Surveys in Africa? Experimental Evidence From Four Countries</v>
      </c>
      <c r="C193" s="273" t="str">
        <f t="array" ref="C193">IFerror(INDEX(Papers!D$2:D$998,MATCH($A193, Papers!$A$2:$A$998,0)),"")</f>
        <v>Charles Lau, Ansie Lombaard, Melissa Baker, Joe Eyerman, and Lisa Thalji</v>
      </c>
      <c r="D193" s="274">
        <f t="array" ref="D193">IFerror(INDEX(Papers!F$2:F$998,MATCH($A193, Papers!$A$2:$A$998,0)),"")</f>
        <v>2019</v>
      </c>
      <c r="E193" s="274">
        <f t="array" ref="E193">IFerror(INDEX(Papers!G$2:G$998,MATCH($A193, Papers!$A$2:$A$998,0)),"")</f>
        <v>2015</v>
      </c>
      <c r="F193" s="274" t="s">
        <v>251</v>
      </c>
      <c r="G193" s="275" t="s">
        <v>10</v>
      </c>
      <c r="H193" s="277" t="s">
        <v>480</v>
      </c>
      <c r="I193" s="276" t="s">
        <v>293</v>
      </c>
      <c r="J193" s="278" t="s">
        <v>423</v>
      </c>
      <c r="K193" s="286">
        <v>0.1</v>
      </c>
      <c r="L193" s="307"/>
      <c r="M193" s="286">
        <v>0.18</v>
      </c>
      <c r="N193" s="316">
        <f t="shared" si="17"/>
        <v>-0.08</v>
      </c>
      <c r="O193" s="281" t="str">
        <f t="shared" si="18"/>
        <v/>
      </c>
    </row>
    <row r="194">
      <c r="A194" s="263">
        <v>20.0</v>
      </c>
      <c r="B194" s="264" t="str">
        <f t="array" ref="B194">IFerror(INDEX(Papers!C$2:C$998,MATCH($A194, Papers!$A$2:$A$998,0)),"")</f>
        <v>How Representative Are SMS Surveys in Africa? Experimental Evidence From Four Countries</v>
      </c>
      <c r="C194" s="264" t="str">
        <f t="array" ref="C194">IFerror(INDEX(Papers!D$2:D$998,MATCH($A194, Papers!$A$2:$A$998,0)),"")</f>
        <v>Charles Lau, Ansie Lombaard, Melissa Baker, Joe Eyerman, and Lisa Thalji</v>
      </c>
      <c r="D194" s="265">
        <f t="array" ref="D194">IFerror(INDEX(Papers!F$2:F$998,MATCH($A194, Papers!$A$2:$A$998,0)),"")</f>
        <v>2019</v>
      </c>
      <c r="E194" s="265">
        <f t="array" ref="E194">IFerror(INDEX(Papers!G$2:G$998,MATCH($A194, Papers!$A$2:$A$998,0)),"")</f>
        <v>2015</v>
      </c>
      <c r="F194" s="265" t="s">
        <v>245</v>
      </c>
      <c r="G194" s="266" t="s">
        <v>10</v>
      </c>
      <c r="H194" s="282" t="s">
        <v>482</v>
      </c>
      <c r="I194" s="267" t="s">
        <v>293</v>
      </c>
      <c r="J194" s="268" t="s">
        <v>423</v>
      </c>
      <c r="K194" s="287">
        <v>0.12</v>
      </c>
      <c r="L194" s="287"/>
      <c r="M194" s="287">
        <v>0.14</v>
      </c>
      <c r="N194" s="318">
        <f t="shared" si="17"/>
        <v>-0.02</v>
      </c>
      <c r="O194" s="271" t="str">
        <f t="shared" si="18"/>
        <v/>
      </c>
    </row>
    <row r="195">
      <c r="A195" s="272">
        <v>20.0</v>
      </c>
      <c r="B195" s="273" t="str">
        <f t="array" ref="B195">IFerror(INDEX(Papers!C$2:C$998,MATCH($A195, Papers!$A$2:$A$998,0)),"")</f>
        <v>How Representative Are SMS Surveys in Africa? Experimental Evidence From Four Countries</v>
      </c>
      <c r="C195" s="273" t="str">
        <f t="array" ref="C195">IFerror(INDEX(Papers!D$2:D$998,MATCH($A195, Papers!$A$2:$A$998,0)),"")</f>
        <v>Charles Lau, Ansie Lombaard, Melissa Baker, Joe Eyerman, and Lisa Thalji</v>
      </c>
      <c r="D195" s="274">
        <f t="array" ref="D195">IFerror(INDEX(Papers!F$2:F$998,MATCH($A195, Papers!$A$2:$A$998,0)),"")</f>
        <v>2019</v>
      </c>
      <c r="E195" s="274">
        <f t="array" ref="E195">IFerror(INDEX(Papers!G$2:G$998,MATCH($A195, Papers!$A$2:$A$998,0)),"")</f>
        <v>2015</v>
      </c>
      <c r="F195" s="274" t="s">
        <v>245</v>
      </c>
      <c r="G195" s="275" t="s">
        <v>10</v>
      </c>
      <c r="H195" s="277" t="s">
        <v>293</v>
      </c>
      <c r="I195" s="276" t="s">
        <v>477</v>
      </c>
      <c r="J195" s="278" t="s">
        <v>423</v>
      </c>
      <c r="K195" s="312"/>
      <c r="L195" s="286">
        <v>0.15</v>
      </c>
      <c r="M195" s="286">
        <v>0.14</v>
      </c>
      <c r="N195" s="313" t="str">
        <f t="shared" si="17"/>
        <v/>
      </c>
      <c r="O195" s="281">
        <f t="shared" si="18"/>
        <v>0.01</v>
      </c>
    </row>
    <row r="196">
      <c r="A196" s="263">
        <v>20.0</v>
      </c>
      <c r="B196" s="264" t="str">
        <f t="array" ref="B196">IFerror(INDEX(Papers!C$2:C$998,MATCH($A196, Papers!$A$2:$A$998,0)),"")</f>
        <v>How Representative Are SMS Surveys in Africa? Experimental Evidence From Four Countries</v>
      </c>
      <c r="C196" s="264" t="str">
        <f t="array" ref="C196">IFerror(INDEX(Papers!D$2:D$998,MATCH($A196, Papers!$A$2:$A$998,0)),"")</f>
        <v>Charles Lau, Ansie Lombaard, Melissa Baker, Joe Eyerman, and Lisa Thalji</v>
      </c>
      <c r="D196" s="265">
        <f t="array" ref="D196">IFerror(INDEX(Papers!F$2:F$998,MATCH($A196, Papers!$A$2:$A$998,0)),"")</f>
        <v>2019</v>
      </c>
      <c r="E196" s="265">
        <f t="array" ref="E196">IFerror(INDEX(Papers!G$2:G$998,MATCH($A196, Papers!$A$2:$A$998,0)),"")</f>
        <v>2015</v>
      </c>
      <c r="F196" s="265" t="s">
        <v>243</v>
      </c>
      <c r="G196" s="266" t="s">
        <v>10</v>
      </c>
      <c r="H196" s="282" t="s">
        <v>481</v>
      </c>
      <c r="I196" s="267" t="s">
        <v>293</v>
      </c>
      <c r="J196" s="268" t="s">
        <v>486</v>
      </c>
      <c r="K196" s="317">
        <v>0.03</v>
      </c>
      <c r="L196" s="285"/>
      <c r="M196" s="317">
        <v>0.07</v>
      </c>
      <c r="N196" s="271">
        <f t="shared" si="17"/>
        <v>-0.04</v>
      </c>
      <c r="O196" s="271" t="str">
        <f t="shared" si="18"/>
        <v/>
      </c>
    </row>
    <row r="197">
      <c r="A197" s="272">
        <v>20.0</v>
      </c>
      <c r="B197" s="273" t="str">
        <f t="array" ref="B197">IFerror(INDEX(Papers!C$2:C$998,MATCH($A197, Papers!$A$2:$A$998,0)),"")</f>
        <v>How Representative Are SMS Surveys in Africa? Experimental Evidence From Four Countries</v>
      </c>
      <c r="C197" s="273" t="str">
        <f t="array" ref="C197">IFerror(INDEX(Papers!D$2:D$998,MATCH($A197, Papers!$A$2:$A$998,0)),"")</f>
        <v>Charles Lau, Ansie Lombaard, Melissa Baker, Joe Eyerman, and Lisa Thalji</v>
      </c>
      <c r="D197" s="274">
        <f t="array" ref="D197">IFerror(INDEX(Papers!F$2:F$998,MATCH($A197, Papers!$A$2:$A$998,0)),"")</f>
        <v>2019</v>
      </c>
      <c r="E197" s="274">
        <f t="array" ref="E197">IFerror(INDEX(Papers!G$2:G$998,MATCH($A197, Papers!$A$2:$A$998,0)),"")</f>
        <v>2015</v>
      </c>
      <c r="F197" s="274" t="s">
        <v>258</v>
      </c>
      <c r="G197" s="275" t="s">
        <v>10</v>
      </c>
      <c r="H197" s="277" t="s">
        <v>483</v>
      </c>
      <c r="I197" s="276" t="s">
        <v>293</v>
      </c>
      <c r="J197" s="278" t="s">
        <v>486</v>
      </c>
      <c r="K197" s="286">
        <v>0.04</v>
      </c>
      <c r="L197" s="286"/>
      <c r="M197" s="286">
        <v>0.08</v>
      </c>
      <c r="N197" s="316">
        <f t="shared" si="17"/>
        <v>-0.04</v>
      </c>
      <c r="O197" s="281" t="str">
        <f t="shared" si="18"/>
        <v/>
      </c>
    </row>
    <row r="198">
      <c r="A198" s="263">
        <v>20.0</v>
      </c>
      <c r="B198" s="264" t="str">
        <f t="array" ref="B198">IFerror(INDEX(Papers!C$2:C$998,MATCH($A198, Papers!$A$2:$A$998,0)),"")</f>
        <v>How Representative Are SMS Surveys in Africa? Experimental Evidence From Four Countries</v>
      </c>
      <c r="C198" s="264" t="str">
        <f t="array" ref="C198">IFerror(INDEX(Papers!D$2:D$998,MATCH($A198, Papers!$A$2:$A$998,0)),"")</f>
        <v>Charles Lau, Ansie Lombaard, Melissa Baker, Joe Eyerman, and Lisa Thalji</v>
      </c>
      <c r="D198" s="265">
        <f t="array" ref="D198">IFerror(INDEX(Papers!F$2:F$998,MATCH($A198, Papers!$A$2:$A$998,0)),"")</f>
        <v>2019</v>
      </c>
      <c r="E198" s="265">
        <f t="array" ref="E198">IFerror(INDEX(Papers!G$2:G$998,MATCH($A198, Papers!$A$2:$A$998,0)),"")</f>
        <v>2015</v>
      </c>
      <c r="F198" s="265" t="s">
        <v>251</v>
      </c>
      <c r="G198" s="266" t="s">
        <v>10</v>
      </c>
      <c r="H198" s="282" t="s">
        <v>480</v>
      </c>
      <c r="I198" s="267" t="s">
        <v>293</v>
      </c>
      <c r="J198" s="268" t="s">
        <v>486</v>
      </c>
      <c r="K198" s="287">
        <v>0.04</v>
      </c>
      <c r="L198" s="289"/>
      <c r="M198" s="287">
        <v>0.07</v>
      </c>
      <c r="N198" s="318">
        <f t="shared" si="17"/>
        <v>-0.03</v>
      </c>
      <c r="O198" s="271" t="str">
        <f t="shared" si="18"/>
        <v/>
      </c>
    </row>
    <row r="199">
      <c r="A199" s="272">
        <v>20.0</v>
      </c>
      <c r="B199" s="273" t="str">
        <f t="array" ref="B199">IFerror(INDEX(Papers!C$2:C$998,MATCH($A199, Papers!$A$2:$A$998,0)),"")</f>
        <v>How Representative Are SMS Surveys in Africa? Experimental Evidence From Four Countries</v>
      </c>
      <c r="C199" s="273" t="str">
        <f t="array" ref="C199">IFerror(INDEX(Papers!D$2:D$998,MATCH($A199, Papers!$A$2:$A$998,0)),"")</f>
        <v>Charles Lau, Ansie Lombaard, Melissa Baker, Joe Eyerman, and Lisa Thalji</v>
      </c>
      <c r="D199" s="274">
        <f t="array" ref="D199">IFerror(INDEX(Papers!F$2:F$998,MATCH($A199, Papers!$A$2:$A$998,0)),"")</f>
        <v>2019</v>
      </c>
      <c r="E199" s="274">
        <f t="array" ref="E199">IFerror(INDEX(Papers!G$2:G$998,MATCH($A199, Papers!$A$2:$A$998,0)),"")</f>
        <v>2015</v>
      </c>
      <c r="F199" s="274" t="s">
        <v>245</v>
      </c>
      <c r="G199" s="275" t="s">
        <v>10</v>
      </c>
      <c r="H199" s="277" t="s">
        <v>482</v>
      </c>
      <c r="I199" s="276" t="s">
        <v>293</v>
      </c>
      <c r="J199" s="278" t="s">
        <v>486</v>
      </c>
      <c r="K199" s="286">
        <v>0.13</v>
      </c>
      <c r="L199" s="286"/>
      <c r="M199" s="286">
        <v>0.07</v>
      </c>
      <c r="N199" s="316">
        <f t="shared" si="17"/>
        <v>0.06</v>
      </c>
      <c r="O199" s="281" t="str">
        <f t="shared" si="18"/>
        <v/>
      </c>
    </row>
    <row r="200">
      <c r="A200" s="263">
        <v>20.0</v>
      </c>
      <c r="B200" s="264" t="str">
        <f t="array" ref="B200">IFerror(INDEX(Papers!C$2:C$998,MATCH($A200, Papers!$A$2:$A$998,0)),"")</f>
        <v>How Representative Are SMS Surveys in Africa? Experimental Evidence From Four Countries</v>
      </c>
      <c r="C200" s="264" t="str">
        <f t="array" ref="C200">IFerror(INDEX(Papers!D$2:D$998,MATCH($A200, Papers!$A$2:$A$998,0)),"")</f>
        <v>Charles Lau, Ansie Lombaard, Melissa Baker, Joe Eyerman, and Lisa Thalji</v>
      </c>
      <c r="D200" s="265">
        <f t="array" ref="D200">IFerror(INDEX(Papers!F$2:F$998,MATCH($A200, Papers!$A$2:$A$998,0)),"")</f>
        <v>2019</v>
      </c>
      <c r="E200" s="265">
        <f t="array" ref="E200">IFerror(INDEX(Papers!G$2:G$998,MATCH($A200, Papers!$A$2:$A$998,0)),"")</f>
        <v>2015</v>
      </c>
      <c r="F200" s="265" t="s">
        <v>245</v>
      </c>
      <c r="G200" s="266" t="s">
        <v>10</v>
      </c>
      <c r="H200" s="282" t="s">
        <v>293</v>
      </c>
      <c r="I200" s="267" t="s">
        <v>477</v>
      </c>
      <c r="J200" s="268" t="s">
        <v>424</v>
      </c>
      <c r="K200" s="314"/>
      <c r="L200" s="287">
        <v>0.35</v>
      </c>
      <c r="M200" s="287">
        <v>0.35</v>
      </c>
      <c r="N200" s="310" t="str">
        <f t="shared" si="17"/>
        <v/>
      </c>
      <c r="O200" s="271">
        <f t="shared" si="18"/>
        <v>0</v>
      </c>
    </row>
    <row r="201">
      <c r="A201" s="272">
        <v>20.0</v>
      </c>
      <c r="B201" s="273" t="str">
        <f t="array" ref="B201">IFerror(INDEX(Papers!C$2:C$998,MATCH($A201, Papers!$A$2:$A$998,0)),"")</f>
        <v>How Representative Are SMS Surveys in Africa? Experimental Evidence From Four Countries</v>
      </c>
      <c r="C201" s="273" t="str">
        <f t="array" ref="C201">IFerror(INDEX(Papers!D$2:D$998,MATCH($A201, Papers!$A$2:$A$998,0)),"")</f>
        <v>Charles Lau, Ansie Lombaard, Melissa Baker, Joe Eyerman, and Lisa Thalji</v>
      </c>
      <c r="D201" s="274">
        <f t="array" ref="D201">IFerror(INDEX(Papers!F$2:F$998,MATCH($A201, Papers!$A$2:$A$998,0)),"")</f>
        <v>2019</v>
      </c>
      <c r="E201" s="274">
        <f t="array" ref="E201">IFerror(INDEX(Papers!G$2:G$998,MATCH($A201, Papers!$A$2:$A$998,0)),"")</f>
        <v>2015</v>
      </c>
      <c r="F201" s="274" t="s">
        <v>245</v>
      </c>
      <c r="G201" s="275" t="s">
        <v>10</v>
      </c>
      <c r="H201" s="277" t="s">
        <v>293</v>
      </c>
      <c r="I201" s="277" t="s">
        <v>475</v>
      </c>
      <c r="J201" s="278" t="s">
        <v>424</v>
      </c>
      <c r="K201" s="312"/>
      <c r="L201" s="286">
        <v>0.36</v>
      </c>
      <c r="M201" s="286">
        <v>0.34</v>
      </c>
      <c r="N201" s="313" t="str">
        <f t="shared" si="17"/>
        <v/>
      </c>
      <c r="O201" s="281">
        <f t="shared" si="18"/>
        <v>0.02</v>
      </c>
    </row>
    <row r="202">
      <c r="A202" s="263">
        <v>20.0</v>
      </c>
      <c r="B202" s="264" t="str">
        <f t="array" ref="B202">IFerror(INDEX(Papers!C$2:C$998,MATCH($A202, Papers!$A$2:$A$998,0)),"")</f>
        <v>How Representative Are SMS Surveys in Africa? Experimental Evidence From Four Countries</v>
      </c>
      <c r="C202" s="264" t="str">
        <f t="array" ref="C202">IFerror(INDEX(Papers!D$2:D$998,MATCH($A202, Papers!$A$2:$A$998,0)),"")</f>
        <v>Charles Lau, Ansie Lombaard, Melissa Baker, Joe Eyerman, and Lisa Thalji</v>
      </c>
      <c r="D202" s="265">
        <f t="array" ref="D202">IFerror(INDEX(Papers!F$2:F$998,MATCH($A202, Papers!$A$2:$A$998,0)),"")</f>
        <v>2019</v>
      </c>
      <c r="E202" s="265">
        <f t="array" ref="E202">IFerror(INDEX(Papers!G$2:G$998,MATCH($A202, Papers!$A$2:$A$998,0)),"")</f>
        <v>2015</v>
      </c>
      <c r="F202" s="265" t="s">
        <v>243</v>
      </c>
      <c r="G202" s="266" t="s">
        <v>10</v>
      </c>
      <c r="H202" s="282" t="s">
        <v>481</v>
      </c>
      <c r="I202" s="267" t="s">
        <v>293</v>
      </c>
      <c r="J202" s="301" t="s">
        <v>487</v>
      </c>
      <c r="K202" s="317">
        <v>0.01</v>
      </c>
      <c r="L202" s="285"/>
      <c r="M202" s="317">
        <v>0.05</v>
      </c>
      <c r="N202" s="271">
        <f t="shared" si="17"/>
        <v>-0.04</v>
      </c>
      <c r="O202" s="271" t="str">
        <f t="shared" si="18"/>
        <v/>
      </c>
    </row>
    <row r="203">
      <c r="A203" s="272">
        <v>20.0</v>
      </c>
      <c r="B203" s="273" t="str">
        <f t="array" ref="B203">IFerror(INDEX(Papers!C$2:C$998,MATCH($A203, Papers!$A$2:$A$998,0)),"")</f>
        <v>How Representative Are SMS Surveys in Africa? Experimental Evidence From Four Countries</v>
      </c>
      <c r="C203" s="273" t="str">
        <f t="array" ref="C203">IFerror(INDEX(Papers!D$2:D$998,MATCH($A203, Papers!$A$2:$A$998,0)),"")</f>
        <v>Charles Lau, Ansie Lombaard, Melissa Baker, Joe Eyerman, and Lisa Thalji</v>
      </c>
      <c r="D203" s="274">
        <f t="array" ref="D203">IFerror(INDEX(Papers!F$2:F$998,MATCH($A203, Papers!$A$2:$A$998,0)),"")</f>
        <v>2019</v>
      </c>
      <c r="E203" s="274">
        <f t="array" ref="E203">IFerror(INDEX(Papers!G$2:G$998,MATCH($A203, Papers!$A$2:$A$998,0)),"")</f>
        <v>2015</v>
      </c>
      <c r="F203" s="274" t="s">
        <v>245</v>
      </c>
      <c r="G203" s="275" t="s">
        <v>10</v>
      </c>
      <c r="H203" s="277" t="s">
        <v>482</v>
      </c>
      <c r="I203" s="276" t="s">
        <v>293</v>
      </c>
      <c r="J203" s="300" t="s">
        <v>487</v>
      </c>
      <c r="K203" s="286">
        <v>0.15</v>
      </c>
      <c r="L203" s="286"/>
      <c r="M203" s="286">
        <v>0.09</v>
      </c>
      <c r="N203" s="316">
        <f t="shared" si="17"/>
        <v>0.06</v>
      </c>
      <c r="O203" s="281" t="str">
        <f t="shared" si="18"/>
        <v/>
      </c>
    </row>
    <row r="204">
      <c r="A204" s="263">
        <v>20.0</v>
      </c>
      <c r="B204" s="264" t="str">
        <f t="array" ref="B204">IFerror(INDEX(Papers!C$2:C$998,MATCH($A204, Papers!$A$2:$A$998,0)),"")</f>
        <v>How Representative Are SMS Surveys in Africa? Experimental Evidence From Four Countries</v>
      </c>
      <c r="C204" s="264" t="str">
        <f t="array" ref="C204">IFerror(INDEX(Papers!D$2:D$998,MATCH($A204, Papers!$A$2:$A$998,0)),"")</f>
        <v>Charles Lau, Ansie Lombaard, Melissa Baker, Joe Eyerman, and Lisa Thalji</v>
      </c>
      <c r="D204" s="265">
        <f t="array" ref="D204">IFerror(INDEX(Papers!F$2:F$998,MATCH($A204, Papers!$A$2:$A$998,0)),"")</f>
        <v>2019</v>
      </c>
      <c r="E204" s="265">
        <f t="array" ref="E204">IFerror(INDEX(Papers!G$2:G$998,MATCH($A204, Papers!$A$2:$A$998,0)),"")</f>
        <v>2015</v>
      </c>
      <c r="F204" s="265" t="s">
        <v>258</v>
      </c>
      <c r="G204" s="266" t="s">
        <v>10</v>
      </c>
      <c r="H204" s="282" t="s">
        <v>483</v>
      </c>
      <c r="I204" s="267" t="s">
        <v>293</v>
      </c>
      <c r="J204" s="301" t="s">
        <v>487</v>
      </c>
      <c r="K204" s="287">
        <v>0.2</v>
      </c>
      <c r="L204" s="287"/>
      <c r="M204" s="287">
        <v>0.08</v>
      </c>
      <c r="N204" s="318">
        <f t="shared" si="17"/>
        <v>0.12</v>
      </c>
      <c r="O204" s="271" t="str">
        <f t="shared" si="18"/>
        <v/>
      </c>
    </row>
    <row r="205">
      <c r="A205" s="272">
        <v>20.0</v>
      </c>
      <c r="B205" s="273" t="str">
        <f t="array" ref="B205">IFerror(INDEX(Papers!C$2:C$998,MATCH($A205, Papers!$A$2:$A$998,0)),"")</f>
        <v>How Representative Are SMS Surveys in Africa? Experimental Evidence From Four Countries</v>
      </c>
      <c r="C205" s="273" t="str">
        <f t="array" ref="C205">IFerror(INDEX(Papers!D$2:D$998,MATCH($A205, Papers!$A$2:$A$998,0)),"")</f>
        <v>Charles Lau, Ansie Lombaard, Melissa Baker, Joe Eyerman, and Lisa Thalji</v>
      </c>
      <c r="D205" s="274">
        <f t="array" ref="D205">IFerror(INDEX(Papers!F$2:F$998,MATCH($A205, Papers!$A$2:$A$998,0)),"")</f>
        <v>2019</v>
      </c>
      <c r="E205" s="274">
        <f t="array" ref="E205">IFerror(INDEX(Papers!G$2:G$998,MATCH($A205, Papers!$A$2:$A$998,0)),"")</f>
        <v>2015</v>
      </c>
      <c r="F205" s="274" t="s">
        <v>251</v>
      </c>
      <c r="G205" s="275" t="s">
        <v>10</v>
      </c>
      <c r="H205" s="277" t="s">
        <v>480</v>
      </c>
      <c r="I205" s="276" t="s">
        <v>293</v>
      </c>
      <c r="J205" s="300" t="s">
        <v>487</v>
      </c>
      <c r="K205" s="286">
        <v>0.2</v>
      </c>
      <c r="L205" s="307"/>
      <c r="M205" s="286">
        <v>0.06</v>
      </c>
      <c r="N205" s="316">
        <f t="shared" si="17"/>
        <v>0.14</v>
      </c>
      <c r="O205" s="281" t="str">
        <f t="shared" si="18"/>
        <v/>
      </c>
    </row>
    <row r="206">
      <c r="A206" s="263">
        <v>20.0</v>
      </c>
      <c r="B206" s="264" t="str">
        <f t="array" ref="B206">IFerror(INDEX(Papers!C$2:C$998,MATCH($A206, Papers!$A$2:$A$998,0)),"")</f>
        <v>How Representative Are SMS Surveys in Africa? Experimental Evidence From Four Countries</v>
      </c>
      <c r="C206" s="264" t="str">
        <f t="array" ref="C206">IFerror(INDEX(Papers!D$2:D$998,MATCH($A206, Papers!$A$2:$A$998,0)),"")</f>
        <v>Charles Lau, Ansie Lombaard, Melissa Baker, Joe Eyerman, and Lisa Thalji</v>
      </c>
      <c r="D206" s="265">
        <f t="array" ref="D206">IFerror(INDEX(Papers!F$2:F$998,MATCH($A206, Papers!$A$2:$A$998,0)),"")</f>
        <v>2019</v>
      </c>
      <c r="E206" s="265">
        <f t="array" ref="E206">IFerror(INDEX(Papers!G$2:G$998,MATCH($A206, Papers!$A$2:$A$998,0)),"")</f>
        <v>2015</v>
      </c>
      <c r="F206" s="265" t="s">
        <v>251</v>
      </c>
      <c r="G206" s="266" t="s">
        <v>10</v>
      </c>
      <c r="H206" s="282" t="s">
        <v>480</v>
      </c>
      <c r="I206" s="267" t="s">
        <v>293</v>
      </c>
      <c r="J206" s="301" t="s">
        <v>488</v>
      </c>
      <c r="K206" s="287">
        <v>0.01</v>
      </c>
      <c r="L206" s="289"/>
      <c r="M206" s="287">
        <v>0.03</v>
      </c>
      <c r="N206" s="318">
        <f t="shared" si="17"/>
        <v>-0.02</v>
      </c>
      <c r="O206" s="271" t="str">
        <f t="shared" si="18"/>
        <v/>
      </c>
    </row>
    <row r="207">
      <c r="A207" s="272">
        <v>20.0</v>
      </c>
      <c r="B207" s="273" t="str">
        <f t="array" ref="B207">IFerror(INDEX(Papers!C$2:C$998,MATCH($A207, Papers!$A$2:$A$998,0)),"")</f>
        <v>How Representative Are SMS Surveys in Africa? Experimental Evidence From Four Countries</v>
      </c>
      <c r="C207" s="273" t="str">
        <f t="array" ref="C207">IFerror(INDEX(Papers!D$2:D$998,MATCH($A207, Papers!$A$2:$A$998,0)),"")</f>
        <v>Charles Lau, Ansie Lombaard, Melissa Baker, Joe Eyerman, and Lisa Thalji</v>
      </c>
      <c r="D207" s="274">
        <f t="array" ref="D207">IFerror(INDEX(Papers!F$2:F$998,MATCH($A207, Papers!$A$2:$A$998,0)),"")</f>
        <v>2019</v>
      </c>
      <c r="E207" s="274">
        <f t="array" ref="E207">IFerror(INDEX(Papers!G$2:G$998,MATCH($A207, Papers!$A$2:$A$998,0)),"")</f>
        <v>2015</v>
      </c>
      <c r="F207" s="274" t="s">
        <v>243</v>
      </c>
      <c r="G207" s="275" t="s">
        <v>10</v>
      </c>
      <c r="H207" s="277" t="s">
        <v>481</v>
      </c>
      <c r="I207" s="276" t="s">
        <v>293</v>
      </c>
      <c r="J207" s="300" t="s">
        <v>488</v>
      </c>
      <c r="K207" s="319">
        <v>0.01</v>
      </c>
      <c r="L207" s="288"/>
      <c r="M207" s="319">
        <v>0.02</v>
      </c>
      <c r="N207" s="281">
        <f t="shared" si="17"/>
        <v>-0.01</v>
      </c>
      <c r="O207" s="281" t="str">
        <f t="shared" si="18"/>
        <v/>
      </c>
    </row>
    <row r="208">
      <c r="A208" s="263">
        <v>20.0</v>
      </c>
      <c r="B208" s="264" t="str">
        <f t="array" ref="B208">IFerror(INDEX(Papers!C$2:C$998,MATCH($A208, Papers!$A$2:$A$998,0)),"")</f>
        <v>How Representative Are SMS Surveys in Africa? Experimental Evidence From Four Countries</v>
      </c>
      <c r="C208" s="264" t="str">
        <f t="array" ref="C208">IFerror(INDEX(Papers!D$2:D$998,MATCH($A208, Papers!$A$2:$A$998,0)),"")</f>
        <v>Charles Lau, Ansie Lombaard, Melissa Baker, Joe Eyerman, and Lisa Thalji</v>
      </c>
      <c r="D208" s="265">
        <f t="array" ref="D208">IFerror(INDEX(Papers!F$2:F$998,MATCH($A208, Papers!$A$2:$A$998,0)),"")</f>
        <v>2019</v>
      </c>
      <c r="E208" s="265">
        <f t="array" ref="E208">IFerror(INDEX(Papers!G$2:G$998,MATCH($A208, Papers!$A$2:$A$998,0)),"")</f>
        <v>2015</v>
      </c>
      <c r="F208" s="265" t="s">
        <v>258</v>
      </c>
      <c r="G208" s="266" t="s">
        <v>10</v>
      </c>
      <c r="H208" s="282" t="s">
        <v>483</v>
      </c>
      <c r="I208" s="267" t="s">
        <v>293</v>
      </c>
      <c r="J208" s="301" t="s">
        <v>488</v>
      </c>
      <c r="K208" s="287">
        <v>0.02</v>
      </c>
      <c r="L208" s="287"/>
      <c r="M208" s="287">
        <v>0.02</v>
      </c>
      <c r="N208" s="318">
        <f t="shared" si="17"/>
        <v>0</v>
      </c>
      <c r="O208" s="271" t="str">
        <f t="shared" si="18"/>
        <v/>
      </c>
    </row>
    <row r="209">
      <c r="A209" s="272">
        <v>20.0</v>
      </c>
      <c r="B209" s="273" t="str">
        <f t="array" ref="B209">IFerror(INDEX(Papers!C$2:C$998,MATCH($A209, Papers!$A$2:$A$998,0)),"")</f>
        <v>How Representative Are SMS Surveys in Africa? Experimental Evidence From Four Countries</v>
      </c>
      <c r="C209" s="273" t="str">
        <f t="array" ref="C209">IFerror(INDEX(Papers!D$2:D$998,MATCH($A209, Papers!$A$2:$A$998,0)),"")</f>
        <v>Charles Lau, Ansie Lombaard, Melissa Baker, Joe Eyerman, and Lisa Thalji</v>
      </c>
      <c r="D209" s="274">
        <f t="array" ref="D209">IFerror(INDEX(Papers!F$2:F$998,MATCH($A209, Papers!$A$2:$A$998,0)),"")</f>
        <v>2019</v>
      </c>
      <c r="E209" s="274">
        <f t="array" ref="E209">IFerror(INDEX(Papers!G$2:G$998,MATCH($A209, Papers!$A$2:$A$998,0)),"")</f>
        <v>2015</v>
      </c>
      <c r="F209" s="274" t="s">
        <v>245</v>
      </c>
      <c r="G209" s="275" t="s">
        <v>10</v>
      </c>
      <c r="H209" s="277" t="s">
        <v>482</v>
      </c>
      <c r="I209" s="276" t="s">
        <v>293</v>
      </c>
      <c r="J209" s="300" t="s">
        <v>488</v>
      </c>
      <c r="K209" s="286">
        <v>0.02</v>
      </c>
      <c r="L209" s="286"/>
      <c r="M209" s="286">
        <v>0.01</v>
      </c>
      <c r="N209" s="316">
        <f t="shared" si="17"/>
        <v>0.01</v>
      </c>
      <c r="O209" s="281" t="str">
        <f t="shared" si="18"/>
        <v/>
      </c>
    </row>
    <row r="210">
      <c r="A210" s="263">
        <v>20.0</v>
      </c>
      <c r="B210" s="264" t="str">
        <f t="array" ref="B210">IFerror(INDEX(Papers!C$2:C$998,MATCH($A210, Papers!$A$2:$A$998,0)),"")</f>
        <v>How Representative Are SMS Surveys in Africa? Experimental Evidence From Four Countries</v>
      </c>
      <c r="C210" s="264" t="str">
        <f t="array" ref="C210">IFerror(INDEX(Papers!D$2:D$998,MATCH($A210, Papers!$A$2:$A$998,0)),"")</f>
        <v>Charles Lau, Ansie Lombaard, Melissa Baker, Joe Eyerman, and Lisa Thalji</v>
      </c>
      <c r="D210" s="265">
        <f t="array" ref="D210">IFerror(INDEX(Papers!F$2:F$998,MATCH($A210, Papers!$A$2:$A$998,0)),"")</f>
        <v>2019</v>
      </c>
      <c r="E210" s="265">
        <f t="array" ref="E210">IFerror(INDEX(Papers!G$2:G$998,MATCH($A210, Papers!$A$2:$A$998,0)),"")</f>
        <v>2015</v>
      </c>
      <c r="F210" s="265" t="s">
        <v>245</v>
      </c>
      <c r="G210" s="266" t="s">
        <v>10</v>
      </c>
      <c r="H210" s="282" t="s">
        <v>482</v>
      </c>
      <c r="I210" s="267" t="s">
        <v>293</v>
      </c>
      <c r="J210" s="268" t="s">
        <v>489</v>
      </c>
      <c r="K210" s="287">
        <v>0.36</v>
      </c>
      <c r="L210" s="287"/>
      <c r="M210" s="287">
        <v>0.37</v>
      </c>
      <c r="N210" s="318">
        <f t="shared" si="17"/>
        <v>-0.01</v>
      </c>
      <c r="O210" s="271" t="str">
        <f t="shared" si="18"/>
        <v/>
      </c>
    </row>
    <row r="211">
      <c r="A211" s="272">
        <v>20.0</v>
      </c>
      <c r="B211" s="273" t="str">
        <f t="array" ref="B211">IFerror(INDEX(Papers!C$2:C$998,MATCH($A211, Papers!$A$2:$A$998,0)),"")</f>
        <v>How Representative Are SMS Surveys in Africa? Experimental Evidence From Four Countries</v>
      </c>
      <c r="C211" s="273" t="str">
        <f t="array" ref="C211">IFerror(INDEX(Papers!D$2:D$998,MATCH($A211, Papers!$A$2:$A$998,0)),"")</f>
        <v>Charles Lau, Ansie Lombaard, Melissa Baker, Joe Eyerman, and Lisa Thalji</v>
      </c>
      <c r="D211" s="274">
        <f t="array" ref="D211">IFerror(INDEX(Papers!F$2:F$998,MATCH($A211, Papers!$A$2:$A$998,0)),"")</f>
        <v>2019</v>
      </c>
      <c r="E211" s="274">
        <f t="array" ref="E211">IFerror(INDEX(Papers!G$2:G$998,MATCH($A211, Papers!$A$2:$A$998,0)),"")</f>
        <v>2015</v>
      </c>
      <c r="F211" s="274" t="s">
        <v>258</v>
      </c>
      <c r="G211" s="275" t="s">
        <v>10</v>
      </c>
      <c r="H211" s="277" t="s">
        <v>483</v>
      </c>
      <c r="I211" s="276" t="s">
        <v>293</v>
      </c>
      <c r="J211" s="278" t="s">
        <v>489</v>
      </c>
      <c r="K211" s="286">
        <v>0.44</v>
      </c>
      <c r="L211" s="286"/>
      <c r="M211" s="286">
        <v>0.33</v>
      </c>
      <c r="N211" s="316">
        <f t="shared" si="17"/>
        <v>0.11</v>
      </c>
      <c r="O211" s="281" t="str">
        <f t="shared" si="18"/>
        <v/>
      </c>
    </row>
    <row r="212">
      <c r="A212" s="263">
        <v>20.0</v>
      </c>
      <c r="B212" s="264" t="str">
        <f t="array" ref="B212">IFerror(INDEX(Papers!C$2:C$998,MATCH($A212, Papers!$A$2:$A$998,0)),"")</f>
        <v>How Representative Are SMS Surveys in Africa? Experimental Evidence From Four Countries</v>
      </c>
      <c r="C212" s="264" t="str">
        <f t="array" ref="C212">IFerror(INDEX(Papers!D$2:D$998,MATCH($A212, Papers!$A$2:$A$998,0)),"")</f>
        <v>Charles Lau, Ansie Lombaard, Melissa Baker, Joe Eyerman, and Lisa Thalji</v>
      </c>
      <c r="D212" s="265">
        <f t="array" ref="D212">IFerror(INDEX(Papers!F$2:F$998,MATCH($A212, Papers!$A$2:$A$998,0)),"")</f>
        <v>2019</v>
      </c>
      <c r="E212" s="265">
        <f t="array" ref="E212">IFerror(INDEX(Papers!G$2:G$998,MATCH($A212, Papers!$A$2:$A$998,0)),"")</f>
        <v>2015</v>
      </c>
      <c r="F212" s="265" t="s">
        <v>251</v>
      </c>
      <c r="G212" s="266" t="s">
        <v>10</v>
      </c>
      <c r="H212" s="282" t="s">
        <v>480</v>
      </c>
      <c r="I212" s="267" t="s">
        <v>293</v>
      </c>
      <c r="J212" s="268" t="s">
        <v>489</v>
      </c>
      <c r="K212" s="287">
        <v>0.48</v>
      </c>
      <c r="L212" s="289"/>
      <c r="M212" s="287">
        <v>0.36</v>
      </c>
      <c r="N212" s="318">
        <f t="shared" si="17"/>
        <v>0.12</v>
      </c>
      <c r="O212" s="271" t="str">
        <f t="shared" si="18"/>
        <v/>
      </c>
    </row>
    <row r="213">
      <c r="A213" s="272">
        <v>20.0</v>
      </c>
      <c r="B213" s="273" t="str">
        <f t="array" ref="B213">IFerror(INDEX(Papers!C$2:C$998,MATCH($A213, Papers!$A$2:$A$998,0)),"")</f>
        <v>How Representative Are SMS Surveys in Africa? Experimental Evidence From Four Countries</v>
      </c>
      <c r="C213" s="273" t="str">
        <f t="array" ref="C213">IFerror(INDEX(Papers!D$2:D$998,MATCH($A213, Papers!$A$2:$A$998,0)),"")</f>
        <v>Charles Lau, Ansie Lombaard, Melissa Baker, Joe Eyerman, and Lisa Thalji</v>
      </c>
      <c r="D213" s="274">
        <f t="array" ref="D213">IFerror(INDEX(Papers!F$2:F$998,MATCH($A213, Papers!$A$2:$A$998,0)),"")</f>
        <v>2019</v>
      </c>
      <c r="E213" s="274">
        <f t="array" ref="E213">IFerror(INDEX(Papers!G$2:G$998,MATCH($A213, Papers!$A$2:$A$998,0)),"")</f>
        <v>2015</v>
      </c>
      <c r="F213" s="274" t="s">
        <v>243</v>
      </c>
      <c r="G213" s="275" t="s">
        <v>10</v>
      </c>
      <c r="H213" s="277" t="s">
        <v>481</v>
      </c>
      <c r="I213" s="276" t="s">
        <v>293</v>
      </c>
      <c r="J213" s="278" t="s">
        <v>489</v>
      </c>
      <c r="K213" s="319">
        <v>0.63</v>
      </c>
      <c r="L213" s="288"/>
      <c r="M213" s="319">
        <v>0.29</v>
      </c>
      <c r="N213" s="281">
        <f t="shared" si="17"/>
        <v>0.34</v>
      </c>
      <c r="O213" s="281" t="str">
        <f t="shared" si="18"/>
        <v/>
      </c>
    </row>
    <row r="214">
      <c r="A214" s="263">
        <v>20.0</v>
      </c>
      <c r="B214" s="264" t="str">
        <f t="array" ref="B214">IFerror(INDEX(Papers!C$2:C$998,MATCH($A214, Papers!$A$2:$A$998,0)),"")</f>
        <v>How Representative Are SMS Surveys in Africa? Experimental Evidence From Four Countries</v>
      </c>
      <c r="C214" s="264" t="str">
        <f t="array" ref="C214">IFerror(INDEX(Papers!D$2:D$998,MATCH($A214, Papers!$A$2:$A$998,0)),"")</f>
        <v>Charles Lau, Ansie Lombaard, Melissa Baker, Joe Eyerman, and Lisa Thalji</v>
      </c>
      <c r="D214" s="265">
        <f t="array" ref="D214">IFerror(INDEX(Papers!F$2:F$998,MATCH($A214, Papers!$A$2:$A$998,0)),"")</f>
        <v>2019</v>
      </c>
      <c r="E214" s="265">
        <f t="array" ref="E214">IFerror(INDEX(Papers!G$2:G$998,MATCH($A214, Papers!$A$2:$A$998,0)),"")</f>
        <v>2015</v>
      </c>
      <c r="F214" s="265" t="s">
        <v>251</v>
      </c>
      <c r="G214" s="266" t="s">
        <v>10</v>
      </c>
      <c r="H214" s="282" t="s">
        <v>480</v>
      </c>
      <c r="I214" s="267" t="s">
        <v>293</v>
      </c>
      <c r="J214" s="268" t="s">
        <v>490</v>
      </c>
      <c r="K214" s="287">
        <v>0.17</v>
      </c>
      <c r="L214" s="289"/>
      <c r="M214" s="287">
        <v>0.3</v>
      </c>
      <c r="N214" s="318">
        <f t="shared" si="17"/>
        <v>-0.13</v>
      </c>
      <c r="O214" s="271" t="str">
        <f t="shared" si="18"/>
        <v/>
      </c>
    </row>
    <row r="215">
      <c r="A215" s="272">
        <v>20.0</v>
      </c>
      <c r="B215" s="273" t="str">
        <f t="array" ref="B215">IFerror(INDEX(Papers!C$2:C$998,MATCH($A215, Papers!$A$2:$A$998,0)),"")</f>
        <v>How Representative Are SMS Surveys in Africa? Experimental Evidence From Four Countries</v>
      </c>
      <c r="C215" s="273" t="str">
        <f t="array" ref="C215">IFerror(INDEX(Papers!D$2:D$998,MATCH($A215, Papers!$A$2:$A$998,0)),"")</f>
        <v>Charles Lau, Ansie Lombaard, Melissa Baker, Joe Eyerman, and Lisa Thalji</v>
      </c>
      <c r="D215" s="274">
        <f t="array" ref="D215">IFerror(INDEX(Papers!F$2:F$998,MATCH($A215, Papers!$A$2:$A$998,0)),"")</f>
        <v>2019</v>
      </c>
      <c r="E215" s="274">
        <f t="array" ref="E215">IFerror(INDEX(Papers!G$2:G$998,MATCH($A215, Papers!$A$2:$A$998,0)),"")</f>
        <v>2015</v>
      </c>
      <c r="F215" s="274" t="s">
        <v>243</v>
      </c>
      <c r="G215" s="275" t="s">
        <v>10</v>
      </c>
      <c r="H215" s="277" t="s">
        <v>481</v>
      </c>
      <c r="I215" s="276" t="s">
        <v>293</v>
      </c>
      <c r="J215" s="278" t="s">
        <v>490</v>
      </c>
      <c r="K215" s="319">
        <v>0.23</v>
      </c>
      <c r="L215" s="288"/>
      <c r="M215" s="319">
        <v>0.32</v>
      </c>
      <c r="N215" s="281">
        <f t="shared" si="17"/>
        <v>-0.09</v>
      </c>
      <c r="O215" s="281" t="str">
        <f t="shared" si="18"/>
        <v/>
      </c>
    </row>
    <row r="216">
      <c r="A216" s="263">
        <v>20.0</v>
      </c>
      <c r="B216" s="264" t="str">
        <f t="array" ref="B216">IFerror(INDEX(Papers!C$2:C$998,MATCH($A216, Papers!$A$2:$A$998,0)),"")</f>
        <v>How Representative Are SMS Surveys in Africa? Experimental Evidence From Four Countries</v>
      </c>
      <c r="C216" s="264" t="str">
        <f t="array" ref="C216">IFerror(INDEX(Papers!D$2:D$998,MATCH($A216, Papers!$A$2:$A$998,0)),"")</f>
        <v>Charles Lau, Ansie Lombaard, Melissa Baker, Joe Eyerman, and Lisa Thalji</v>
      </c>
      <c r="D216" s="265">
        <f t="array" ref="D216">IFerror(INDEX(Papers!F$2:F$998,MATCH($A216, Papers!$A$2:$A$998,0)),"")</f>
        <v>2019</v>
      </c>
      <c r="E216" s="265">
        <f t="array" ref="E216">IFerror(INDEX(Papers!G$2:G$998,MATCH($A216, Papers!$A$2:$A$998,0)),"")</f>
        <v>2015</v>
      </c>
      <c r="F216" s="265" t="s">
        <v>245</v>
      </c>
      <c r="G216" s="266" t="s">
        <v>10</v>
      </c>
      <c r="H216" s="282" t="s">
        <v>482</v>
      </c>
      <c r="I216" s="267" t="s">
        <v>293</v>
      </c>
      <c r="J216" s="268" t="s">
        <v>490</v>
      </c>
      <c r="K216" s="287">
        <v>0.23</v>
      </c>
      <c r="L216" s="287"/>
      <c r="M216" s="287">
        <v>0.32</v>
      </c>
      <c r="N216" s="318">
        <f t="shared" si="17"/>
        <v>-0.09</v>
      </c>
      <c r="O216" s="271" t="str">
        <f t="shared" si="18"/>
        <v/>
      </c>
    </row>
    <row r="217">
      <c r="A217" s="272">
        <v>20.0</v>
      </c>
      <c r="B217" s="273" t="str">
        <f t="array" ref="B217">IFerror(INDEX(Papers!C$2:C$998,MATCH($A217, Papers!$A$2:$A$998,0)),"")</f>
        <v>How Representative Are SMS Surveys in Africa? Experimental Evidence From Four Countries</v>
      </c>
      <c r="C217" s="273" t="str">
        <f t="array" ref="C217">IFerror(INDEX(Papers!D$2:D$998,MATCH($A217, Papers!$A$2:$A$998,0)),"")</f>
        <v>Charles Lau, Ansie Lombaard, Melissa Baker, Joe Eyerman, and Lisa Thalji</v>
      </c>
      <c r="D217" s="274">
        <f t="array" ref="D217">IFerror(INDEX(Papers!F$2:F$998,MATCH($A217, Papers!$A$2:$A$998,0)),"")</f>
        <v>2019</v>
      </c>
      <c r="E217" s="274">
        <f t="array" ref="E217">IFerror(INDEX(Papers!G$2:G$998,MATCH($A217, Papers!$A$2:$A$998,0)),"")</f>
        <v>2015</v>
      </c>
      <c r="F217" s="274" t="s">
        <v>258</v>
      </c>
      <c r="G217" s="275" t="s">
        <v>10</v>
      </c>
      <c r="H217" s="277" t="s">
        <v>483</v>
      </c>
      <c r="I217" s="276" t="s">
        <v>293</v>
      </c>
      <c r="J217" s="278" t="s">
        <v>490</v>
      </c>
      <c r="K217" s="286">
        <v>0.21</v>
      </c>
      <c r="L217" s="286"/>
      <c r="M217" s="286">
        <v>0.27</v>
      </c>
      <c r="N217" s="316">
        <f t="shared" si="17"/>
        <v>-0.06</v>
      </c>
      <c r="O217" s="281" t="str">
        <f t="shared" si="18"/>
        <v/>
      </c>
    </row>
    <row r="218">
      <c r="A218" s="263">
        <v>20.0</v>
      </c>
      <c r="B218" s="264" t="str">
        <f t="array" ref="B218">IFerror(INDEX(Papers!C$2:C$998,MATCH($A218, Papers!$A$2:$A$998,0)),"")</f>
        <v>How Representative Are SMS Surveys in Africa? Experimental Evidence From Four Countries</v>
      </c>
      <c r="C218" s="264" t="str">
        <f t="array" ref="C218">IFerror(INDEX(Papers!D$2:D$998,MATCH($A218, Papers!$A$2:$A$998,0)),"")</f>
        <v>Charles Lau, Ansie Lombaard, Melissa Baker, Joe Eyerman, and Lisa Thalji</v>
      </c>
      <c r="D218" s="265">
        <f t="array" ref="D218">IFerror(INDEX(Papers!F$2:F$998,MATCH($A218, Papers!$A$2:$A$998,0)),"")</f>
        <v>2019</v>
      </c>
      <c r="E218" s="265">
        <f t="array" ref="E218">IFerror(INDEX(Papers!G$2:G$998,MATCH($A218, Papers!$A$2:$A$998,0)),"")</f>
        <v>2015</v>
      </c>
      <c r="F218" s="265" t="s">
        <v>243</v>
      </c>
      <c r="G218" s="266" t="s">
        <v>10</v>
      </c>
      <c r="H218" s="282" t="s">
        <v>481</v>
      </c>
      <c r="I218" s="267" t="s">
        <v>293</v>
      </c>
      <c r="J218" s="301" t="s">
        <v>465</v>
      </c>
      <c r="K218" s="317">
        <v>0.88</v>
      </c>
      <c r="L218" s="285"/>
      <c r="M218" s="317">
        <v>0.89</v>
      </c>
      <c r="N218" s="271">
        <f t="shared" si="17"/>
        <v>-0.01</v>
      </c>
      <c r="O218" s="271" t="str">
        <f t="shared" si="18"/>
        <v/>
      </c>
    </row>
    <row r="219">
      <c r="A219" s="272">
        <v>20.0</v>
      </c>
      <c r="B219" s="273" t="str">
        <f t="array" ref="B219">IFerror(INDEX(Papers!C$2:C$998,MATCH($A219, Papers!$A$2:$A$998,0)),"")</f>
        <v>How Representative Are SMS Surveys in Africa? Experimental Evidence From Four Countries</v>
      </c>
      <c r="C219" s="273" t="str">
        <f t="array" ref="C219">IFerror(INDEX(Papers!D$2:D$998,MATCH($A219, Papers!$A$2:$A$998,0)),"")</f>
        <v>Charles Lau, Ansie Lombaard, Melissa Baker, Joe Eyerman, and Lisa Thalji</v>
      </c>
      <c r="D219" s="274">
        <f t="array" ref="D219">IFerror(INDEX(Papers!F$2:F$998,MATCH($A219, Papers!$A$2:$A$998,0)),"")</f>
        <v>2019</v>
      </c>
      <c r="E219" s="274">
        <f t="array" ref="E219">IFerror(INDEX(Papers!G$2:G$998,MATCH($A219, Papers!$A$2:$A$998,0)),"")</f>
        <v>2015</v>
      </c>
      <c r="F219" s="274" t="s">
        <v>258</v>
      </c>
      <c r="G219" s="275" t="s">
        <v>10</v>
      </c>
      <c r="H219" s="277" t="s">
        <v>483</v>
      </c>
      <c r="I219" s="276" t="s">
        <v>293</v>
      </c>
      <c r="J219" s="300" t="s">
        <v>465</v>
      </c>
      <c r="K219" s="286">
        <v>0.73</v>
      </c>
      <c r="L219" s="286"/>
      <c r="M219" s="286">
        <v>0.72</v>
      </c>
      <c r="N219" s="316">
        <f t="shared" si="17"/>
        <v>0.01</v>
      </c>
      <c r="O219" s="281" t="str">
        <f t="shared" si="18"/>
        <v/>
      </c>
    </row>
    <row r="220">
      <c r="A220" s="263">
        <v>20.0</v>
      </c>
      <c r="B220" s="264" t="str">
        <f t="array" ref="B220">IFerror(INDEX(Papers!C$2:C$998,MATCH($A220, Papers!$A$2:$A$998,0)),"")</f>
        <v>How Representative Are SMS Surveys in Africa? Experimental Evidence From Four Countries</v>
      </c>
      <c r="C220" s="264" t="str">
        <f t="array" ref="C220">IFerror(INDEX(Papers!D$2:D$998,MATCH($A220, Papers!$A$2:$A$998,0)),"")</f>
        <v>Charles Lau, Ansie Lombaard, Melissa Baker, Joe Eyerman, and Lisa Thalji</v>
      </c>
      <c r="D220" s="265">
        <f t="array" ref="D220">IFerror(INDEX(Papers!F$2:F$998,MATCH($A220, Papers!$A$2:$A$998,0)),"")</f>
        <v>2019</v>
      </c>
      <c r="E220" s="265">
        <f t="array" ref="E220">IFerror(INDEX(Papers!G$2:G$998,MATCH($A220, Papers!$A$2:$A$998,0)),"")</f>
        <v>2015</v>
      </c>
      <c r="F220" s="265" t="s">
        <v>251</v>
      </c>
      <c r="G220" s="266" t="s">
        <v>10</v>
      </c>
      <c r="H220" s="282" t="s">
        <v>480</v>
      </c>
      <c r="I220" s="267" t="s">
        <v>293</v>
      </c>
      <c r="J220" s="301" t="s">
        <v>465</v>
      </c>
      <c r="K220" s="287">
        <v>0.94</v>
      </c>
      <c r="L220" s="289"/>
      <c r="M220" s="287">
        <v>0.91</v>
      </c>
      <c r="N220" s="318">
        <f t="shared" si="17"/>
        <v>0.03</v>
      </c>
      <c r="O220" s="271" t="str">
        <f t="shared" si="18"/>
        <v/>
      </c>
    </row>
    <row r="221">
      <c r="A221" s="272">
        <v>20.0</v>
      </c>
      <c r="B221" s="273" t="str">
        <f t="array" ref="B221">IFerror(INDEX(Papers!C$2:C$998,MATCH($A221, Papers!$A$2:$A$998,0)),"")</f>
        <v>How Representative Are SMS Surveys in Africa? Experimental Evidence From Four Countries</v>
      </c>
      <c r="C221" s="273" t="str">
        <f t="array" ref="C221">IFerror(INDEX(Papers!D$2:D$998,MATCH($A221, Papers!$A$2:$A$998,0)),"")</f>
        <v>Charles Lau, Ansie Lombaard, Melissa Baker, Joe Eyerman, and Lisa Thalji</v>
      </c>
      <c r="D221" s="274">
        <f t="array" ref="D221">IFerror(INDEX(Papers!F$2:F$998,MATCH($A221, Papers!$A$2:$A$998,0)),"")</f>
        <v>2019</v>
      </c>
      <c r="E221" s="274">
        <f t="array" ref="E221">IFerror(INDEX(Papers!G$2:G$998,MATCH($A221, Papers!$A$2:$A$998,0)),"")</f>
        <v>2015</v>
      </c>
      <c r="F221" s="274" t="s">
        <v>245</v>
      </c>
      <c r="G221" s="275" t="s">
        <v>10</v>
      </c>
      <c r="H221" s="277" t="s">
        <v>482</v>
      </c>
      <c r="I221" s="276" t="s">
        <v>293</v>
      </c>
      <c r="J221" s="300" t="s">
        <v>465</v>
      </c>
      <c r="K221" s="286">
        <v>0.83</v>
      </c>
      <c r="L221" s="286"/>
      <c r="M221" s="286">
        <v>0.66</v>
      </c>
      <c r="N221" s="316">
        <f t="shared" si="17"/>
        <v>0.17</v>
      </c>
      <c r="O221" s="281" t="str">
        <f t="shared" si="18"/>
        <v/>
      </c>
    </row>
    <row r="222">
      <c r="A222" s="263">
        <v>20.0</v>
      </c>
      <c r="B222" s="264" t="str">
        <f t="array" ref="B222">IFerror(INDEX(Papers!C$2:C$998,MATCH($A222, Papers!$A$2:$A$998,0)),"")</f>
        <v>How Representative Are SMS Surveys in Africa? Experimental Evidence From Four Countries</v>
      </c>
      <c r="C222" s="264" t="str">
        <f t="array" ref="C222">IFerror(INDEX(Papers!D$2:D$998,MATCH($A222, Papers!$A$2:$A$998,0)),"")</f>
        <v>Charles Lau, Ansie Lombaard, Melissa Baker, Joe Eyerman, and Lisa Thalji</v>
      </c>
      <c r="D222" s="265">
        <f t="array" ref="D222">IFerror(INDEX(Papers!F$2:F$998,MATCH($A222, Papers!$A$2:$A$998,0)),"")</f>
        <v>2019</v>
      </c>
      <c r="E222" s="265">
        <f t="array" ref="E222">IFerror(INDEX(Papers!G$2:G$998,MATCH($A222, Papers!$A$2:$A$998,0)),"")</f>
        <v>2015</v>
      </c>
      <c r="F222" s="265" t="s">
        <v>245</v>
      </c>
      <c r="G222" s="266" t="s">
        <v>10</v>
      </c>
      <c r="H222" s="282" t="s">
        <v>293</v>
      </c>
      <c r="I222" s="267" t="s">
        <v>477</v>
      </c>
      <c r="J222" s="301" t="s">
        <v>491</v>
      </c>
      <c r="K222" s="314"/>
      <c r="L222" s="287">
        <v>0.64</v>
      </c>
      <c r="M222" s="287">
        <v>0.68</v>
      </c>
      <c r="N222" s="310" t="str">
        <f t="shared" si="17"/>
        <v/>
      </c>
      <c r="O222" s="271">
        <f t="shared" si="18"/>
        <v>-0.04</v>
      </c>
    </row>
    <row r="223">
      <c r="A223" s="272">
        <v>20.0</v>
      </c>
      <c r="B223" s="273" t="str">
        <f t="array" ref="B223">IFerror(INDEX(Papers!C$2:C$998,MATCH($A223, Papers!$A$2:$A$998,0)),"")</f>
        <v>How Representative Are SMS Surveys in Africa? Experimental Evidence From Four Countries</v>
      </c>
      <c r="C223" s="273" t="str">
        <f t="array" ref="C223">IFerror(INDEX(Papers!D$2:D$998,MATCH($A223, Papers!$A$2:$A$998,0)),"")</f>
        <v>Charles Lau, Ansie Lombaard, Melissa Baker, Joe Eyerman, and Lisa Thalji</v>
      </c>
      <c r="D223" s="274">
        <f t="array" ref="D223">IFerror(INDEX(Papers!F$2:F$998,MATCH($A223, Papers!$A$2:$A$998,0)),"")</f>
        <v>2019</v>
      </c>
      <c r="E223" s="274">
        <f t="array" ref="E223">IFerror(INDEX(Papers!G$2:G$998,MATCH($A223, Papers!$A$2:$A$998,0)),"")</f>
        <v>2015</v>
      </c>
      <c r="F223" s="274" t="s">
        <v>243</v>
      </c>
      <c r="G223" s="275" t="s">
        <v>10</v>
      </c>
      <c r="H223" s="277" t="s">
        <v>481</v>
      </c>
      <c r="I223" s="276" t="s">
        <v>293</v>
      </c>
      <c r="J223" s="300" t="s">
        <v>492</v>
      </c>
      <c r="K223" s="286">
        <v>0.73</v>
      </c>
      <c r="L223" s="307"/>
      <c r="M223" s="286">
        <v>0.8</v>
      </c>
      <c r="N223" s="316">
        <f t="shared" si="17"/>
        <v>-0.07</v>
      </c>
      <c r="O223" s="281" t="str">
        <f t="shared" si="18"/>
        <v/>
      </c>
    </row>
    <row r="224">
      <c r="A224" s="263">
        <v>20.0</v>
      </c>
      <c r="B224" s="264" t="str">
        <f t="array" ref="B224">IFerror(INDEX(Papers!C$2:C$998,MATCH($A224, Papers!$A$2:$A$998,0)),"")</f>
        <v>How Representative Are SMS Surveys in Africa? Experimental Evidence From Four Countries</v>
      </c>
      <c r="C224" s="264" t="str">
        <f t="array" ref="C224">IFerror(INDEX(Papers!D$2:D$998,MATCH($A224, Papers!$A$2:$A$998,0)),"")</f>
        <v>Charles Lau, Ansie Lombaard, Melissa Baker, Joe Eyerman, and Lisa Thalji</v>
      </c>
      <c r="D224" s="265">
        <f t="array" ref="D224">IFerror(INDEX(Papers!F$2:F$998,MATCH($A224, Papers!$A$2:$A$998,0)),"")</f>
        <v>2019</v>
      </c>
      <c r="E224" s="265">
        <f t="array" ref="E224">IFerror(INDEX(Papers!G$2:G$998,MATCH($A224, Papers!$A$2:$A$998,0)),"")</f>
        <v>2015</v>
      </c>
      <c r="F224" s="265" t="s">
        <v>258</v>
      </c>
      <c r="G224" s="266" t="s">
        <v>10</v>
      </c>
      <c r="H224" s="282" t="s">
        <v>483</v>
      </c>
      <c r="I224" s="267" t="s">
        <v>293</v>
      </c>
      <c r="J224" s="301" t="s">
        <v>492</v>
      </c>
      <c r="K224" s="287">
        <v>0.61</v>
      </c>
      <c r="L224" s="287"/>
      <c r="M224" s="287">
        <v>0.68</v>
      </c>
      <c r="N224" s="318">
        <f t="shared" si="17"/>
        <v>-0.07</v>
      </c>
      <c r="O224" s="271" t="str">
        <f t="shared" si="18"/>
        <v/>
      </c>
    </row>
    <row r="225">
      <c r="A225" s="272">
        <v>20.0</v>
      </c>
      <c r="B225" s="273" t="str">
        <f t="array" ref="B225">IFerror(INDEX(Papers!C$2:C$998,MATCH($A225, Papers!$A$2:$A$998,0)),"")</f>
        <v>How Representative Are SMS Surveys in Africa? Experimental Evidence From Four Countries</v>
      </c>
      <c r="C225" s="273" t="str">
        <f t="array" ref="C225">IFerror(INDEX(Papers!D$2:D$998,MATCH($A225, Papers!$A$2:$A$998,0)),"")</f>
        <v>Charles Lau, Ansie Lombaard, Melissa Baker, Joe Eyerman, and Lisa Thalji</v>
      </c>
      <c r="D225" s="274">
        <f t="array" ref="D225">IFerror(INDEX(Papers!F$2:F$998,MATCH($A225, Papers!$A$2:$A$998,0)),"")</f>
        <v>2019</v>
      </c>
      <c r="E225" s="274">
        <f t="array" ref="E225">IFerror(INDEX(Papers!G$2:G$998,MATCH($A225, Papers!$A$2:$A$998,0)),"")</f>
        <v>2015</v>
      </c>
      <c r="F225" s="274" t="s">
        <v>251</v>
      </c>
      <c r="G225" s="275" t="s">
        <v>10</v>
      </c>
      <c r="H225" s="277" t="s">
        <v>480</v>
      </c>
      <c r="I225" s="276" t="s">
        <v>293</v>
      </c>
      <c r="J225" s="300" t="s">
        <v>492</v>
      </c>
      <c r="K225" s="286">
        <v>0.82</v>
      </c>
      <c r="L225" s="286"/>
      <c r="M225" s="286">
        <v>0.82</v>
      </c>
      <c r="N225" s="316">
        <f t="shared" si="17"/>
        <v>0</v>
      </c>
      <c r="O225" s="281" t="str">
        <f t="shared" si="18"/>
        <v/>
      </c>
    </row>
    <row r="226">
      <c r="A226" s="263">
        <v>20.0</v>
      </c>
      <c r="B226" s="264" t="str">
        <f t="array" ref="B226">IFerror(INDEX(Papers!C$2:C$998,MATCH($A226, Papers!$A$2:$A$998,0)),"")</f>
        <v>How Representative Are SMS Surveys in Africa? Experimental Evidence From Four Countries</v>
      </c>
      <c r="C226" s="264" t="str">
        <f t="array" ref="C226">IFerror(INDEX(Papers!D$2:D$998,MATCH($A226, Papers!$A$2:$A$998,0)),"")</f>
        <v>Charles Lau, Ansie Lombaard, Melissa Baker, Joe Eyerman, and Lisa Thalji</v>
      </c>
      <c r="D226" s="265">
        <f t="array" ref="D226">IFerror(INDEX(Papers!F$2:F$998,MATCH($A226, Papers!$A$2:$A$998,0)),"")</f>
        <v>2019</v>
      </c>
      <c r="E226" s="265">
        <f t="array" ref="E226">IFerror(INDEX(Papers!G$2:G$998,MATCH($A226, Papers!$A$2:$A$998,0)),"")</f>
        <v>2015</v>
      </c>
      <c r="F226" s="265" t="s">
        <v>245</v>
      </c>
      <c r="G226" s="266" t="s">
        <v>10</v>
      </c>
      <c r="H226" s="282" t="s">
        <v>482</v>
      </c>
      <c r="I226" s="267" t="s">
        <v>293</v>
      </c>
      <c r="J226" s="301" t="s">
        <v>492</v>
      </c>
      <c r="K226" s="287">
        <v>0.74</v>
      </c>
      <c r="L226" s="287"/>
      <c r="M226" s="287">
        <v>0.63</v>
      </c>
      <c r="N226" s="318">
        <f t="shared" si="17"/>
        <v>0.11</v>
      </c>
      <c r="O226" s="271" t="str">
        <f t="shared" si="18"/>
        <v/>
      </c>
    </row>
    <row r="227">
      <c r="A227" s="272">
        <v>20.0</v>
      </c>
      <c r="B227" s="273" t="str">
        <f t="array" ref="B227">IFerror(INDEX(Papers!C$2:C$998,MATCH($A227, Papers!$A$2:$A$998,0)),"")</f>
        <v>How Representative Are SMS Surveys in Africa? Experimental Evidence From Four Countries</v>
      </c>
      <c r="C227" s="273" t="str">
        <f t="array" ref="C227">IFerror(INDEX(Papers!D$2:D$998,MATCH($A227, Papers!$A$2:$A$998,0)),"")</f>
        <v>Charles Lau, Ansie Lombaard, Melissa Baker, Joe Eyerman, and Lisa Thalji</v>
      </c>
      <c r="D227" s="274">
        <f t="array" ref="D227">IFerror(INDEX(Papers!F$2:F$998,MATCH($A227, Papers!$A$2:$A$998,0)),"")</f>
        <v>2019</v>
      </c>
      <c r="E227" s="274">
        <f t="array" ref="E227">IFerror(INDEX(Papers!G$2:G$998,MATCH($A227, Papers!$A$2:$A$998,0)),"")</f>
        <v>2015</v>
      </c>
      <c r="F227" s="274" t="s">
        <v>245</v>
      </c>
      <c r="G227" s="275" t="s">
        <v>10</v>
      </c>
      <c r="H227" s="277" t="s">
        <v>293</v>
      </c>
      <c r="I227" s="276" t="s">
        <v>477</v>
      </c>
      <c r="J227" s="300" t="s">
        <v>492</v>
      </c>
      <c r="K227" s="312"/>
      <c r="L227" s="286">
        <v>0.6</v>
      </c>
      <c r="M227" s="286">
        <v>0.65</v>
      </c>
      <c r="N227" s="313" t="str">
        <f t="shared" si="17"/>
        <v/>
      </c>
      <c r="O227" s="281">
        <f t="shared" si="18"/>
        <v>-0.05</v>
      </c>
    </row>
    <row r="228">
      <c r="A228" s="263">
        <v>25.0</v>
      </c>
      <c r="B228" s="264" t="str">
        <f t="array" ref="B228">IFerror(INDEX(Papers!C$2:C$998,MATCH($A228, Papers!$A$2:$A$998,0)),"")</f>
        <v>Does mobile phone survey method matter? Reliability of computer-assisted telephone interviews and interactive voice response non-communicable diseases risk factor surveys in low and middle income countries</v>
      </c>
      <c r="C228" s="264" t="str">
        <f t="array" ref="C228">IFerror(INDEX(Papers!D$2:D$998,MATCH($A228, Papers!$A$2:$A$998,0)),"")</f>
        <v>George Pariyo, Abigail Greenleaf, Dustin Gibson, Joseph Ali, Hannah Selig, Alain Labrique, Ghlam Muhammed Al Kibria, Iqbal Ansary Khan, Honorati Masanja,Meerjady Sabrina Flora, Saifuddin Ahmed, Adnan Hyder</v>
      </c>
      <c r="D228" s="265">
        <f t="array" ref="D228">IFerror(INDEX(Papers!F$2:F$998,MATCH($A228, Papers!$A$2:$A$998,0)),"")</f>
        <v>2019</v>
      </c>
      <c r="E228" s="265">
        <f t="array" ref="E228">IFerror(INDEX(Papers!G$2:G$998,MATCH($A228, Papers!$A$2:$A$998,0)),"")</f>
        <v>2017</v>
      </c>
      <c r="F228" s="265" t="s">
        <v>257</v>
      </c>
      <c r="G228" s="266" t="s">
        <v>9</v>
      </c>
      <c r="H228" s="282" t="s">
        <v>293</v>
      </c>
      <c r="I228" s="282" t="s">
        <v>493</v>
      </c>
      <c r="J228" s="268" t="s">
        <v>428</v>
      </c>
      <c r="K228" s="314"/>
      <c r="L228" s="318">
        <f>164/387</f>
        <v>0.4237726098</v>
      </c>
      <c r="M228" s="271">
        <f>95/164</f>
        <v>0.5792682927</v>
      </c>
      <c r="N228" s="287" t="str">
        <f t="shared" si="17"/>
        <v/>
      </c>
      <c r="O228" s="287">
        <f t="shared" si="18"/>
        <v>-0.1554956829</v>
      </c>
    </row>
    <row r="229">
      <c r="A229" s="272">
        <v>25.0</v>
      </c>
      <c r="B229" s="273" t="str">
        <f t="array" ref="B229">IFerror(INDEX(Papers!C$2:C$998,MATCH($A229, Papers!$A$2:$A$998,0)),"")</f>
        <v>Does mobile phone survey method matter? Reliability of computer-assisted telephone interviews and interactive voice response non-communicable diseases risk factor surveys in low and middle income countries</v>
      </c>
      <c r="C229" s="273" t="str">
        <f t="array" ref="C229">IFerror(INDEX(Papers!D$2:D$998,MATCH($A229, Papers!$A$2:$A$998,0)),"")</f>
        <v>George Pariyo, Abigail Greenleaf, Dustin Gibson, Joseph Ali, Hannah Selig, Alain Labrique, Ghlam Muhammed Al Kibria, Iqbal Ansary Khan, Honorati Masanja,Meerjady Sabrina Flora, Saifuddin Ahmed, Adnan Hyder</v>
      </c>
      <c r="D229" s="274">
        <f t="array" ref="D229">IFerror(INDEX(Papers!F$2:F$998,MATCH($A229, Papers!$A$2:$A$998,0)),"")</f>
        <v>2019</v>
      </c>
      <c r="E229" s="274">
        <f t="array" ref="E229">IFerror(INDEX(Papers!G$2:G$998,MATCH($A229, Papers!$A$2:$A$998,0)),"")</f>
        <v>2017</v>
      </c>
      <c r="F229" s="274" t="s">
        <v>238</v>
      </c>
      <c r="G229" s="275" t="s">
        <v>11</v>
      </c>
      <c r="H229" s="277" t="s">
        <v>293</v>
      </c>
      <c r="I229" s="320" t="s">
        <v>494</v>
      </c>
      <c r="J229" s="278" t="s">
        <v>428</v>
      </c>
      <c r="K229" s="312"/>
      <c r="L229" s="316">
        <f>448/653</f>
        <v>0.6860643185</v>
      </c>
      <c r="M229" s="316">
        <f>274/351</f>
        <v>0.7806267806</v>
      </c>
      <c r="N229" s="286" t="str">
        <f t="shared" si="17"/>
        <v/>
      </c>
      <c r="O229" s="286">
        <f t="shared" si="18"/>
        <v>-0.0945624621</v>
      </c>
    </row>
    <row r="230">
      <c r="A230" s="263">
        <v>25.0</v>
      </c>
      <c r="B230" s="264" t="str">
        <f t="array" ref="B230">IFerror(INDEX(Papers!C$2:C$998,MATCH($A230,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0" s="264" t="str">
        <f t="array" ref="C230">IFerror(INDEX(Papers!D$2:D$998,MATCH($A230,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0" s="265">
        <f t="array" ref="D230">IFerror(INDEX(Papers!F$2:F$998,MATCH($A230, Papers!$A$2:$A$998,0)),"")</f>
        <v>2019</v>
      </c>
      <c r="E230" s="265">
        <f t="array" ref="E230">IFerror(INDEX(Papers!G$2:G$998,MATCH($A230, Papers!$A$2:$A$998,0)),"")</f>
        <v>2017</v>
      </c>
      <c r="F230" s="265" t="s">
        <v>238</v>
      </c>
      <c r="G230" s="266" t="s">
        <v>9</v>
      </c>
      <c r="H230" s="282" t="s">
        <v>293</v>
      </c>
      <c r="I230" s="282" t="s">
        <v>493</v>
      </c>
      <c r="J230" s="268" t="s">
        <v>428</v>
      </c>
      <c r="K230" s="314"/>
      <c r="L230" s="287">
        <f>277/482</f>
        <v>0.5746887967</v>
      </c>
      <c r="M230" s="287">
        <f>84/148</f>
        <v>0.5675675676</v>
      </c>
      <c r="N230" s="287" t="str">
        <f t="shared" si="17"/>
        <v/>
      </c>
      <c r="O230" s="287">
        <f t="shared" si="18"/>
        <v>0.007121229113</v>
      </c>
    </row>
    <row r="231">
      <c r="A231" s="272">
        <v>25.0</v>
      </c>
      <c r="B231" s="273" t="str">
        <f t="array" ref="B231">IFerror(INDEX(Papers!C$2:C$998,MATCH($A231,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1" s="273" t="str">
        <f t="array" ref="C231">IFerror(INDEX(Papers!D$2:D$998,MATCH($A231,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1" s="274">
        <f t="array" ref="D231">IFerror(INDEX(Papers!F$2:F$998,MATCH($A231, Papers!$A$2:$A$998,0)),"")</f>
        <v>2019</v>
      </c>
      <c r="E231" s="274">
        <f t="array" ref="E231">IFerror(INDEX(Papers!G$2:G$998,MATCH($A231, Papers!$A$2:$A$998,0)),"")</f>
        <v>2017</v>
      </c>
      <c r="F231" s="274" t="s">
        <v>257</v>
      </c>
      <c r="G231" s="275" t="s">
        <v>11</v>
      </c>
      <c r="H231" s="277" t="s">
        <v>293</v>
      </c>
      <c r="I231" s="320" t="s">
        <v>494</v>
      </c>
      <c r="J231" s="278" t="s">
        <v>428</v>
      </c>
      <c r="K231" s="312"/>
      <c r="L231" s="316">
        <f>442/674</f>
        <v>0.6557863501</v>
      </c>
      <c r="M231" s="288">
        <f>210/336</f>
        <v>0.625</v>
      </c>
      <c r="N231" s="288" t="str">
        <f t="shared" si="17"/>
        <v/>
      </c>
      <c r="O231" s="281">
        <f t="shared" si="18"/>
        <v>0.03078635015</v>
      </c>
    </row>
    <row r="232">
      <c r="A232" s="263">
        <v>25.0</v>
      </c>
      <c r="B232" s="264" t="str">
        <f t="array" ref="B232">IFerror(INDEX(Papers!C$2:C$998,MATCH($A232,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2" s="264" t="str">
        <f t="array" ref="C232">IFerror(INDEX(Papers!D$2:D$998,MATCH($A232,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2" s="265">
        <f t="array" ref="D232">IFerror(INDEX(Papers!F$2:F$998,MATCH($A232, Papers!$A$2:$A$998,0)),"")</f>
        <v>2019</v>
      </c>
      <c r="E232" s="265">
        <f t="array" ref="E232">IFerror(INDEX(Papers!G$2:G$998,MATCH($A232, Papers!$A$2:$A$998,0)),"")</f>
        <v>2017</v>
      </c>
      <c r="F232" s="265" t="s">
        <v>257</v>
      </c>
      <c r="G232" s="266" t="s">
        <v>11</v>
      </c>
      <c r="H232" s="282" t="s">
        <v>293</v>
      </c>
      <c r="I232" s="321" t="s">
        <v>494</v>
      </c>
      <c r="J232" s="268" t="s">
        <v>495</v>
      </c>
      <c r="K232" s="314"/>
      <c r="L232" s="318">
        <f>192/674</f>
        <v>0.2848664688</v>
      </c>
      <c r="M232" s="285">
        <f>115/336</f>
        <v>0.3422619048</v>
      </c>
      <c r="N232" s="271" t="str">
        <f t="shared" si="17"/>
        <v/>
      </c>
      <c r="O232" s="271">
        <f t="shared" si="18"/>
        <v>-0.05739543592</v>
      </c>
    </row>
    <row r="233">
      <c r="A233" s="272">
        <v>25.0</v>
      </c>
      <c r="B233" s="273" t="str">
        <f t="array" ref="B233">IFerror(INDEX(Papers!C$2:C$998,MATCH($A233,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3" s="273" t="str">
        <f t="array" ref="C233">IFerror(INDEX(Papers!D$2:D$998,MATCH($A233,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3" s="274">
        <f t="array" ref="D233">IFerror(INDEX(Papers!F$2:F$998,MATCH($A233, Papers!$A$2:$A$998,0)),"")</f>
        <v>2019</v>
      </c>
      <c r="E233" s="274">
        <f t="array" ref="E233">IFerror(INDEX(Papers!G$2:G$998,MATCH($A233, Papers!$A$2:$A$998,0)),"")</f>
        <v>2017</v>
      </c>
      <c r="F233" s="274" t="s">
        <v>238</v>
      </c>
      <c r="G233" s="275" t="s">
        <v>9</v>
      </c>
      <c r="H233" s="277" t="s">
        <v>293</v>
      </c>
      <c r="I233" s="277" t="s">
        <v>493</v>
      </c>
      <c r="J233" s="278" t="s">
        <v>495</v>
      </c>
      <c r="K233" s="312"/>
      <c r="L233" s="286">
        <f>174/482</f>
        <v>0.3609958506</v>
      </c>
      <c r="M233" s="286">
        <f>51/148</f>
        <v>0.3445945946</v>
      </c>
      <c r="N233" s="286" t="str">
        <f t="shared" si="17"/>
        <v/>
      </c>
      <c r="O233" s="286">
        <f t="shared" si="18"/>
        <v>0.01640125603</v>
      </c>
    </row>
    <row r="234">
      <c r="A234" s="263">
        <v>25.0</v>
      </c>
      <c r="B234" s="264" t="str">
        <f t="array" ref="B234">IFerror(INDEX(Papers!C$2:C$998,MATCH($A234,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4" s="264" t="str">
        <f t="array" ref="C234">IFerror(INDEX(Papers!D$2:D$998,MATCH($A234,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4" s="265">
        <f t="array" ref="D234">IFerror(INDEX(Papers!F$2:F$998,MATCH($A234, Papers!$A$2:$A$998,0)),"")</f>
        <v>2019</v>
      </c>
      <c r="E234" s="265">
        <f t="array" ref="E234">IFerror(INDEX(Papers!G$2:G$998,MATCH($A234, Papers!$A$2:$A$998,0)),"")</f>
        <v>2017</v>
      </c>
      <c r="F234" s="265" t="s">
        <v>238</v>
      </c>
      <c r="G234" s="266" t="s">
        <v>11</v>
      </c>
      <c r="H234" s="282" t="s">
        <v>293</v>
      </c>
      <c r="I234" s="321" t="s">
        <v>494</v>
      </c>
      <c r="J234" s="268" t="s">
        <v>495</v>
      </c>
      <c r="K234" s="314"/>
      <c r="L234" s="318">
        <f>137/653</f>
        <v>0.2098009188</v>
      </c>
      <c r="M234" s="318">
        <f>67/351</f>
        <v>0.1908831909</v>
      </c>
      <c r="N234" s="287" t="str">
        <f t="shared" si="17"/>
        <v/>
      </c>
      <c r="O234" s="287">
        <f t="shared" si="18"/>
        <v>0.01891772795</v>
      </c>
    </row>
    <row r="235">
      <c r="A235" s="272">
        <v>25.0</v>
      </c>
      <c r="B235" s="273" t="str">
        <f t="array" ref="B235">IFerror(INDEX(Papers!C$2:C$998,MATCH($A235,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5" s="273" t="str">
        <f t="array" ref="C235">IFerror(INDEX(Papers!D$2:D$998,MATCH($A235,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5" s="274">
        <f t="array" ref="D235">IFerror(INDEX(Papers!F$2:F$998,MATCH($A235, Papers!$A$2:$A$998,0)),"")</f>
        <v>2019</v>
      </c>
      <c r="E235" s="274">
        <f t="array" ref="E235">IFerror(INDEX(Papers!G$2:G$998,MATCH($A235, Papers!$A$2:$A$998,0)),"")</f>
        <v>2017</v>
      </c>
      <c r="F235" s="274" t="s">
        <v>257</v>
      </c>
      <c r="G235" s="275" t="s">
        <v>9</v>
      </c>
      <c r="H235" s="277" t="s">
        <v>293</v>
      </c>
      <c r="I235" s="277" t="s">
        <v>493</v>
      </c>
      <c r="J235" s="278" t="s">
        <v>495</v>
      </c>
      <c r="K235" s="312"/>
      <c r="L235" s="316">
        <f>172/387</f>
        <v>0.4444444444</v>
      </c>
      <c r="M235" s="281">
        <f>61/164</f>
        <v>0.3719512195</v>
      </c>
      <c r="N235" s="286" t="str">
        <f t="shared" si="17"/>
        <v/>
      </c>
      <c r="O235" s="286">
        <f t="shared" si="18"/>
        <v>0.07249322493</v>
      </c>
    </row>
    <row r="236">
      <c r="A236" s="263">
        <v>25.0</v>
      </c>
      <c r="B236" s="264" t="str">
        <f t="array" ref="B236">IFerror(INDEX(Papers!C$2:C$998,MATCH($A236,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6" s="264" t="str">
        <f t="array" ref="C236">IFerror(INDEX(Papers!D$2:D$998,MATCH($A236,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6" s="265">
        <f t="array" ref="D236">IFerror(INDEX(Papers!F$2:F$998,MATCH($A236, Papers!$A$2:$A$998,0)),"")</f>
        <v>2019</v>
      </c>
      <c r="E236" s="265">
        <f t="array" ref="E236">IFerror(INDEX(Papers!G$2:G$998,MATCH($A236, Papers!$A$2:$A$998,0)),"")</f>
        <v>2017</v>
      </c>
      <c r="F236" s="265" t="s">
        <v>257</v>
      </c>
      <c r="G236" s="266" t="s">
        <v>11</v>
      </c>
      <c r="H236" s="282" t="s">
        <v>293</v>
      </c>
      <c r="I236" s="321" t="s">
        <v>494</v>
      </c>
      <c r="J236" s="268" t="s">
        <v>496</v>
      </c>
      <c r="K236" s="314"/>
      <c r="L236" s="287">
        <f>27/674</f>
        <v>0.04005934718</v>
      </c>
      <c r="M236" s="287">
        <f>9/336</f>
        <v>0.02678571429</v>
      </c>
      <c r="N236" s="287"/>
      <c r="O236" s="271">
        <f t="shared" si="18"/>
        <v>0.0132736329</v>
      </c>
    </row>
    <row r="237">
      <c r="A237" s="272">
        <v>25.0</v>
      </c>
      <c r="B237" s="273" t="str">
        <f t="array" ref="B237">IFerror(INDEX(Papers!C$2:C$998,MATCH($A237,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7" s="273" t="str">
        <f t="array" ref="C237">IFerror(INDEX(Papers!D$2:D$998,MATCH($A237,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7" s="274">
        <f t="array" ref="D237">IFerror(INDEX(Papers!F$2:F$998,MATCH($A237, Papers!$A$2:$A$998,0)),"")</f>
        <v>2019</v>
      </c>
      <c r="E237" s="274">
        <f t="array" ref="E237">IFerror(INDEX(Papers!G$2:G$998,MATCH($A237, Papers!$A$2:$A$998,0)),"")</f>
        <v>2017</v>
      </c>
      <c r="F237" s="274" t="s">
        <v>238</v>
      </c>
      <c r="G237" s="275" t="s">
        <v>11</v>
      </c>
      <c r="H237" s="277" t="s">
        <v>293</v>
      </c>
      <c r="I237" s="320" t="s">
        <v>494</v>
      </c>
      <c r="J237" s="278" t="s">
        <v>496</v>
      </c>
      <c r="K237" s="312"/>
      <c r="L237" s="288">
        <f>28/653</f>
        <v>0.04287901991</v>
      </c>
      <c r="M237" s="288">
        <f>10/351</f>
        <v>0.02849002849</v>
      </c>
      <c r="N237" s="286"/>
      <c r="O237" s="281">
        <f t="shared" si="18"/>
        <v>0.01438899142</v>
      </c>
    </row>
    <row r="238">
      <c r="A238" s="263">
        <v>25.0</v>
      </c>
      <c r="B238" s="264" t="str">
        <f t="array" ref="B238">IFerror(INDEX(Papers!C$2:C$998,MATCH($A238,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8" s="264" t="str">
        <f t="array" ref="C238">IFerror(INDEX(Papers!D$2:D$998,MATCH($A238,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8" s="265">
        <f t="array" ref="D238">IFerror(INDEX(Papers!F$2:F$998,MATCH($A238, Papers!$A$2:$A$998,0)),"")</f>
        <v>2019</v>
      </c>
      <c r="E238" s="265">
        <f t="array" ref="E238">IFerror(INDEX(Papers!G$2:G$998,MATCH($A238, Papers!$A$2:$A$998,0)),"")</f>
        <v>2017</v>
      </c>
      <c r="F238" s="265" t="s">
        <v>238</v>
      </c>
      <c r="G238" s="266" t="s">
        <v>9</v>
      </c>
      <c r="H238" s="282" t="s">
        <v>293</v>
      </c>
      <c r="I238" s="282" t="s">
        <v>493</v>
      </c>
      <c r="J238" s="268" t="s">
        <v>496</v>
      </c>
      <c r="K238" s="314"/>
      <c r="L238" s="285">
        <f>31/482</f>
        <v>0.0643153527</v>
      </c>
      <c r="M238" s="285">
        <f>6/148</f>
        <v>0.04054054054</v>
      </c>
      <c r="N238" s="287"/>
      <c r="O238" s="271">
        <f t="shared" si="18"/>
        <v>0.02377481216</v>
      </c>
    </row>
    <row r="239">
      <c r="A239" s="272">
        <v>25.0</v>
      </c>
      <c r="B239" s="273" t="str">
        <f t="array" ref="B239">IFerror(INDEX(Papers!C$2:C$998,MATCH($A239, Papers!$A$2:$A$998,0)),"")</f>
        <v>Does mobile phone survey method matter? Reliability of computer-assisted telephone interviews and interactive voice response non-communicable diseases risk factor surveys in low and middle income countries</v>
      </c>
      <c r="C239" s="273" t="str">
        <f t="array" ref="C239">IFerror(INDEX(Papers!D$2:D$998,MATCH($A239, Papers!$A$2:$A$998,0)),"")</f>
        <v>George Pariyo, Abigail Greenleaf, Dustin Gibson, Joseph Ali, Hannah Selig, Alain Labrique, Ghlam Muhammed Al Kibria, Iqbal Ansary Khan, Honorati Masanja,Meerjady Sabrina Flora, Saifuddin Ahmed, Adnan Hyder</v>
      </c>
      <c r="D239" s="274">
        <f t="array" ref="D239">IFerror(INDEX(Papers!F$2:F$998,MATCH($A239, Papers!$A$2:$A$998,0)),"")</f>
        <v>2019</v>
      </c>
      <c r="E239" s="274">
        <f t="array" ref="E239">IFerror(INDEX(Papers!G$2:G$998,MATCH($A239, Papers!$A$2:$A$998,0)),"")</f>
        <v>2017</v>
      </c>
      <c r="F239" s="274" t="s">
        <v>257</v>
      </c>
      <c r="G239" s="275" t="s">
        <v>9</v>
      </c>
      <c r="H239" s="277" t="s">
        <v>293</v>
      </c>
      <c r="I239" s="277" t="s">
        <v>493</v>
      </c>
      <c r="J239" s="278" t="s">
        <v>496</v>
      </c>
      <c r="K239" s="312"/>
      <c r="L239" s="286">
        <f>42/387</f>
        <v>0.1085271318</v>
      </c>
      <c r="M239" s="286">
        <f>7/164</f>
        <v>0.04268292683</v>
      </c>
      <c r="N239" s="286"/>
      <c r="O239" s="281">
        <f t="shared" si="18"/>
        <v>0.06584420495</v>
      </c>
    </row>
    <row r="240">
      <c r="A240" s="263">
        <v>25.0</v>
      </c>
      <c r="B240" s="264" t="str">
        <f t="array" ref="B240">IFerror(INDEX(Papers!C$2:C$998,MATCH($A240,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0" s="264" t="str">
        <f t="array" ref="C240">IFerror(INDEX(Papers!D$2:D$998,MATCH($A240,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0" s="265">
        <f t="array" ref="D240">IFerror(INDEX(Papers!F$2:F$998,MATCH($A240, Papers!$A$2:$A$998,0)),"")</f>
        <v>2019</v>
      </c>
      <c r="E240" s="265">
        <f t="array" ref="E240">IFerror(INDEX(Papers!G$2:G$998,MATCH($A240, Papers!$A$2:$A$998,0)),"")</f>
        <v>2017</v>
      </c>
      <c r="F240" s="265" t="s">
        <v>238</v>
      </c>
      <c r="G240" s="266" t="s">
        <v>9</v>
      </c>
      <c r="H240" s="282" t="s">
        <v>293</v>
      </c>
      <c r="I240" s="282" t="s">
        <v>493</v>
      </c>
      <c r="J240" s="268" t="s">
        <v>497</v>
      </c>
      <c r="K240" s="314"/>
      <c r="L240" s="287">
        <f>0/482</f>
        <v>0</v>
      </c>
      <c r="M240" s="287">
        <f>7/148</f>
        <v>0.0472972973</v>
      </c>
      <c r="N240" s="287"/>
      <c r="O240" s="271">
        <f>L240-M240</f>
        <v>-0.0472972973</v>
      </c>
    </row>
    <row r="241">
      <c r="A241" s="272">
        <v>25.0</v>
      </c>
      <c r="B241" s="273" t="str">
        <f t="array" ref="B241">IFerror(INDEX(Papers!C$2:C$998,MATCH($A241,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1" s="273" t="str">
        <f t="array" ref="C241">IFerror(INDEX(Papers!D$2:D$998,MATCH($A241,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1" s="274">
        <f t="array" ref="D241">IFerror(INDEX(Papers!F$2:F$998,MATCH($A241, Papers!$A$2:$A$998,0)),"")</f>
        <v>2019</v>
      </c>
      <c r="E241" s="274">
        <f t="array" ref="E241">IFerror(INDEX(Papers!G$2:G$998,MATCH($A241, Papers!$A$2:$A$998,0)),"")</f>
        <v>2017</v>
      </c>
      <c r="F241" s="274" t="s">
        <v>257</v>
      </c>
      <c r="G241" s="275" t="s">
        <v>11</v>
      </c>
      <c r="H241" s="277" t="s">
        <v>293</v>
      </c>
      <c r="I241" s="320" t="s">
        <v>494</v>
      </c>
      <c r="J241" s="278" t="s">
        <v>497</v>
      </c>
      <c r="K241" s="312"/>
      <c r="L241" s="286">
        <f>13/674</f>
        <v>0.01928783383</v>
      </c>
      <c r="M241" s="286">
        <f>2/336</f>
        <v>0.005952380952</v>
      </c>
      <c r="N241" s="286"/>
      <c r="O241" s="281">
        <f t="shared" ref="O241:O242" si="19">if(AND(L241&lt;&gt;0,M241&lt;&gt;0),L241-M241,"")</f>
        <v>0.01333545288</v>
      </c>
    </row>
    <row r="242">
      <c r="A242" s="263">
        <v>25.0</v>
      </c>
      <c r="B242" s="264" t="str">
        <f t="array" ref="B242">IFerror(INDEX(Papers!C$2:C$998,MATCH($A242,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2" s="264" t="str">
        <f t="array" ref="C242">IFerror(INDEX(Papers!D$2:D$998,MATCH($A242,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2" s="265">
        <f t="array" ref="D242">IFerror(INDEX(Papers!F$2:F$998,MATCH($A242, Papers!$A$2:$A$998,0)),"")</f>
        <v>2019</v>
      </c>
      <c r="E242" s="265">
        <f t="array" ref="E242">IFerror(INDEX(Papers!G$2:G$998,MATCH($A242, Papers!$A$2:$A$998,0)),"")</f>
        <v>2017</v>
      </c>
      <c r="F242" s="265" t="s">
        <v>257</v>
      </c>
      <c r="G242" s="266" t="s">
        <v>9</v>
      </c>
      <c r="H242" s="282" t="s">
        <v>293</v>
      </c>
      <c r="I242" s="282" t="s">
        <v>493</v>
      </c>
      <c r="J242" s="268" t="s">
        <v>497</v>
      </c>
      <c r="K242" s="314"/>
      <c r="L242" s="287">
        <f>9/387</f>
        <v>0.02325581395</v>
      </c>
      <c r="M242" s="287">
        <f>1/164</f>
        <v>0.006097560976</v>
      </c>
      <c r="N242" s="287"/>
      <c r="O242" s="271">
        <f t="shared" si="19"/>
        <v>0.01715825298</v>
      </c>
    </row>
    <row r="243">
      <c r="A243" s="272">
        <v>25.0</v>
      </c>
      <c r="B243" s="273" t="str">
        <f t="array" ref="B243">IFerror(INDEX(Papers!C$2:C$998,MATCH($A243,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3" s="273" t="str">
        <f t="array" ref="C243">IFerror(INDEX(Papers!D$2:D$998,MATCH($A243,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3" s="274">
        <f t="array" ref="D243">IFerror(INDEX(Papers!F$2:F$998,MATCH($A243, Papers!$A$2:$A$998,0)),"")</f>
        <v>2019</v>
      </c>
      <c r="E243" s="274">
        <f t="array" ref="E243">IFerror(INDEX(Papers!G$2:G$998,MATCH($A243, Papers!$A$2:$A$998,0)),"")</f>
        <v>2017</v>
      </c>
      <c r="F243" s="274" t="s">
        <v>238</v>
      </c>
      <c r="G243" s="275" t="s">
        <v>11</v>
      </c>
      <c r="H243" s="277" t="s">
        <v>293</v>
      </c>
      <c r="I243" s="320" t="s">
        <v>494</v>
      </c>
      <c r="J243" s="278" t="s">
        <v>497</v>
      </c>
      <c r="K243" s="312"/>
      <c r="L243" s="286">
        <f>40/653</f>
        <v>0.06125574273</v>
      </c>
      <c r="M243" s="286">
        <f>0/351</f>
        <v>0</v>
      </c>
      <c r="N243" s="286"/>
      <c r="O243" s="281">
        <f>L243-M243</f>
        <v>0.06125574273</v>
      </c>
    </row>
    <row r="244">
      <c r="A244" s="263">
        <v>25.0</v>
      </c>
      <c r="B244" s="264" t="str">
        <f t="array" ref="B244">IFerror(INDEX(Papers!C$2:C$998,MATCH($A244,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4" s="264" t="str">
        <f t="array" ref="C244">IFerror(INDEX(Papers!D$2:D$998,MATCH($A244,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4" s="265">
        <f t="array" ref="D244">IFerror(INDEX(Papers!F$2:F$998,MATCH($A244, Papers!$A$2:$A$998,0)),"")</f>
        <v>2019</v>
      </c>
      <c r="E244" s="265">
        <f t="array" ref="E244">IFerror(INDEX(Papers!G$2:G$998,MATCH($A244, Papers!$A$2:$A$998,0)),"")</f>
        <v>2017</v>
      </c>
      <c r="F244" s="265" t="s">
        <v>238</v>
      </c>
      <c r="G244" s="266" t="s">
        <v>11</v>
      </c>
      <c r="H244" s="282" t="s">
        <v>293</v>
      </c>
      <c r="I244" s="321" t="s">
        <v>494</v>
      </c>
      <c r="J244" s="268" t="s">
        <v>498</v>
      </c>
      <c r="K244" s="314"/>
      <c r="L244" s="318">
        <f>59/618</f>
        <v>0.09546925566</v>
      </c>
      <c r="M244" s="318">
        <f>34/349</f>
        <v>0.09742120344</v>
      </c>
      <c r="N244" s="287" t="str">
        <f t="shared" ref="N244:N254" si="20">if(AND(K244&lt;&gt;0,M244&lt;&gt;0),K244-M244,"")</f>
        <v/>
      </c>
      <c r="O244" s="287">
        <f t="shared" ref="O244:O439" si="21">if(AND(L244&lt;&gt;0,M244&lt;&gt;0),L244-M244,"")</f>
        <v>-0.001951947775</v>
      </c>
    </row>
    <row r="245">
      <c r="A245" s="272">
        <v>25.0</v>
      </c>
      <c r="B245" s="273" t="str">
        <f t="array" ref="B245">IFerror(INDEX(Papers!C$2:C$998,MATCH($A245,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5" s="273" t="str">
        <f t="array" ref="C245">IFerror(INDEX(Papers!D$2:D$998,MATCH($A245,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5" s="274">
        <f t="array" ref="D245">IFerror(INDEX(Papers!F$2:F$998,MATCH($A245, Papers!$A$2:$A$998,0)),"")</f>
        <v>2019</v>
      </c>
      <c r="E245" s="274">
        <f t="array" ref="E245">IFerror(INDEX(Papers!G$2:G$998,MATCH($A245, Papers!$A$2:$A$998,0)),"")</f>
        <v>2017</v>
      </c>
      <c r="F245" s="274" t="s">
        <v>257</v>
      </c>
      <c r="G245" s="275" t="s">
        <v>9</v>
      </c>
      <c r="H245" s="277" t="s">
        <v>293</v>
      </c>
      <c r="I245" s="277" t="s">
        <v>493</v>
      </c>
      <c r="J245" s="278" t="s">
        <v>498</v>
      </c>
      <c r="K245" s="312"/>
      <c r="L245" s="316">
        <f>22/385</f>
        <v>0.05714285714</v>
      </c>
      <c r="M245" s="281">
        <f>9/159</f>
        <v>0.05660377358</v>
      </c>
      <c r="N245" s="286" t="str">
        <f t="shared" si="20"/>
        <v/>
      </c>
      <c r="O245" s="286">
        <f t="shared" si="21"/>
        <v>0.000539083558</v>
      </c>
    </row>
    <row r="246">
      <c r="A246" s="263">
        <v>25.0</v>
      </c>
      <c r="B246" s="264" t="str">
        <f t="array" ref="B246">IFerror(INDEX(Papers!C$2:C$998,MATCH($A246,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6" s="264" t="str">
        <f t="array" ref="C246">IFerror(INDEX(Papers!D$2:D$998,MATCH($A246,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6" s="265">
        <f t="array" ref="D246">IFerror(INDEX(Papers!F$2:F$998,MATCH($A246, Papers!$A$2:$A$998,0)),"")</f>
        <v>2019</v>
      </c>
      <c r="E246" s="265">
        <f t="array" ref="E246">IFerror(INDEX(Papers!G$2:G$998,MATCH($A246, Papers!$A$2:$A$998,0)),"")</f>
        <v>2017</v>
      </c>
      <c r="F246" s="265" t="s">
        <v>257</v>
      </c>
      <c r="G246" s="266" t="s">
        <v>11</v>
      </c>
      <c r="H246" s="282" t="s">
        <v>293</v>
      </c>
      <c r="I246" s="321" t="s">
        <v>494</v>
      </c>
      <c r="J246" s="268" t="s">
        <v>498</v>
      </c>
      <c r="K246" s="314"/>
      <c r="L246" s="318">
        <f>50/618</f>
        <v>0.08090614887</v>
      </c>
      <c r="M246" s="285">
        <f>7/336</f>
        <v>0.02083333333</v>
      </c>
      <c r="N246" s="271" t="str">
        <f t="shared" si="20"/>
        <v/>
      </c>
      <c r="O246" s="271">
        <f t="shared" si="21"/>
        <v>0.06007281553</v>
      </c>
    </row>
    <row r="247">
      <c r="A247" s="272">
        <v>25.0</v>
      </c>
      <c r="B247" s="273" t="str">
        <f t="array" ref="B247">IFerror(INDEX(Papers!C$2:C$998,MATCH($A247,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7" s="273" t="str">
        <f t="array" ref="C247">IFerror(INDEX(Papers!D$2:D$998,MATCH($A247,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7" s="274">
        <f t="array" ref="D247">IFerror(INDEX(Papers!F$2:F$998,MATCH($A247, Papers!$A$2:$A$998,0)),"")</f>
        <v>2019</v>
      </c>
      <c r="E247" s="274">
        <f t="array" ref="E247">IFerror(INDEX(Papers!G$2:G$998,MATCH($A247, Papers!$A$2:$A$998,0)),"")</f>
        <v>2017</v>
      </c>
      <c r="F247" s="274" t="s">
        <v>238</v>
      </c>
      <c r="G247" s="275" t="s">
        <v>9</v>
      </c>
      <c r="H247" s="277" t="s">
        <v>293</v>
      </c>
      <c r="I247" s="277" t="s">
        <v>493</v>
      </c>
      <c r="J247" s="278" t="s">
        <v>498</v>
      </c>
      <c r="K247" s="312"/>
      <c r="L247" s="286">
        <f>64/476</f>
        <v>0.1344537815</v>
      </c>
      <c r="M247" s="286">
        <f>7/147</f>
        <v>0.04761904762</v>
      </c>
      <c r="N247" s="286" t="str">
        <f t="shared" si="20"/>
        <v/>
      </c>
      <c r="O247" s="286">
        <f t="shared" si="21"/>
        <v>0.08683473389</v>
      </c>
    </row>
    <row r="248">
      <c r="A248" s="263">
        <v>25.0</v>
      </c>
      <c r="B248" s="264" t="str">
        <f t="array" ref="B248">IFerror(INDEX(Papers!C$2:C$998,MATCH($A248,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8" s="264" t="str">
        <f t="array" ref="C248">IFerror(INDEX(Papers!D$2:D$998,MATCH($A248,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8" s="265">
        <f t="array" ref="D248">IFerror(INDEX(Papers!F$2:F$998,MATCH($A248, Papers!$A$2:$A$998,0)),"")</f>
        <v>2019</v>
      </c>
      <c r="E248" s="265">
        <f t="array" ref="E248">IFerror(INDEX(Papers!G$2:G$998,MATCH($A248, Papers!$A$2:$A$998,0)),"")</f>
        <v>2017</v>
      </c>
      <c r="F248" s="265" t="s">
        <v>238</v>
      </c>
      <c r="G248" s="266" t="s">
        <v>11</v>
      </c>
      <c r="H248" s="282" t="s">
        <v>293</v>
      </c>
      <c r="I248" s="321" t="s">
        <v>494</v>
      </c>
      <c r="J248" s="268" t="s">
        <v>444</v>
      </c>
      <c r="K248" s="314"/>
      <c r="L248" s="318">
        <f>133/618</f>
        <v>0.215210356</v>
      </c>
      <c r="M248" s="318">
        <f>71/349</f>
        <v>0.2034383954</v>
      </c>
      <c r="N248" s="287" t="str">
        <f t="shared" si="20"/>
        <v/>
      </c>
      <c r="O248" s="287">
        <f t="shared" si="21"/>
        <v>0.01177196057</v>
      </c>
    </row>
    <row r="249">
      <c r="A249" s="272">
        <v>25.0</v>
      </c>
      <c r="B249" s="273" t="str">
        <f t="array" ref="B249">IFerror(INDEX(Papers!C$2:C$998,MATCH($A249, Papers!$A$2:$A$998,0)),"")</f>
        <v>Does mobile phone survey method matter? Reliability of computer-assisted telephone interviews and interactive voice response non-communicable diseases risk factor surveys in low and middle income countries</v>
      </c>
      <c r="C249" s="273" t="str">
        <f t="array" ref="C249">IFerror(INDEX(Papers!D$2:D$998,MATCH($A249, Papers!$A$2:$A$998,0)),"")</f>
        <v>George Pariyo, Abigail Greenleaf, Dustin Gibson, Joseph Ali, Hannah Selig, Alain Labrique, Ghlam Muhammed Al Kibria, Iqbal Ansary Khan, Honorati Masanja,Meerjady Sabrina Flora, Saifuddin Ahmed, Adnan Hyder</v>
      </c>
      <c r="D249" s="274">
        <f t="array" ref="D249">IFerror(INDEX(Papers!F$2:F$998,MATCH($A249, Papers!$A$2:$A$998,0)),"")</f>
        <v>2019</v>
      </c>
      <c r="E249" s="274">
        <f t="array" ref="E249">IFerror(INDEX(Papers!G$2:G$998,MATCH($A249, Papers!$A$2:$A$998,0)),"")</f>
        <v>2017</v>
      </c>
      <c r="F249" s="274" t="s">
        <v>257</v>
      </c>
      <c r="G249" s="275" t="s">
        <v>11</v>
      </c>
      <c r="H249" s="277" t="s">
        <v>293</v>
      </c>
      <c r="I249" s="320" t="s">
        <v>494</v>
      </c>
      <c r="J249" s="278" t="s">
        <v>444</v>
      </c>
      <c r="K249" s="312"/>
      <c r="L249" s="316">
        <f>306/618</f>
        <v>0.4951456311</v>
      </c>
      <c r="M249" s="288">
        <f>155/336</f>
        <v>0.4613095238</v>
      </c>
      <c r="N249" s="281" t="str">
        <f t="shared" si="20"/>
        <v/>
      </c>
      <c r="O249" s="281">
        <f t="shared" si="21"/>
        <v>0.03383610726</v>
      </c>
    </row>
    <row r="250">
      <c r="A250" s="263">
        <v>25.0</v>
      </c>
      <c r="B250" s="264" t="str">
        <f t="array" ref="B250">IFerror(INDEX(Papers!C$2:C$998,MATCH($A250,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0" s="264" t="str">
        <f t="array" ref="C250">IFerror(INDEX(Papers!D$2:D$998,MATCH($A250,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0" s="265">
        <f t="array" ref="D250">IFerror(INDEX(Papers!F$2:F$998,MATCH($A250, Papers!$A$2:$A$998,0)),"")</f>
        <v>2019</v>
      </c>
      <c r="E250" s="265">
        <f t="array" ref="E250">IFerror(INDEX(Papers!G$2:G$998,MATCH($A250, Papers!$A$2:$A$998,0)),"")</f>
        <v>2017</v>
      </c>
      <c r="F250" s="265" t="s">
        <v>257</v>
      </c>
      <c r="G250" s="266" t="s">
        <v>9</v>
      </c>
      <c r="H250" s="282" t="s">
        <v>293</v>
      </c>
      <c r="I250" s="282" t="s">
        <v>493</v>
      </c>
      <c r="J250" s="268" t="s">
        <v>444</v>
      </c>
      <c r="K250" s="314"/>
      <c r="L250" s="318">
        <f>217/385</f>
        <v>0.5636363636</v>
      </c>
      <c r="M250" s="271">
        <f>80/159</f>
        <v>0.5031446541</v>
      </c>
      <c r="N250" s="287" t="str">
        <f t="shared" si="20"/>
        <v/>
      </c>
      <c r="O250" s="287">
        <f t="shared" si="21"/>
        <v>0.06049170955</v>
      </c>
    </row>
    <row r="251">
      <c r="A251" s="272">
        <v>25.0</v>
      </c>
      <c r="B251" s="273" t="str">
        <f t="array" ref="B251">IFerror(INDEX(Papers!C$2:C$998,MATCH($A251,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1" s="273" t="str">
        <f t="array" ref="C251">IFerror(INDEX(Papers!D$2:D$998,MATCH($A251,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1" s="274">
        <f t="array" ref="D251">IFerror(INDEX(Papers!F$2:F$998,MATCH($A251, Papers!$A$2:$A$998,0)),"")</f>
        <v>2019</v>
      </c>
      <c r="E251" s="274">
        <f t="array" ref="E251">IFerror(INDEX(Papers!G$2:G$998,MATCH($A251, Papers!$A$2:$A$998,0)),"")</f>
        <v>2017</v>
      </c>
      <c r="F251" s="274" t="s">
        <v>238</v>
      </c>
      <c r="G251" s="275" t="s">
        <v>9</v>
      </c>
      <c r="H251" s="277" t="s">
        <v>293</v>
      </c>
      <c r="I251" s="277" t="s">
        <v>493</v>
      </c>
      <c r="J251" s="278" t="s">
        <v>444</v>
      </c>
      <c r="K251" s="312"/>
      <c r="L251" s="286">
        <f>182/476</f>
        <v>0.3823529412</v>
      </c>
      <c r="M251" s="286">
        <f>33/147</f>
        <v>0.2244897959</v>
      </c>
      <c r="N251" s="286" t="str">
        <f t="shared" si="20"/>
        <v/>
      </c>
      <c r="O251" s="286">
        <f t="shared" si="21"/>
        <v>0.1578631453</v>
      </c>
    </row>
    <row r="252">
      <c r="A252" s="263">
        <v>25.0</v>
      </c>
      <c r="B252" s="264" t="str">
        <f t="array" ref="B252">IFerror(INDEX(Papers!C$2:C$998,MATCH($A252,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2" s="264" t="str">
        <f t="array" ref="C252">IFerror(INDEX(Papers!D$2:D$998,MATCH($A252,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2" s="265">
        <f t="array" ref="D252">IFerror(INDEX(Papers!F$2:F$998,MATCH($A252, Papers!$A$2:$A$998,0)),"")</f>
        <v>2019</v>
      </c>
      <c r="E252" s="265">
        <f t="array" ref="E252">IFerror(INDEX(Papers!G$2:G$998,MATCH($A252, Papers!$A$2:$A$998,0)),"")</f>
        <v>2017</v>
      </c>
      <c r="F252" s="265" t="s">
        <v>238</v>
      </c>
      <c r="G252" s="266" t="s">
        <v>9</v>
      </c>
      <c r="H252" s="282" t="s">
        <v>293</v>
      </c>
      <c r="I252" s="282" t="s">
        <v>493</v>
      </c>
      <c r="J252" s="268" t="s">
        <v>445</v>
      </c>
      <c r="K252" s="314"/>
      <c r="L252" s="287">
        <f>82/476</f>
        <v>0.1722689076</v>
      </c>
      <c r="M252" s="287">
        <f>48/147</f>
        <v>0.3265306122</v>
      </c>
      <c r="N252" s="287" t="str">
        <f t="shared" si="20"/>
        <v/>
      </c>
      <c r="O252" s="287">
        <f t="shared" si="21"/>
        <v>-0.1542617047</v>
      </c>
    </row>
    <row r="253">
      <c r="A253" s="272">
        <v>25.0</v>
      </c>
      <c r="B253" s="273" t="str">
        <f t="array" ref="B253">IFerror(INDEX(Papers!C$2:C$998,MATCH($A253,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3" s="273" t="str">
        <f t="array" ref="C253">IFerror(INDEX(Papers!D$2:D$998,MATCH($A253,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3" s="274">
        <f t="array" ref="D253">IFerror(INDEX(Papers!F$2:F$998,MATCH($A253, Papers!$A$2:$A$998,0)),"")</f>
        <v>2019</v>
      </c>
      <c r="E253" s="274">
        <f t="array" ref="E253">IFerror(INDEX(Papers!G$2:G$998,MATCH($A253, Papers!$A$2:$A$998,0)),"")</f>
        <v>2017</v>
      </c>
      <c r="F253" s="274" t="s">
        <v>257</v>
      </c>
      <c r="G253" s="275" t="s">
        <v>9</v>
      </c>
      <c r="H253" s="277" t="s">
        <v>293</v>
      </c>
      <c r="I253" s="277" t="s">
        <v>493</v>
      </c>
      <c r="J253" s="278" t="s">
        <v>445</v>
      </c>
      <c r="K253" s="312"/>
      <c r="L253" s="316">
        <f>118/385</f>
        <v>0.3064935065</v>
      </c>
      <c r="M253" s="281">
        <f>56/159</f>
        <v>0.3522012579</v>
      </c>
      <c r="N253" s="286" t="str">
        <f t="shared" si="20"/>
        <v/>
      </c>
      <c r="O253" s="286">
        <f t="shared" si="21"/>
        <v>-0.04570775137</v>
      </c>
    </row>
    <row r="254">
      <c r="A254" s="263">
        <v>25.0</v>
      </c>
      <c r="B254" s="264" t="str">
        <f t="array" ref="B254">IFerror(INDEX(Papers!C$2:C$998,MATCH($A254,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4" s="264" t="str">
        <f t="array" ref="C254">IFerror(INDEX(Papers!D$2:D$998,MATCH($A254,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4" s="265">
        <f t="array" ref="D254">IFerror(INDEX(Papers!F$2:F$998,MATCH($A254, Papers!$A$2:$A$998,0)),"")</f>
        <v>2019</v>
      </c>
      <c r="E254" s="265">
        <f t="array" ref="E254">IFerror(INDEX(Papers!G$2:G$998,MATCH($A254, Papers!$A$2:$A$998,0)),"")</f>
        <v>2017</v>
      </c>
      <c r="F254" s="265" t="s">
        <v>238</v>
      </c>
      <c r="G254" s="266" t="s">
        <v>11</v>
      </c>
      <c r="H254" s="282" t="s">
        <v>293</v>
      </c>
      <c r="I254" s="321" t="s">
        <v>494</v>
      </c>
      <c r="J254" s="268" t="s">
        <v>445</v>
      </c>
      <c r="K254" s="314"/>
      <c r="L254" s="318">
        <f>187/618</f>
        <v>0.3025889968</v>
      </c>
      <c r="M254" s="318">
        <f>82/349</f>
        <v>0.2349570201</v>
      </c>
      <c r="N254" s="287" t="str">
        <f t="shared" si="20"/>
        <v/>
      </c>
      <c r="O254" s="287">
        <f t="shared" si="21"/>
        <v>0.06763197671</v>
      </c>
    </row>
    <row r="255">
      <c r="A255" s="272">
        <v>25.0</v>
      </c>
      <c r="B255" s="273" t="str">
        <f t="array" ref="B255">IFerror(INDEX(Papers!C$2:C$998,MATCH($A255,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5" s="273" t="str">
        <f t="array" ref="C255">IFerror(INDEX(Papers!D$2:D$998,MATCH($A255,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5" s="274">
        <f t="array" ref="D255">IFerror(INDEX(Papers!F$2:F$998,MATCH($A255, Papers!$A$2:$A$998,0)),"")</f>
        <v>2019</v>
      </c>
      <c r="E255" s="274">
        <f t="array" ref="E255">IFerror(INDEX(Papers!G$2:G$998,MATCH($A255, Papers!$A$2:$A$998,0)),"")</f>
        <v>2017</v>
      </c>
      <c r="F255" s="274" t="s">
        <v>257</v>
      </c>
      <c r="G255" s="275" t="s">
        <v>11</v>
      </c>
      <c r="H255" s="277" t="s">
        <v>293</v>
      </c>
      <c r="I255" s="320" t="s">
        <v>494</v>
      </c>
      <c r="J255" s="278" t="s">
        <v>445</v>
      </c>
      <c r="K255" s="312"/>
      <c r="L255" s="316">
        <f>255/618</f>
        <v>0.4126213592</v>
      </c>
      <c r="M255" s="288">
        <f>136/336</f>
        <v>0.4047619048</v>
      </c>
      <c r="N255" s="281"/>
      <c r="O255" s="281">
        <f t="shared" si="21"/>
        <v>0.007859454461</v>
      </c>
    </row>
    <row r="256">
      <c r="A256" s="263">
        <v>25.0</v>
      </c>
      <c r="B256" s="264" t="str">
        <f t="array" ref="B256">IFerror(INDEX(Papers!C$2:C$998,MATCH($A256,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6" s="264" t="str">
        <f t="array" ref="C256">IFerror(INDEX(Papers!D$2:D$998,MATCH($A256,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6" s="265">
        <f t="array" ref="D256">IFerror(INDEX(Papers!F$2:F$998,MATCH($A256, Papers!$A$2:$A$998,0)),"")</f>
        <v>2019</v>
      </c>
      <c r="E256" s="265">
        <f t="array" ref="E256">IFerror(INDEX(Papers!G$2:G$998,MATCH($A256, Papers!$A$2:$A$998,0)),"")</f>
        <v>2017</v>
      </c>
      <c r="F256" s="265" t="s">
        <v>257</v>
      </c>
      <c r="G256" s="266" t="s">
        <v>11</v>
      </c>
      <c r="H256" s="282" t="s">
        <v>293</v>
      </c>
      <c r="I256" s="321" t="s">
        <v>494</v>
      </c>
      <c r="J256" s="268" t="s">
        <v>499</v>
      </c>
      <c r="K256" s="314"/>
      <c r="L256" s="287">
        <f>7/618</f>
        <v>0.01132686084</v>
      </c>
      <c r="M256" s="318">
        <f>38/336</f>
        <v>0.1130952381</v>
      </c>
      <c r="N256" s="287"/>
      <c r="O256" s="271">
        <f t="shared" si="21"/>
        <v>-0.1017683773</v>
      </c>
    </row>
    <row r="257">
      <c r="A257" s="272">
        <v>25.0</v>
      </c>
      <c r="B257" s="273" t="str">
        <f t="array" ref="B257">IFerror(INDEX(Papers!C$2:C$998,MATCH($A257,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7" s="273" t="str">
        <f t="array" ref="C257">IFerror(INDEX(Papers!D$2:D$998,MATCH($A257,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7" s="274">
        <f t="array" ref="D257">IFerror(INDEX(Papers!F$2:F$998,MATCH($A257, Papers!$A$2:$A$998,0)),"")</f>
        <v>2019</v>
      </c>
      <c r="E257" s="274">
        <f t="array" ref="E257">IFerror(INDEX(Papers!G$2:G$998,MATCH($A257, Papers!$A$2:$A$998,0)),"")</f>
        <v>2017</v>
      </c>
      <c r="F257" s="274" t="s">
        <v>238</v>
      </c>
      <c r="G257" s="275" t="s">
        <v>9</v>
      </c>
      <c r="H257" s="277" t="s">
        <v>293</v>
      </c>
      <c r="I257" s="277" t="s">
        <v>493</v>
      </c>
      <c r="J257" s="278" t="s">
        <v>499</v>
      </c>
      <c r="K257" s="312"/>
      <c r="L257" s="286">
        <f>148/476</f>
        <v>0.3109243697</v>
      </c>
      <c r="M257" s="316">
        <f>59/147</f>
        <v>0.4013605442</v>
      </c>
      <c r="N257" s="286"/>
      <c r="O257" s="281">
        <f t="shared" si="21"/>
        <v>-0.09043617447</v>
      </c>
    </row>
    <row r="258">
      <c r="A258" s="263">
        <v>25.0</v>
      </c>
      <c r="B258" s="264" t="str">
        <f t="array" ref="B258">IFerror(INDEX(Papers!C$2:C$998,MATCH($A258,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8" s="264" t="str">
        <f t="array" ref="C258">IFerror(INDEX(Papers!D$2:D$998,MATCH($A258,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8" s="265">
        <f t="array" ref="D258">IFerror(INDEX(Papers!F$2:F$998,MATCH($A258, Papers!$A$2:$A$998,0)),"")</f>
        <v>2019</v>
      </c>
      <c r="E258" s="265">
        <f t="array" ref="E258">IFerror(INDEX(Papers!G$2:G$998,MATCH($A258, Papers!$A$2:$A$998,0)),"")</f>
        <v>2017</v>
      </c>
      <c r="F258" s="265" t="s">
        <v>238</v>
      </c>
      <c r="G258" s="266" t="s">
        <v>11</v>
      </c>
      <c r="H258" s="282" t="s">
        <v>293</v>
      </c>
      <c r="I258" s="321" t="s">
        <v>494</v>
      </c>
      <c r="J258" s="268" t="s">
        <v>499</v>
      </c>
      <c r="K258" s="314"/>
      <c r="L258" s="287">
        <f>239/618</f>
        <v>0.3867313916</v>
      </c>
      <c r="M258" s="318">
        <f>162/349</f>
        <v>0.4641833811</v>
      </c>
      <c r="N258" s="287"/>
      <c r="O258" s="271">
        <f t="shared" si="21"/>
        <v>-0.0774519895</v>
      </c>
    </row>
    <row r="259">
      <c r="A259" s="272">
        <v>25.0</v>
      </c>
      <c r="B259" s="273" t="str">
        <f t="array" ref="B259">IFerror(INDEX(Papers!C$2:C$998,MATCH($A259, Papers!$A$2:$A$998,0)),"")</f>
        <v>Does mobile phone survey method matter? Reliability of computer-assisted telephone interviews and interactive voice response non-communicable diseases risk factor surveys in low and middle income countries</v>
      </c>
      <c r="C259" s="273" t="str">
        <f t="array" ref="C259">IFerror(INDEX(Papers!D$2:D$998,MATCH($A259, Papers!$A$2:$A$998,0)),"")</f>
        <v>George Pariyo, Abigail Greenleaf, Dustin Gibson, Joseph Ali, Hannah Selig, Alain Labrique, Ghlam Muhammed Al Kibria, Iqbal Ansary Khan, Honorati Masanja,Meerjady Sabrina Flora, Saifuddin Ahmed, Adnan Hyder</v>
      </c>
      <c r="D259" s="274">
        <f t="array" ref="D259">IFerror(INDEX(Papers!F$2:F$998,MATCH($A259, Papers!$A$2:$A$998,0)),"")</f>
        <v>2019</v>
      </c>
      <c r="E259" s="274">
        <f t="array" ref="E259">IFerror(INDEX(Papers!G$2:G$998,MATCH($A259, Papers!$A$2:$A$998,0)),"")</f>
        <v>2017</v>
      </c>
      <c r="F259" s="274" t="s">
        <v>257</v>
      </c>
      <c r="G259" s="275" t="s">
        <v>9</v>
      </c>
      <c r="H259" s="277" t="s">
        <v>293</v>
      </c>
      <c r="I259" s="277" t="s">
        <v>493</v>
      </c>
      <c r="J259" s="278" t="s">
        <v>499</v>
      </c>
      <c r="K259" s="312"/>
      <c r="L259" s="286">
        <f>28/385</f>
        <v>0.07272727273</v>
      </c>
      <c r="M259" s="316">
        <f>14/159</f>
        <v>0.08805031447</v>
      </c>
      <c r="N259" s="286"/>
      <c r="O259" s="281">
        <f t="shared" si="21"/>
        <v>-0.01532304174</v>
      </c>
    </row>
    <row r="260">
      <c r="A260" s="263">
        <v>25.0</v>
      </c>
      <c r="B260" s="264" t="str">
        <f t="array" ref="B260">IFerror(INDEX(Papers!C$2:C$998,MATCH($A260,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0" s="264" t="str">
        <f t="array" ref="C260">IFerror(INDEX(Papers!D$2:D$998,MATCH($A260,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0" s="265">
        <f t="array" ref="D260">IFerror(INDEX(Papers!F$2:F$998,MATCH($A260, Papers!$A$2:$A$998,0)),"")</f>
        <v>2019</v>
      </c>
      <c r="E260" s="265">
        <f t="array" ref="E260">IFerror(INDEX(Papers!G$2:G$998,MATCH($A260, Papers!$A$2:$A$998,0)),"")</f>
        <v>2017</v>
      </c>
      <c r="F260" s="265" t="s">
        <v>257</v>
      </c>
      <c r="G260" s="266" t="s">
        <v>11</v>
      </c>
      <c r="H260" s="282" t="s">
        <v>293</v>
      </c>
      <c r="I260" s="321" t="s">
        <v>494</v>
      </c>
      <c r="J260" s="268" t="s">
        <v>424</v>
      </c>
      <c r="K260" s="314"/>
      <c r="L260" s="287">
        <f>178/672</f>
        <v>0.2648809524</v>
      </c>
      <c r="M260" s="271">
        <f>89/336</f>
        <v>0.2648809524</v>
      </c>
      <c r="N260" s="271" t="str">
        <f t="shared" ref="N260:N261" si="22">if(AND(K260&lt;&gt;0,M260&lt;&gt;0),K260-M260,"")</f>
        <v/>
      </c>
      <c r="O260" s="271">
        <f t="shared" si="21"/>
        <v>0</v>
      </c>
    </row>
    <row r="261">
      <c r="A261" s="272">
        <v>25.0</v>
      </c>
      <c r="B261" s="273" t="str">
        <f t="array" ref="B261">IFerror(INDEX(Papers!C$2:C$998,MATCH($A261,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1" s="273" t="str">
        <f t="array" ref="C261">IFerror(INDEX(Papers!D$2:D$998,MATCH($A261,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1" s="274">
        <f t="array" ref="D261">IFerror(INDEX(Papers!F$2:F$998,MATCH($A261, Papers!$A$2:$A$998,0)),"")</f>
        <v>2019</v>
      </c>
      <c r="E261" s="274">
        <f t="array" ref="E261">IFerror(INDEX(Papers!G$2:G$998,MATCH($A261, Papers!$A$2:$A$998,0)),"")</f>
        <v>2017</v>
      </c>
      <c r="F261" s="274" t="s">
        <v>238</v>
      </c>
      <c r="G261" s="275" t="s">
        <v>9</v>
      </c>
      <c r="H261" s="277" t="s">
        <v>293</v>
      </c>
      <c r="I261" s="277" t="s">
        <v>493</v>
      </c>
      <c r="J261" s="278" t="s">
        <v>424</v>
      </c>
      <c r="K261" s="312"/>
      <c r="L261" s="286">
        <f>170/481</f>
        <v>0.3534303534</v>
      </c>
      <c r="M261" s="316">
        <f>42/148</f>
        <v>0.2837837838</v>
      </c>
      <c r="N261" s="286" t="str">
        <f t="shared" si="22"/>
        <v/>
      </c>
      <c r="O261" s="286">
        <f t="shared" si="21"/>
        <v>0.06964656965</v>
      </c>
    </row>
    <row r="262">
      <c r="A262" s="263">
        <v>25.0</v>
      </c>
      <c r="B262" s="264" t="str">
        <f t="array" ref="B262">IFerror(INDEX(Papers!C$2:C$998,MATCH($A262,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2" s="264" t="str">
        <f t="array" ref="C262">IFerror(INDEX(Papers!D$2:D$998,MATCH($A262,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2" s="265">
        <f t="array" ref="D262">IFerror(INDEX(Papers!F$2:F$998,MATCH($A262, Papers!$A$2:$A$998,0)),"")</f>
        <v>2019</v>
      </c>
      <c r="E262" s="265">
        <f t="array" ref="E262">IFerror(INDEX(Papers!G$2:G$998,MATCH($A262, Papers!$A$2:$A$998,0)),"")</f>
        <v>2017</v>
      </c>
      <c r="F262" s="265" t="s">
        <v>238</v>
      </c>
      <c r="G262" s="266" t="s">
        <v>11</v>
      </c>
      <c r="H262" s="282" t="s">
        <v>293</v>
      </c>
      <c r="I262" s="321" t="s">
        <v>494</v>
      </c>
      <c r="J262" s="268" t="s">
        <v>424</v>
      </c>
      <c r="K262" s="310"/>
      <c r="L262" s="287">
        <f>81/636</f>
        <v>0.1273584906</v>
      </c>
      <c r="M262" s="287">
        <f>35/351</f>
        <v>0.09971509972</v>
      </c>
      <c r="N262" s="287"/>
      <c r="O262" s="287">
        <f t="shared" si="21"/>
        <v>0.02764339085</v>
      </c>
    </row>
    <row r="263">
      <c r="A263" s="272">
        <v>25.0</v>
      </c>
      <c r="B263" s="273" t="str">
        <f t="array" ref="B263">IFerror(INDEX(Papers!C$2:C$998,MATCH($A263,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3" s="273" t="str">
        <f t="array" ref="C263">IFerror(INDEX(Papers!D$2:D$998,MATCH($A263,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3" s="274">
        <f t="array" ref="D263">IFerror(INDEX(Papers!F$2:F$998,MATCH($A263, Papers!$A$2:$A$998,0)),"")</f>
        <v>2019</v>
      </c>
      <c r="E263" s="274">
        <f t="array" ref="E263">IFerror(INDEX(Papers!G$2:G$998,MATCH($A263, Papers!$A$2:$A$998,0)),"")</f>
        <v>2017</v>
      </c>
      <c r="F263" s="274" t="s">
        <v>257</v>
      </c>
      <c r="G263" s="275" t="s">
        <v>9</v>
      </c>
      <c r="H263" s="277" t="s">
        <v>293</v>
      </c>
      <c r="I263" s="277" t="s">
        <v>493</v>
      </c>
      <c r="J263" s="278" t="s">
        <v>424</v>
      </c>
      <c r="K263" s="312"/>
      <c r="L263" s="286">
        <f>143/387</f>
        <v>0.3695090439</v>
      </c>
      <c r="M263" s="281">
        <f>45/164</f>
        <v>0.2743902439</v>
      </c>
      <c r="N263" s="286"/>
      <c r="O263" s="286">
        <f t="shared" si="21"/>
        <v>0.09511880003</v>
      </c>
    </row>
    <row r="264">
      <c r="A264" s="263">
        <v>25.0</v>
      </c>
      <c r="B264" s="264" t="str">
        <f t="array" ref="B264">IFerror(INDEX(Papers!C$2:C$998,MATCH($A264,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4" s="264" t="str">
        <f t="array" ref="C264">IFerror(INDEX(Papers!D$2:D$998,MATCH($A264,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4" s="265">
        <f t="array" ref="D264">IFerror(INDEX(Papers!F$2:F$998,MATCH($A264, Papers!$A$2:$A$998,0)),"")</f>
        <v>2019</v>
      </c>
      <c r="E264" s="265">
        <f t="array" ref="E264">IFerror(INDEX(Papers!G$2:G$998,MATCH($A264, Papers!$A$2:$A$998,0)),"")</f>
        <v>2017</v>
      </c>
      <c r="F264" s="265" t="s">
        <v>257</v>
      </c>
      <c r="G264" s="266" t="s">
        <v>11</v>
      </c>
      <c r="H264" s="282" t="s">
        <v>293</v>
      </c>
      <c r="I264" s="321" t="s">
        <v>494</v>
      </c>
      <c r="J264" s="268" t="s">
        <v>427</v>
      </c>
      <c r="K264" s="314"/>
      <c r="L264" s="318">
        <f>385/659</f>
        <v>0.5842185129</v>
      </c>
      <c r="M264" s="285">
        <f>217/336</f>
        <v>0.6458333333</v>
      </c>
      <c r="N264" s="271"/>
      <c r="O264" s="271">
        <f t="shared" si="21"/>
        <v>-0.06161482044</v>
      </c>
    </row>
    <row r="265">
      <c r="A265" s="272">
        <v>25.0</v>
      </c>
      <c r="B265" s="273" t="str">
        <f t="array" ref="B265">IFerror(INDEX(Papers!C$2:C$998,MATCH($A265,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5" s="273" t="str">
        <f t="array" ref="C265">IFerror(INDEX(Papers!D$2:D$998,MATCH($A265,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5" s="274">
        <f t="array" ref="D265">IFerror(INDEX(Papers!F$2:F$998,MATCH($A265, Papers!$A$2:$A$998,0)),"")</f>
        <v>2019</v>
      </c>
      <c r="E265" s="274">
        <f t="array" ref="E265">IFerror(INDEX(Papers!G$2:G$998,MATCH($A265, Papers!$A$2:$A$998,0)),"")</f>
        <v>2017</v>
      </c>
      <c r="F265" s="274" t="s">
        <v>238</v>
      </c>
      <c r="G265" s="275" t="s">
        <v>9</v>
      </c>
      <c r="H265" s="277" t="s">
        <v>293</v>
      </c>
      <c r="I265" s="277" t="s">
        <v>493</v>
      </c>
      <c r="J265" s="278" t="s">
        <v>427</v>
      </c>
      <c r="K265" s="312"/>
      <c r="L265" s="286">
        <f>192/479</f>
        <v>0.4008350731</v>
      </c>
      <c r="M265" s="286">
        <f>64/147</f>
        <v>0.4353741497</v>
      </c>
      <c r="N265" s="286"/>
      <c r="O265" s="286">
        <f t="shared" si="21"/>
        <v>-0.03453907659</v>
      </c>
    </row>
    <row r="266">
      <c r="A266" s="263">
        <v>25.0</v>
      </c>
      <c r="B266" s="264" t="str">
        <f t="array" ref="B266">IFerror(INDEX(Papers!C$2:C$998,MATCH($A266,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6" s="264" t="str">
        <f t="array" ref="C266">IFerror(INDEX(Papers!D$2:D$998,MATCH($A266,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6" s="265">
        <f t="array" ref="D266">IFerror(INDEX(Papers!F$2:F$998,MATCH($A266, Papers!$A$2:$A$998,0)),"")</f>
        <v>2019</v>
      </c>
      <c r="E266" s="265">
        <f t="array" ref="E266">IFerror(INDEX(Papers!G$2:G$998,MATCH($A266, Papers!$A$2:$A$998,0)),"")</f>
        <v>2017</v>
      </c>
      <c r="F266" s="265" t="s">
        <v>238</v>
      </c>
      <c r="G266" s="266" t="s">
        <v>11</v>
      </c>
      <c r="H266" s="282" t="s">
        <v>293</v>
      </c>
      <c r="I266" s="321" t="s">
        <v>494</v>
      </c>
      <c r="J266" s="268" t="s">
        <v>427</v>
      </c>
      <c r="K266" s="314"/>
      <c r="L266" s="318">
        <f>372/626</f>
        <v>0.5942492013</v>
      </c>
      <c r="M266" s="318">
        <f>209/351</f>
        <v>0.5954415954</v>
      </c>
      <c r="N266" s="287"/>
      <c r="O266" s="287">
        <f t="shared" si="21"/>
        <v>-0.001192394164</v>
      </c>
    </row>
    <row r="267">
      <c r="A267" s="272">
        <v>25.0</v>
      </c>
      <c r="B267" s="273" t="str">
        <f t="array" ref="B267">IFerror(INDEX(Papers!C$2:C$998,MATCH($A267, Papers!$A$2:$A$998,0)),"")</f>
        <v>Does mobile phone survey method matter? Reliability of computer-assisted telephone interviews and interactive voice response non-communicable diseases risk factor surveys in low and middle income countries</v>
      </c>
      <c r="C267" s="273" t="str">
        <f t="array" ref="C267">IFerror(INDEX(Papers!D$2:D$998,MATCH($A267, Papers!$A$2:$A$998,0)),"")</f>
        <v>George Pariyo, Abigail Greenleaf, Dustin Gibson, Joseph Ali, Hannah Selig, Alain Labrique, Ghlam Muhammed Al Kibria, Iqbal Ansary Khan, Honorati Masanja,Meerjady Sabrina Flora, Saifuddin Ahmed, Adnan Hyder</v>
      </c>
      <c r="D267" s="274">
        <f t="array" ref="D267">IFerror(INDEX(Papers!F$2:F$998,MATCH($A267, Papers!$A$2:$A$998,0)),"")</f>
        <v>2019</v>
      </c>
      <c r="E267" s="274">
        <f t="array" ref="E267">IFerror(INDEX(Papers!G$2:G$998,MATCH($A267, Papers!$A$2:$A$998,0)),"")</f>
        <v>2017</v>
      </c>
      <c r="F267" s="274" t="s">
        <v>257</v>
      </c>
      <c r="G267" s="275" t="s">
        <v>9</v>
      </c>
      <c r="H267" s="277" t="s">
        <v>293</v>
      </c>
      <c r="I267" s="277" t="s">
        <v>493</v>
      </c>
      <c r="J267" s="278" t="s">
        <v>427</v>
      </c>
      <c r="K267" s="312"/>
      <c r="L267" s="316">
        <f>256/388</f>
        <v>0.6597938144</v>
      </c>
      <c r="M267" s="281">
        <f>106/177</f>
        <v>0.5988700565</v>
      </c>
      <c r="N267" s="286"/>
      <c r="O267" s="286">
        <f t="shared" si="21"/>
        <v>0.06092375794</v>
      </c>
    </row>
    <row r="268">
      <c r="A268" s="263">
        <v>26.0</v>
      </c>
      <c r="B268" s="264" t="str">
        <f t="array" ref="B268">IFerror(INDEX(Papers!C$2:C$998,MATCH($A268, Papers!$A$2:$A$998,0)),"")</f>
        <v>Effect of airtime incentives on response and cooperation rates in non-communicable disease interactive voice response surveys: randomised controlled trials in Bangladesh and Uganda</v>
      </c>
      <c r="C268" s="264" t="str">
        <f t="array" ref="C268">IFerror(INDEX(Papers!D$2:D$998,MATCH($A268, Papers!$A$2:$A$998,0)),"")</f>
        <v>Dustin Gibson, Adaeze Wosu, George Pariyo, Saifuddin Ahmed, Joseph Ali, Alain Labrique, Iqbal Khan, Elizeus Rutebemberwa, Meerjady Flora, and Adnan Hyder. </v>
      </c>
      <c r="D268" s="265">
        <f t="array" ref="D268">IFerror(INDEX(Papers!F$2:F$998,MATCH($A268, Papers!$A$2:$A$998,0)),"")</f>
        <v>2019</v>
      </c>
      <c r="E268" s="265">
        <f t="array" ref="E268">IFerror(INDEX(Papers!G$2:G$998,MATCH($A268, Papers!$A$2:$A$998,0)),"")</f>
        <v>2017</v>
      </c>
      <c r="F268" s="265" t="s">
        <v>238</v>
      </c>
      <c r="G268" s="266" t="s">
        <v>11</v>
      </c>
      <c r="H268" s="282" t="s">
        <v>293</v>
      </c>
      <c r="I268" s="282" t="s">
        <v>500</v>
      </c>
      <c r="J268" s="268" t="s">
        <v>428</v>
      </c>
      <c r="K268" s="289"/>
      <c r="L268" s="318">
        <f t="shared" ref="L268:L269" si="23">236/353</f>
        <v>0.6685552408</v>
      </c>
      <c r="M268" s="318">
        <f>269/370</f>
        <v>0.727027027</v>
      </c>
      <c r="N268" s="271" t="str">
        <f t="shared" ref="N268:N303" si="24">if(AND(K268&lt;&gt;0,M268&lt;&gt;0),K268-M268,"")</f>
        <v/>
      </c>
      <c r="O268" s="271">
        <f t="shared" si="21"/>
        <v>-0.05847178623</v>
      </c>
    </row>
    <row r="269">
      <c r="A269" s="272">
        <v>26.0</v>
      </c>
      <c r="B269" s="273" t="str">
        <f t="array" ref="B269">IFerror(INDEX(Papers!C$2:C$998,MATCH($A269, Papers!$A$2:$A$998,0)),"")</f>
        <v>Effect of airtime incentives on response and cooperation rates in non-communicable disease interactive voice response surveys: randomised controlled trials in Bangladesh and Uganda</v>
      </c>
      <c r="C269" s="273" t="str">
        <f t="array" ref="C269">IFerror(INDEX(Papers!D$2:D$998,MATCH($A269, Papers!$A$2:$A$998,0)),"")</f>
        <v>Dustin Gibson, Adaeze Wosu, George Pariyo, Saifuddin Ahmed, Joseph Ali, Alain Labrique, Iqbal Khan, Elizeus Rutebemberwa, Meerjady Flora, and Adnan Hyder. </v>
      </c>
      <c r="D269" s="274">
        <f t="array" ref="D269">IFerror(INDEX(Papers!F$2:F$998,MATCH($A269, Papers!$A$2:$A$998,0)),"")</f>
        <v>2019</v>
      </c>
      <c r="E269" s="274">
        <f t="array" ref="E269">IFerror(INDEX(Papers!G$2:G$998,MATCH($A269, Papers!$A$2:$A$998,0)),"")</f>
        <v>2017</v>
      </c>
      <c r="F269" s="274" t="s">
        <v>238</v>
      </c>
      <c r="G269" s="275" t="s">
        <v>11</v>
      </c>
      <c r="H269" s="277" t="s">
        <v>293</v>
      </c>
      <c r="I269" s="277" t="s">
        <v>501</v>
      </c>
      <c r="J269" s="278" t="s">
        <v>428</v>
      </c>
      <c r="K269" s="307"/>
      <c r="L269" s="316">
        <f t="shared" si="23"/>
        <v>0.6685552408</v>
      </c>
      <c r="M269" s="316">
        <f>254/362</f>
        <v>0.7016574586</v>
      </c>
      <c r="N269" s="281" t="str">
        <f t="shared" si="24"/>
        <v/>
      </c>
      <c r="O269" s="281">
        <f t="shared" si="21"/>
        <v>-0.03310221777</v>
      </c>
    </row>
    <row r="270">
      <c r="A270" s="263">
        <v>26.0</v>
      </c>
      <c r="B270" s="264" t="str">
        <f t="array" ref="B270">IFerror(INDEX(Papers!C$2:C$998,MATCH($A270, Papers!$A$2:$A$998,0)),"")</f>
        <v>Effect of airtime incentives on response and cooperation rates in non-communicable disease interactive voice response surveys: randomised controlled trials in Bangladesh and Uganda</v>
      </c>
      <c r="C270" s="264" t="str">
        <f t="array" ref="C270">IFerror(INDEX(Papers!D$2:D$998,MATCH($A270, Papers!$A$2:$A$998,0)),"")</f>
        <v>Dustin Gibson, Adaeze Wosu, George Pariyo, Saifuddin Ahmed, Joseph Ali, Alain Labrique, Iqbal Khan, Elizeus Rutebemberwa, Meerjady Flora, and Adnan Hyder. </v>
      </c>
      <c r="D270" s="265">
        <f t="array" ref="D270">IFerror(INDEX(Papers!F$2:F$998,MATCH($A270, Papers!$A$2:$A$998,0)),"")</f>
        <v>2019</v>
      </c>
      <c r="E270" s="265">
        <f t="array" ref="E270">IFerror(INDEX(Papers!G$2:G$998,MATCH($A270, Papers!$A$2:$A$998,0)),"")</f>
        <v>2017</v>
      </c>
      <c r="F270" s="265" t="s">
        <v>258</v>
      </c>
      <c r="G270" s="266" t="s">
        <v>11</v>
      </c>
      <c r="H270" s="282" t="s">
        <v>293</v>
      </c>
      <c r="I270" s="282" t="s">
        <v>502</v>
      </c>
      <c r="J270" s="268" t="s">
        <v>428</v>
      </c>
      <c r="K270" s="289"/>
      <c r="L270" s="318">
        <f>281/377</f>
        <v>0.7453580902</v>
      </c>
      <c r="M270" s="318">
        <f>306/404</f>
        <v>0.7574257426</v>
      </c>
      <c r="N270" s="271" t="str">
        <f t="shared" si="24"/>
        <v/>
      </c>
      <c r="O270" s="271">
        <f t="shared" si="21"/>
        <v>-0.01206765239</v>
      </c>
    </row>
    <row r="271">
      <c r="A271" s="272">
        <v>26.0</v>
      </c>
      <c r="B271" s="273" t="str">
        <f t="array" ref="B271">IFerror(INDEX(Papers!C$2:C$998,MATCH($A271, Papers!$A$2:$A$998,0)),"")</f>
        <v>Effect of airtime incentives on response and cooperation rates in non-communicable disease interactive voice response surveys: randomised controlled trials in Bangladesh and Uganda</v>
      </c>
      <c r="C271" s="273" t="str">
        <f t="array" ref="C271">IFerror(INDEX(Papers!D$2:D$998,MATCH($A271, Papers!$A$2:$A$998,0)),"")</f>
        <v>Dustin Gibson, Adaeze Wosu, George Pariyo, Saifuddin Ahmed, Joseph Ali, Alain Labrique, Iqbal Khan, Elizeus Rutebemberwa, Meerjady Flora, and Adnan Hyder. </v>
      </c>
      <c r="D271" s="274">
        <f t="array" ref="D271">IFerror(INDEX(Papers!F$2:F$998,MATCH($A271, Papers!$A$2:$A$998,0)),"")</f>
        <v>2019</v>
      </c>
      <c r="E271" s="274">
        <f t="array" ref="E271">IFerror(INDEX(Papers!G$2:G$998,MATCH($A271, Papers!$A$2:$A$998,0)),"")</f>
        <v>2017</v>
      </c>
      <c r="F271" s="274" t="s">
        <v>258</v>
      </c>
      <c r="G271" s="275" t="s">
        <v>11</v>
      </c>
      <c r="H271" s="277" t="s">
        <v>293</v>
      </c>
      <c r="I271" s="277" t="s">
        <v>503</v>
      </c>
      <c r="J271" s="278" t="s">
        <v>428</v>
      </c>
      <c r="K271" s="307"/>
      <c r="L271" s="316">
        <f>281/371</f>
        <v>0.7574123989</v>
      </c>
      <c r="M271" s="316">
        <f>313/408</f>
        <v>0.7671568627</v>
      </c>
      <c r="N271" s="281" t="str">
        <f t="shared" si="24"/>
        <v/>
      </c>
      <c r="O271" s="281">
        <f t="shared" si="21"/>
        <v>-0.009744463823</v>
      </c>
    </row>
    <row r="272">
      <c r="A272" s="263">
        <v>26.0</v>
      </c>
      <c r="B272" s="264" t="str">
        <f t="array" ref="B272">IFerror(INDEX(Papers!C$2:C$998,MATCH($A272, Papers!$A$2:$A$998,0)),"")</f>
        <v>Effect of airtime incentives on response and cooperation rates in non-communicable disease interactive voice response surveys: randomised controlled trials in Bangladesh and Uganda</v>
      </c>
      <c r="C272" s="264" t="str">
        <f t="array" ref="C272">IFerror(INDEX(Papers!D$2:D$998,MATCH($A272, Papers!$A$2:$A$998,0)),"")</f>
        <v>Dustin Gibson, Adaeze Wosu, George Pariyo, Saifuddin Ahmed, Joseph Ali, Alain Labrique, Iqbal Khan, Elizeus Rutebemberwa, Meerjady Flora, and Adnan Hyder. </v>
      </c>
      <c r="D272" s="265">
        <f t="array" ref="D272">IFerror(INDEX(Papers!F$2:F$998,MATCH($A272, Papers!$A$2:$A$998,0)),"")</f>
        <v>2019</v>
      </c>
      <c r="E272" s="265">
        <f t="array" ref="E272">IFerror(INDEX(Papers!G$2:G$998,MATCH($A272, Papers!$A$2:$A$998,0)),"")</f>
        <v>2017</v>
      </c>
      <c r="F272" s="265" t="s">
        <v>258</v>
      </c>
      <c r="G272" s="266" t="s">
        <v>11</v>
      </c>
      <c r="H272" s="282" t="s">
        <v>293</v>
      </c>
      <c r="I272" s="282" t="s">
        <v>503</v>
      </c>
      <c r="J272" s="268" t="s">
        <v>495</v>
      </c>
      <c r="K272" s="289"/>
      <c r="L272" s="318">
        <f>83/371</f>
        <v>0.2237196765</v>
      </c>
      <c r="M272" s="318">
        <f>84/408</f>
        <v>0.2058823529</v>
      </c>
      <c r="N272" s="271" t="str">
        <f t="shared" si="24"/>
        <v/>
      </c>
      <c r="O272" s="271">
        <f t="shared" si="21"/>
        <v>0.01783732361</v>
      </c>
    </row>
    <row r="273">
      <c r="A273" s="272">
        <v>26.0</v>
      </c>
      <c r="B273" s="273" t="str">
        <f t="array" ref="B273">IFerror(INDEX(Papers!C$2:C$998,MATCH($A273, Papers!$A$2:$A$998,0)),"")</f>
        <v>Effect of airtime incentives on response and cooperation rates in non-communicable disease interactive voice response surveys: randomised controlled trials in Bangladesh and Uganda</v>
      </c>
      <c r="C273" s="273" t="str">
        <f t="array" ref="C273">IFerror(INDEX(Papers!D$2:D$998,MATCH($A273, Papers!$A$2:$A$998,0)),"")</f>
        <v>Dustin Gibson, Adaeze Wosu, George Pariyo, Saifuddin Ahmed, Joseph Ali, Alain Labrique, Iqbal Khan, Elizeus Rutebemberwa, Meerjady Flora, and Adnan Hyder. </v>
      </c>
      <c r="D273" s="274">
        <f t="array" ref="D273">IFerror(INDEX(Papers!F$2:F$998,MATCH($A273, Papers!$A$2:$A$998,0)),"")</f>
        <v>2019</v>
      </c>
      <c r="E273" s="274">
        <f t="array" ref="E273">IFerror(INDEX(Papers!G$2:G$998,MATCH($A273, Papers!$A$2:$A$998,0)),"")</f>
        <v>2017</v>
      </c>
      <c r="F273" s="274" t="s">
        <v>258</v>
      </c>
      <c r="G273" s="275" t="s">
        <v>11</v>
      </c>
      <c r="H273" s="277" t="s">
        <v>293</v>
      </c>
      <c r="I273" s="277" t="s">
        <v>502</v>
      </c>
      <c r="J273" s="278" t="s">
        <v>495</v>
      </c>
      <c r="K273" s="307"/>
      <c r="L273" s="316">
        <f>83/377</f>
        <v>0.2201591512</v>
      </c>
      <c r="M273" s="316">
        <f>79/404</f>
        <v>0.1955445545</v>
      </c>
      <c r="N273" s="281" t="str">
        <f t="shared" si="24"/>
        <v/>
      </c>
      <c r="O273" s="281">
        <f t="shared" si="21"/>
        <v>0.02461459674</v>
      </c>
    </row>
    <row r="274">
      <c r="A274" s="263">
        <v>26.0</v>
      </c>
      <c r="B274" s="264" t="str">
        <f t="array" ref="B274">IFerror(INDEX(Papers!C$2:C$998,MATCH($A274, Papers!$A$2:$A$998,0)),"")</f>
        <v>Effect of airtime incentives on response and cooperation rates in non-communicable disease interactive voice response surveys: randomised controlled trials in Bangladesh and Uganda</v>
      </c>
      <c r="C274" s="264" t="str">
        <f t="array" ref="C274">IFerror(INDEX(Papers!D$2:D$998,MATCH($A274, Papers!$A$2:$A$998,0)),"")</f>
        <v>Dustin Gibson, Adaeze Wosu, George Pariyo, Saifuddin Ahmed, Joseph Ali, Alain Labrique, Iqbal Khan, Elizeus Rutebemberwa, Meerjady Flora, and Adnan Hyder. </v>
      </c>
      <c r="D274" s="265">
        <f t="array" ref="D274">IFerror(INDEX(Papers!F$2:F$998,MATCH($A274, Papers!$A$2:$A$998,0)),"")</f>
        <v>2019</v>
      </c>
      <c r="E274" s="265">
        <f t="array" ref="E274">IFerror(INDEX(Papers!G$2:G$998,MATCH($A274, Papers!$A$2:$A$998,0)),"")</f>
        <v>2017</v>
      </c>
      <c r="F274" s="265" t="s">
        <v>238</v>
      </c>
      <c r="G274" s="266" t="s">
        <v>11</v>
      </c>
      <c r="H274" s="282" t="s">
        <v>293</v>
      </c>
      <c r="I274" s="282" t="s">
        <v>501</v>
      </c>
      <c r="J274" s="268" t="s">
        <v>495</v>
      </c>
      <c r="K274" s="289"/>
      <c r="L274" s="318">
        <f t="shared" ref="L274:L275" si="25">99/353</f>
        <v>0.2804532578</v>
      </c>
      <c r="M274" s="318">
        <f>89/362</f>
        <v>0.2458563536</v>
      </c>
      <c r="N274" s="271" t="str">
        <f t="shared" si="24"/>
        <v/>
      </c>
      <c r="O274" s="271">
        <f t="shared" si="21"/>
        <v>0.0345969042</v>
      </c>
    </row>
    <row r="275">
      <c r="A275" s="272">
        <v>26.0</v>
      </c>
      <c r="B275" s="273" t="str">
        <f t="array" ref="B275">IFerror(INDEX(Papers!C$2:C$998,MATCH($A275, Papers!$A$2:$A$998,0)),"")</f>
        <v>Effect of airtime incentives on response and cooperation rates in non-communicable disease interactive voice response surveys: randomised controlled trials in Bangladesh and Uganda</v>
      </c>
      <c r="C275" s="273" t="str">
        <f t="array" ref="C275">IFerror(INDEX(Papers!D$2:D$998,MATCH($A275, Papers!$A$2:$A$998,0)),"")</f>
        <v>Dustin Gibson, Adaeze Wosu, George Pariyo, Saifuddin Ahmed, Joseph Ali, Alain Labrique, Iqbal Khan, Elizeus Rutebemberwa, Meerjady Flora, and Adnan Hyder. </v>
      </c>
      <c r="D275" s="274">
        <f t="array" ref="D275">IFerror(INDEX(Papers!F$2:F$998,MATCH($A275, Papers!$A$2:$A$998,0)),"")</f>
        <v>2019</v>
      </c>
      <c r="E275" s="274">
        <f t="array" ref="E275">IFerror(INDEX(Papers!G$2:G$998,MATCH($A275, Papers!$A$2:$A$998,0)),"")</f>
        <v>2017</v>
      </c>
      <c r="F275" s="274" t="s">
        <v>238</v>
      </c>
      <c r="G275" s="275" t="s">
        <v>11</v>
      </c>
      <c r="H275" s="277" t="s">
        <v>293</v>
      </c>
      <c r="I275" s="277" t="s">
        <v>500</v>
      </c>
      <c r="J275" s="278" t="s">
        <v>495</v>
      </c>
      <c r="K275" s="307"/>
      <c r="L275" s="316">
        <f t="shared" si="25"/>
        <v>0.2804532578</v>
      </c>
      <c r="M275" s="316">
        <f>85/370</f>
        <v>0.2297297297</v>
      </c>
      <c r="N275" s="281" t="str">
        <f t="shared" si="24"/>
        <v/>
      </c>
      <c r="O275" s="281">
        <f t="shared" si="21"/>
        <v>0.05072352806</v>
      </c>
    </row>
    <row r="276">
      <c r="A276" s="263">
        <v>26.0</v>
      </c>
      <c r="B276" s="264" t="str">
        <f t="array" ref="B276">IFerror(INDEX(Papers!C$2:C$998,MATCH($A276, Papers!$A$2:$A$998,0)),"")</f>
        <v>Effect of airtime incentives on response and cooperation rates in non-communicable disease interactive voice response surveys: randomised controlled trials in Bangladesh and Uganda</v>
      </c>
      <c r="C276" s="264" t="str">
        <f t="array" ref="C276">IFerror(INDEX(Papers!D$2:D$998,MATCH($A276, Papers!$A$2:$A$998,0)),"")</f>
        <v>Dustin Gibson, Adaeze Wosu, George Pariyo, Saifuddin Ahmed, Joseph Ali, Alain Labrique, Iqbal Khan, Elizeus Rutebemberwa, Meerjady Flora, and Adnan Hyder. </v>
      </c>
      <c r="D276" s="265">
        <f t="array" ref="D276">IFerror(INDEX(Papers!F$2:F$998,MATCH($A276, Papers!$A$2:$A$998,0)),"")</f>
        <v>2019</v>
      </c>
      <c r="E276" s="265">
        <f t="array" ref="E276">IFerror(INDEX(Papers!G$2:G$998,MATCH($A276, Papers!$A$2:$A$998,0)),"")</f>
        <v>2017</v>
      </c>
      <c r="F276" s="265" t="s">
        <v>238</v>
      </c>
      <c r="G276" s="266" t="s">
        <v>11</v>
      </c>
      <c r="H276" s="282" t="s">
        <v>293</v>
      </c>
      <c r="I276" s="282" t="s">
        <v>500</v>
      </c>
      <c r="J276" s="268" t="s">
        <v>496</v>
      </c>
      <c r="K276" s="289"/>
      <c r="L276" s="318">
        <f t="shared" ref="L276:L277" si="26">8/353</f>
        <v>0.02266288952</v>
      </c>
      <c r="M276" s="318">
        <f>10/370</f>
        <v>0.02702702703</v>
      </c>
      <c r="N276" s="271" t="str">
        <f t="shared" si="24"/>
        <v/>
      </c>
      <c r="O276" s="271">
        <f t="shared" si="21"/>
        <v>-0.004364137509</v>
      </c>
    </row>
    <row r="277">
      <c r="A277" s="272">
        <v>26.0</v>
      </c>
      <c r="B277" s="273" t="str">
        <f t="array" ref="B277">IFerror(INDEX(Papers!C$2:C$998,MATCH($A277, Papers!$A$2:$A$998,0)),"")</f>
        <v>Effect of airtime incentives on response and cooperation rates in non-communicable disease interactive voice response surveys: randomised controlled trials in Bangladesh and Uganda</v>
      </c>
      <c r="C277" s="273" t="str">
        <f t="array" ref="C277">IFerror(INDEX(Papers!D$2:D$998,MATCH($A277, Papers!$A$2:$A$998,0)),"")</f>
        <v>Dustin Gibson, Adaeze Wosu, George Pariyo, Saifuddin Ahmed, Joseph Ali, Alain Labrique, Iqbal Khan, Elizeus Rutebemberwa, Meerjady Flora, and Adnan Hyder. </v>
      </c>
      <c r="D277" s="274">
        <f t="array" ref="D277">IFerror(INDEX(Papers!F$2:F$998,MATCH($A277, Papers!$A$2:$A$998,0)),"")</f>
        <v>2019</v>
      </c>
      <c r="E277" s="274">
        <f t="array" ref="E277">IFerror(INDEX(Papers!G$2:G$998,MATCH($A277, Papers!$A$2:$A$998,0)),"")</f>
        <v>2017</v>
      </c>
      <c r="F277" s="274" t="s">
        <v>238</v>
      </c>
      <c r="G277" s="275" t="s">
        <v>11</v>
      </c>
      <c r="H277" s="277" t="s">
        <v>293</v>
      </c>
      <c r="I277" s="277" t="s">
        <v>501</v>
      </c>
      <c r="J277" s="278" t="s">
        <v>496</v>
      </c>
      <c r="K277" s="307"/>
      <c r="L277" s="316">
        <f t="shared" si="26"/>
        <v>0.02266288952</v>
      </c>
      <c r="M277" s="316">
        <f>7/362</f>
        <v>0.01933701657</v>
      </c>
      <c r="N277" s="281" t="str">
        <f t="shared" si="24"/>
        <v/>
      </c>
      <c r="O277" s="281">
        <f t="shared" si="21"/>
        <v>0.003325872944</v>
      </c>
    </row>
    <row r="278">
      <c r="A278" s="263">
        <v>26.0</v>
      </c>
      <c r="B278" s="264" t="str">
        <f t="array" ref="B278">IFerror(INDEX(Papers!C$2:C$998,MATCH($A278, Papers!$A$2:$A$998,0)),"")</f>
        <v>Effect of airtime incentives on response and cooperation rates in non-communicable disease interactive voice response surveys: randomised controlled trials in Bangladesh and Uganda</v>
      </c>
      <c r="C278" s="264" t="str">
        <f t="array" ref="C278">IFerror(INDEX(Papers!D$2:D$998,MATCH($A278, Papers!$A$2:$A$998,0)),"")</f>
        <v>Dustin Gibson, Adaeze Wosu, George Pariyo, Saifuddin Ahmed, Joseph Ali, Alain Labrique, Iqbal Khan, Elizeus Rutebemberwa, Meerjady Flora, and Adnan Hyder. </v>
      </c>
      <c r="D278" s="265">
        <f t="array" ref="D278">IFerror(INDEX(Papers!F$2:F$998,MATCH($A278, Papers!$A$2:$A$998,0)),"")</f>
        <v>2019</v>
      </c>
      <c r="E278" s="265">
        <f t="array" ref="E278">IFerror(INDEX(Papers!G$2:G$998,MATCH($A278, Papers!$A$2:$A$998,0)),"")</f>
        <v>2017</v>
      </c>
      <c r="F278" s="265" t="s">
        <v>258</v>
      </c>
      <c r="G278" s="266" t="s">
        <v>11</v>
      </c>
      <c r="H278" s="282" t="s">
        <v>293</v>
      </c>
      <c r="I278" s="282" t="s">
        <v>502</v>
      </c>
      <c r="J278" s="268" t="s">
        <v>496</v>
      </c>
      <c r="K278" s="289"/>
      <c r="L278" s="318">
        <f t="shared" ref="L278:L279" si="27">6/371</f>
        <v>0.01617250674</v>
      </c>
      <c r="M278" s="318">
        <f>5/391</f>
        <v>0.01278772379</v>
      </c>
      <c r="N278" s="271" t="str">
        <f t="shared" si="24"/>
        <v/>
      </c>
      <c r="O278" s="271">
        <f t="shared" si="21"/>
        <v>0.003384782953</v>
      </c>
    </row>
    <row r="279">
      <c r="A279" s="272">
        <v>26.0</v>
      </c>
      <c r="B279" s="273" t="str">
        <f t="array" ref="B279">IFerror(INDEX(Papers!C$2:C$998,MATCH($A279, Papers!$A$2:$A$998,0)),"")</f>
        <v>Effect of airtime incentives on response and cooperation rates in non-communicable disease interactive voice response surveys: randomised controlled trials in Bangladesh and Uganda</v>
      </c>
      <c r="C279" s="273" t="str">
        <f t="array" ref="C279">IFerror(INDEX(Papers!D$2:D$998,MATCH($A279, Papers!$A$2:$A$998,0)),"")</f>
        <v>Dustin Gibson, Adaeze Wosu, George Pariyo, Saifuddin Ahmed, Joseph Ali, Alain Labrique, Iqbal Khan, Elizeus Rutebemberwa, Meerjady Flora, and Adnan Hyder. </v>
      </c>
      <c r="D279" s="274">
        <f t="array" ref="D279">IFerror(INDEX(Papers!F$2:F$998,MATCH($A279, Papers!$A$2:$A$998,0)),"")</f>
        <v>2019</v>
      </c>
      <c r="E279" s="274">
        <f t="array" ref="E279">IFerror(INDEX(Papers!G$2:G$998,MATCH($A279, Papers!$A$2:$A$998,0)),"")</f>
        <v>2017</v>
      </c>
      <c r="F279" s="274" t="s">
        <v>258</v>
      </c>
      <c r="G279" s="275" t="s">
        <v>11</v>
      </c>
      <c r="H279" s="277" t="s">
        <v>293</v>
      </c>
      <c r="I279" s="277" t="s">
        <v>503</v>
      </c>
      <c r="J279" s="278" t="s">
        <v>496</v>
      </c>
      <c r="K279" s="307"/>
      <c r="L279" s="316">
        <f t="shared" si="27"/>
        <v>0.01617250674</v>
      </c>
      <c r="M279" s="316">
        <f>5/408</f>
        <v>0.01225490196</v>
      </c>
      <c r="N279" s="281" t="str">
        <f t="shared" si="24"/>
        <v/>
      </c>
      <c r="O279" s="281">
        <f t="shared" si="21"/>
        <v>0.003917604778</v>
      </c>
    </row>
    <row r="280">
      <c r="A280" s="263">
        <v>26.0</v>
      </c>
      <c r="B280" s="264" t="str">
        <f t="array" ref="B280">IFerror(INDEX(Papers!C$2:C$998,MATCH($A280, Papers!$A$2:$A$998,0)),"")</f>
        <v>Effect of airtime incentives on response and cooperation rates in non-communicable disease interactive voice response surveys: randomised controlled trials in Bangladesh and Uganda</v>
      </c>
      <c r="C280" s="264" t="str">
        <f t="array" ref="C280">IFerror(INDEX(Papers!D$2:D$998,MATCH($A280, Papers!$A$2:$A$998,0)),"")</f>
        <v>Dustin Gibson, Adaeze Wosu, George Pariyo, Saifuddin Ahmed, Joseph Ali, Alain Labrique, Iqbal Khan, Elizeus Rutebemberwa, Meerjady Flora, and Adnan Hyder. </v>
      </c>
      <c r="D280" s="265">
        <f t="array" ref="D280">IFerror(INDEX(Papers!F$2:F$998,MATCH($A280, Papers!$A$2:$A$998,0)),"")</f>
        <v>2019</v>
      </c>
      <c r="E280" s="265">
        <f t="array" ref="E280">IFerror(INDEX(Papers!G$2:G$998,MATCH($A280, Papers!$A$2:$A$998,0)),"")</f>
        <v>2017</v>
      </c>
      <c r="F280" s="265" t="s">
        <v>238</v>
      </c>
      <c r="G280" s="266" t="s">
        <v>11</v>
      </c>
      <c r="H280" s="282" t="s">
        <v>293</v>
      </c>
      <c r="I280" s="282" t="s">
        <v>501</v>
      </c>
      <c r="J280" s="268" t="s">
        <v>497</v>
      </c>
      <c r="K280" s="289"/>
      <c r="L280" s="318">
        <f>10/353</f>
        <v>0.0283286119</v>
      </c>
      <c r="M280" s="318">
        <f>12/362</f>
        <v>0.03314917127</v>
      </c>
      <c r="N280" s="271" t="str">
        <f t="shared" si="24"/>
        <v/>
      </c>
      <c r="O280" s="271">
        <f t="shared" si="21"/>
        <v>-0.004820559373</v>
      </c>
    </row>
    <row r="281">
      <c r="A281" s="272">
        <v>26.0</v>
      </c>
      <c r="B281" s="273" t="str">
        <f t="array" ref="B281">IFerror(INDEX(Papers!C$2:C$998,MATCH($A281, Papers!$A$2:$A$998,0)),"")</f>
        <v>Effect of airtime incentives on response and cooperation rates in non-communicable disease interactive voice response surveys: randomised controlled trials in Bangladesh and Uganda</v>
      </c>
      <c r="C281" s="273" t="str">
        <f t="array" ref="C281">IFerror(INDEX(Papers!D$2:D$998,MATCH($A281, Papers!$A$2:$A$998,0)),"")</f>
        <v>Dustin Gibson, Adaeze Wosu, George Pariyo, Saifuddin Ahmed, Joseph Ali, Alain Labrique, Iqbal Khan, Elizeus Rutebemberwa, Meerjady Flora, and Adnan Hyder. </v>
      </c>
      <c r="D281" s="274">
        <f t="array" ref="D281">IFerror(INDEX(Papers!F$2:F$998,MATCH($A281, Papers!$A$2:$A$998,0)),"")</f>
        <v>2019</v>
      </c>
      <c r="E281" s="274">
        <f t="array" ref="E281">IFerror(INDEX(Papers!G$2:G$998,MATCH($A281, Papers!$A$2:$A$998,0)),"")</f>
        <v>2017</v>
      </c>
      <c r="F281" s="274" t="s">
        <v>258</v>
      </c>
      <c r="G281" s="275" t="s">
        <v>11</v>
      </c>
      <c r="H281" s="277" t="s">
        <v>293</v>
      </c>
      <c r="I281" s="277" t="s">
        <v>502</v>
      </c>
      <c r="J281" s="278" t="s">
        <v>497</v>
      </c>
      <c r="K281" s="307"/>
      <c r="L281" s="316">
        <f t="shared" ref="L281:L282" si="28">1/371</f>
        <v>0.00269541779</v>
      </c>
      <c r="M281" s="316">
        <f>1/391</f>
        <v>0.002557544757</v>
      </c>
      <c r="N281" s="281" t="str">
        <f t="shared" si="24"/>
        <v/>
      </c>
      <c r="O281" s="281">
        <f t="shared" si="21"/>
        <v>0.0001378730327</v>
      </c>
    </row>
    <row r="282">
      <c r="A282" s="263">
        <v>26.0</v>
      </c>
      <c r="B282" s="264" t="str">
        <f t="array" ref="B282">IFerror(INDEX(Papers!C$2:C$998,MATCH($A282, Papers!$A$2:$A$998,0)),"")</f>
        <v>Effect of airtime incentives on response and cooperation rates in non-communicable disease interactive voice response surveys: randomised controlled trials in Bangladesh and Uganda</v>
      </c>
      <c r="C282" s="264" t="str">
        <f t="array" ref="C282">IFerror(INDEX(Papers!D$2:D$998,MATCH($A282, Papers!$A$2:$A$998,0)),"")</f>
        <v>Dustin Gibson, Adaeze Wosu, George Pariyo, Saifuddin Ahmed, Joseph Ali, Alain Labrique, Iqbal Khan, Elizeus Rutebemberwa, Meerjady Flora, and Adnan Hyder. </v>
      </c>
      <c r="D282" s="265">
        <f t="array" ref="D282">IFerror(INDEX(Papers!F$2:F$998,MATCH($A282, Papers!$A$2:$A$998,0)),"")</f>
        <v>2019</v>
      </c>
      <c r="E282" s="265">
        <f t="array" ref="E282">IFerror(INDEX(Papers!G$2:G$998,MATCH($A282, Papers!$A$2:$A$998,0)),"")</f>
        <v>2017</v>
      </c>
      <c r="F282" s="265" t="s">
        <v>258</v>
      </c>
      <c r="G282" s="266" t="s">
        <v>11</v>
      </c>
      <c r="H282" s="282" t="s">
        <v>293</v>
      </c>
      <c r="I282" s="282" t="s">
        <v>503</v>
      </c>
      <c r="J282" s="268" t="s">
        <v>497</v>
      </c>
      <c r="K282" s="289"/>
      <c r="L282" s="318">
        <f t="shared" si="28"/>
        <v>0.00269541779</v>
      </c>
      <c r="M282" s="318">
        <f>1/408</f>
        <v>0.002450980392</v>
      </c>
      <c r="N282" s="271" t="str">
        <f t="shared" si="24"/>
        <v/>
      </c>
      <c r="O282" s="271">
        <f t="shared" si="21"/>
        <v>0.0002444373976</v>
      </c>
    </row>
    <row r="283">
      <c r="A283" s="272">
        <v>26.0</v>
      </c>
      <c r="B283" s="273" t="str">
        <f t="array" ref="B283">IFerror(INDEX(Papers!C$2:C$998,MATCH($A283, Papers!$A$2:$A$998,0)),"")</f>
        <v>Effect of airtime incentives on response and cooperation rates in non-communicable disease interactive voice response surveys: randomised controlled trials in Bangladesh and Uganda</v>
      </c>
      <c r="C283" s="273" t="str">
        <f t="array" ref="C283">IFerror(INDEX(Papers!D$2:D$998,MATCH($A283, Papers!$A$2:$A$998,0)),"")</f>
        <v>Dustin Gibson, Adaeze Wosu, George Pariyo, Saifuddin Ahmed, Joseph Ali, Alain Labrique, Iqbal Khan, Elizeus Rutebemberwa, Meerjady Flora, and Adnan Hyder. </v>
      </c>
      <c r="D283" s="274">
        <f t="array" ref="D283">IFerror(INDEX(Papers!F$2:F$998,MATCH($A283, Papers!$A$2:$A$998,0)),"")</f>
        <v>2019</v>
      </c>
      <c r="E283" s="274">
        <f t="array" ref="E283">IFerror(INDEX(Papers!G$2:G$998,MATCH($A283, Papers!$A$2:$A$998,0)),"")</f>
        <v>2017</v>
      </c>
      <c r="F283" s="274" t="s">
        <v>238</v>
      </c>
      <c r="G283" s="275" t="s">
        <v>11</v>
      </c>
      <c r="H283" s="277" t="s">
        <v>293</v>
      </c>
      <c r="I283" s="277" t="s">
        <v>500</v>
      </c>
      <c r="J283" s="278" t="s">
        <v>497</v>
      </c>
      <c r="K283" s="307"/>
      <c r="L283" s="316">
        <f>10/353</f>
        <v>0.0283286119</v>
      </c>
      <c r="M283" s="316">
        <f>6/370</f>
        <v>0.01621621622</v>
      </c>
      <c r="N283" s="281" t="str">
        <f t="shared" si="24"/>
        <v/>
      </c>
      <c r="O283" s="281">
        <f t="shared" si="21"/>
        <v>0.01211239568</v>
      </c>
    </row>
    <row r="284">
      <c r="A284" s="263">
        <v>26.0</v>
      </c>
      <c r="B284" s="264" t="str">
        <f t="array" ref="B284">IFerror(INDEX(Papers!C$2:C$998,MATCH($A284, Papers!$A$2:$A$998,0)),"")</f>
        <v>Effect of airtime incentives on response and cooperation rates in non-communicable disease interactive voice response surveys: randomised controlled trials in Bangladesh and Uganda</v>
      </c>
      <c r="C284" s="264" t="str">
        <f t="array" ref="C284">IFerror(INDEX(Papers!D$2:D$998,MATCH($A284, Papers!$A$2:$A$998,0)),"")</f>
        <v>Dustin Gibson, Adaeze Wosu, George Pariyo, Saifuddin Ahmed, Joseph Ali, Alain Labrique, Iqbal Khan, Elizeus Rutebemberwa, Meerjady Flora, and Adnan Hyder. </v>
      </c>
      <c r="D284" s="265">
        <f t="array" ref="D284">IFerror(INDEX(Papers!F$2:F$998,MATCH($A284, Papers!$A$2:$A$998,0)),"")</f>
        <v>2019</v>
      </c>
      <c r="E284" s="265">
        <f t="array" ref="E284">IFerror(INDEX(Papers!G$2:G$998,MATCH($A284, Papers!$A$2:$A$998,0)),"")</f>
        <v>2017</v>
      </c>
      <c r="F284" s="265" t="s">
        <v>238</v>
      </c>
      <c r="G284" s="266" t="s">
        <v>11</v>
      </c>
      <c r="H284" s="282" t="s">
        <v>293</v>
      </c>
      <c r="I284" s="282" t="s">
        <v>501</v>
      </c>
      <c r="J284" s="268" t="s">
        <v>498</v>
      </c>
      <c r="K284" s="289"/>
      <c r="L284" s="318">
        <f t="shared" ref="L284:L285" si="29">27/353</f>
        <v>0.07648725212</v>
      </c>
      <c r="M284" s="318">
        <f>30/362</f>
        <v>0.08287292818</v>
      </c>
      <c r="N284" s="271" t="str">
        <f t="shared" si="24"/>
        <v/>
      </c>
      <c r="O284" s="271">
        <f t="shared" si="21"/>
        <v>-0.006385676052</v>
      </c>
    </row>
    <row r="285">
      <c r="A285" s="272">
        <v>26.0</v>
      </c>
      <c r="B285" s="273" t="str">
        <f t="array" ref="B285">IFerror(INDEX(Papers!C$2:C$998,MATCH($A285, Papers!$A$2:$A$998,0)),"")</f>
        <v>Effect of airtime incentives on response and cooperation rates in non-communicable disease interactive voice response surveys: randomised controlled trials in Bangladesh and Uganda</v>
      </c>
      <c r="C285" s="273" t="str">
        <f t="array" ref="C285">IFerror(INDEX(Papers!D$2:D$998,MATCH($A285, Papers!$A$2:$A$998,0)),"")</f>
        <v>Dustin Gibson, Adaeze Wosu, George Pariyo, Saifuddin Ahmed, Joseph Ali, Alain Labrique, Iqbal Khan, Elizeus Rutebemberwa, Meerjady Flora, and Adnan Hyder. </v>
      </c>
      <c r="D285" s="274">
        <f t="array" ref="D285">IFerror(INDEX(Papers!F$2:F$998,MATCH($A285, Papers!$A$2:$A$998,0)),"")</f>
        <v>2019</v>
      </c>
      <c r="E285" s="274">
        <f t="array" ref="E285">IFerror(INDEX(Papers!G$2:G$998,MATCH($A285, Papers!$A$2:$A$998,0)),"")</f>
        <v>2017</v>
      </c>
      <c r="F285" s="274" t="s">
        <v>238</v>
      </c>
      <c r="G285" s="275" t="s">
        <v>11</v>
      </c>
      <c r="H285" s="277" t="s">
        <v>293</v>
      </c>
      <c r="I285" s="277" t="s">
        <v>500</v>
      </c>
      <c r="J285" s="278" t="s">
        <v>498</v>
      </c>
      <c r="K285" s="307"/>
      <c r="L285" s="316">
        <f t="shared" si="29"/>
        <v>0.07648725212</v>
      </c>
      <c r="M285" s="316">
        <f>22/370</f>
        <v>0.05945945946</v>
      </c>
      <c r="N285" s="281" t="str">
        <f t="shared" si="24"/>
        <v/>
      </c>
      <c r="O285" s="281">
        <f t="shared" si="21"/>
        <v>0.01702779267</v>
      </c>
    </row>
    <row r="286">
      <c r="A286" s="263">
        <v>26.0</v>
      </c>
      <c r="B286" s="264" t="str">
        <f t="array" ref="B286">IFerror(INDEX(Papers!C$2:C$998,MATCH($A286, Papers!$A$2:$A$998,0)),"")</f>
        <v>Effect of airtime incentives on response and cooperation rates in non-communicable disease interactive voice response surveys: randomised controlled trials in Bangladesh and Uganda</v>
      </c>
      <c r="C286" s="264" t="str">
        <f t="array" ref="C286">IFerror(INDEX(Papers!D$2:D$998,MATCH($A286, Papers!$A$2:$A$998,0)),"")</f>
        <v>Dustin Gibson, Adaeze Wosu, George Pariyo, Saifuddin Ahmed, Joseph Ali, Alain Labrique, Iqbal Khan, Elizeus Rutebemberwa, Meerjady Flora, and Adnan Hyder. </v>
      </c>
      <c r="D286" s="265">
        <f t="array" ref="D286">IFerror(INDEX(Papers!F$2:F$998,MATCH($A286, Papers!$A$2:$A$998,0)),"")</f>
        <v>2019</v>
      </c>
      <c r="E286" s="265">
        <f t="array" ref="E286">IFerror(INDEX(Papers!G$2:G$998,MATCH($A286, Papers!$A$2:$A$998,0)),"")</f>
        <v>2017</v>
      </c>
      <c r="F286" s="265" t="s">
        <v>258</v>
      </c>
      <c r="G286" s="266" t="s">
        <v>11</v>
      </c>
      <c r="H286" s="282" t="s">
        <v>293</v>
      </c>
      <c r="I286" s="282" t="s">
        <v>502</v>
      </c>
      <c r="J286" s="268" t="s">
        <v>504</v>
      </c>
      <c r="K286" s="289"/>
      <c r="L286" s="318">
        <f t="shared" ref="L286:L287" si="30">65/372</f>
        <v>0.1747311828</v>
      </c>
      <c r="M286" s="318">
        <f>66/397</f>
        <v>0.1662468514</v>
      </c>
      <c r="N286" s="271" t="str">
        <f t="shared" si="24"/>
        <v/>
      </c>
      <c r="O286" s="271">
        <f t="shared" si="21"/>
        <v>0.00848433141</v>
      </c>
    </row>
    <row r="287">
      <c r="A287" s="272">
        <v>26.0</v>
      </c>
      <c r="B287" s="273" t="str">
        <f t="array" ref="B287">IFerror(INDEX(Papers!C$2:C$998,MATCH($A287, Papers!$A$2:$A$998,0)),"")</f>
        <v>Effect of airtime incentives on response and cooperation rates in non-communicable disease interactive voice response surveys: randomised controlled trials in Bangladesh and Uganda</v>
      </c>
      <c r="C287" s="273" t="str">
        <f t="array" ref="C287">IFerror(INDEX(Papers!D$2:D$998,MATCH($A287, Papers!$A$2:$A$998,0)),"")</f>
        <v>Dustin Gibson, Adaeze Wosu, George Pariyo, Saifuddin Ahmed, Joseph Ali, Alain Labrique, Iqbal Khan, Elizeus Rutebemberwa, Meerjady Flora, and Adnan Hyder. </v>
      </c>
      <c r="D287" s="274">
        <f t="array" ref="D287">IFerror(INDEX(Papers!F$2:F$998,MATCH($A287, Papers!$A$2:$A$998,0)),"")</f>
        <v>2019</v>
      </c>
      <c r="E287" s="274">
        <f t="array" ref="E287">IFerror(INDEX(Papers!G$2:G$998,MATCH($A287, Papers!$A$2:$A$998,0)),"")</f>
        <v>2017</v>
      </c>
      <c r="F287" s="274" t="s">
        <v>258</v>
      </c>
      <c r="G287" s="275" t="s">
        <v>11</v>
      </c>
      <c r="H287" s="277" t="s">
        <v>293</v>
      </c>
      <c r="I287" s="277" t="s">
        <v>503</v>
      </c>
      <c r="J287" s="278" t="s">
        <v>504</v>
      </c>
      <c r="K287" s="307"/>
      <c r="L287" s="316">
        <f t="shared" si="30"/>
        <v>0.1747311828</v>
      </c>
      <c r="M287" s="316">
        <f>62/409</f>
        <v>0.1515892421</v>
      </c>
      <c r="N287" s="281" t="str">
        <f t="shared" si="24"/>
        <v/>
      </c>
      <c r="O287" s="281">
        <f t="shared" si="21"/>
        <v>0.02314194074</v>
      </c>
    </row>
    <row r="288">
      <c r="A288" s="263">
        <v>26.0</v>
      </c>
      <c r="B288" s="264" t="str">
        <f t="array" ref="B288">IFerror(INDEX(Papers!C$2:C$998,MATCH($A288, Papers!$A$2:$A$998,0)),"")</f>
        <v>Effect of airtime incentives on response and cooperation rates in non-communicable disease interactive voice response surveys: randomised controlled trials in Bangladesh and Uganda</v>
      </c>
      <c r="C288" s="264" t="str">
        <f t="array" ref="C288">IFerror(INDEX(Papers!D$2:D$998,MATCH($A288, Papers!$A$2:$A$998,0)),"")</f>
        <v>Dustin Gibson, Adaeze Wosu, George Pariyo, Saifuddin Ahmed, Joseph Ali, Alain Labrique, Iqbal Khan, Elizeus Rutebemberwa, Meerjady Flora, and Adnan Hyder. </v>
      </c>
      <c r="D288" s="265">
        <f t="array" ref="D288">IFerror(INDEX(Papers!F$2:F$998,MATCH($A288, Papers!$A$2:$A$998,0)),"")</f>
        <v>2019</v>
      </c>
      <c r="E288" s="265">
        <f t="array" ref="E288">IFerror(INDEX(Papers!G$2:G$998,MATCH($A288, Papers!$A$2:$A$998,0)),"")</f>
        <v>2017</v>
      </c>
      <c r="F288" s="265" t="s">
        <v>238</v>
      </c>
      <c r="G288" s="266" t="s">
        <v>11</v>
      </c>
      <c r="H288" s="282" t="s">
        <v>293</v>
      </c>
      <c r="I288" s="282" t="s">
        <v>501</v>
      </c>
      <c r="J288" s="268" t="s">
        <v>444</v>
      </c>
      <c r="K288" s="289"/>
      <c r="L288" s="318">
        <f t="shared" ref="L288:L289" si="31">93/353</f>
        <v>0.2634560907</v>
      </c>
      <c r="M288" s="318">
        <f>98/362</f>
        <v>0.270718232</v>
      </c>
      <c r="N288" s="271" t="str">
        <f t="shared" si="24"/>
        <v/>
      </c>
      <c r="O288" s="271">
        <f t="shared" si="21"/>
        <v>-0.007262141393</v>
      </c>
    </row>
    <row r="289">
      <c r="A289" s="272">
        <v>26.0</v>
      </c>
      <c r="B289" s="273" t="str">
        <f t="array" ref="B289">IFerror(INDEX(Papers!C$2:C$998,MATCH($A289, Papers!$A$2:$A$998,0)),"")</f>
        <v>Effect of airtime incentives on response and cooperation rates in non-communicable disease interactive voice response surveys: randomised controlled trials in Bangladesh and Uganda</v>
      </c>
      <c r="C289" s="273" t="str">
        <f t="array" ref="C289">IFerror(INDEX(Papers!D$2:D$998,MATCH($A289, Papers!$A$2:$A$998,0)),"")</f>
        <v>Dustin Gibson, Adaeze Wosu, George Pariyo, Saifuddin Ahmed, Joseph Ali, Alain Labrique, Iqbal Khan, Elizeus Rutebemberwa, Meerjady Flora, and Adnan Hyder. </v>
      </c>
      <c r="D289" s="274">
        <f t="array" ref="D289">IFerror(INDEX(Papers!F$2:F$998,MATCH($A289, Papers!$A$2:$A$998,0)),"")</f>
        <v>2019</v>
      </c>
      <c r="E289" s="274">
        <f t="array" ref="E289">IFerror(INDEX(Papers!G$2:G$998,MATCH($A289, Papers!$A$2:$A$998,0)),"")</f>
        <v>2017</v>
      </c>
      <c r="F289" s="274" t="s">
        <v>238</v>
      </c>
      <c r="G289" s="275" t="s">
        <v>11</v>
      </c>
      <c r="H289" s="277" t="s">
        <v>293</v>
      </c>
      <c r="I289" s="277" t="s">
        <v>500</v>
      </c>
      <c r="J289" s="278" t="s">
        <v>444</v>
      </c>
      <c r="K289" s="307"/>
      <c r="L289" s="316">
        <f t="shared" si="31"/>
        <v>0.2634560907</v>
      </c>
      <c r="M289" s="316">
        <f>89/370</f>
        <v>0.2405405405</v>
      </c>
      <c r="N289" s="281" t="str">
        <f t="shared" si="24"/>
        <v/>
      </c>
      <c r="O289" s="281">
        <f t="shared" si="21"/>
        <v>0.02291555011</v>
      </c>
    </row>
    <row r="290">
      <c r="A290" s="263">
        <v>26.0</v>
      </c>
      <c r="B290" s="264" t="str">
        <f t="array" ref="B290">IFerror(INDEX(Papers!C$2:C$998,MATCH($A290, Papers!$A$2:$A$998,0)),"")</f>
        <v>Effect of airtime incentives on response and cooperation rates in non-communicable disease interactive voice response surveys: randomised controlled trials in Bangladesh and Uganda</v>
      </c>
      <c r="C290" s="264" t="str">
        <f t="array" ref="C290">IFerror(INDEX(Papers!D$2:D$998,MATCH($A290, Papers!$A$2:$A$998,0)),"")</f>
        <v>Dustin Gibson, Adaeze Wosu, George Pariyo, Saifuddin Ahmed, Joseph Ali, Alain Labrique, Iqbal Khan, Elizeus Rutebemberwa, Meerjady Flora, and Adnan Hyder. </v>
      </c>
      <c r="D290" s="265">
        <f t="array" ref="D290">IFerror(INDEX(Papers!F$2:F$998,MATCH($A290, Papers!$A$2:$A$998,0)),"")</f>
        <v>2019</v>
      </c>
      <c r="E290" s="265">
        <f t="array" ref="E290">IFerror(INDEX(Papers!G$2:G$998,MATCH($A290, Papers!$A$2:$A$998,0)),"")</f>
        <v>2017</v>
      </c>
      <c r="F290" s="265" t="s">
        <v>258</v>
      </c>
      <c r="G290" s="266" t="s">
        <v>11</v>
      </c>
      <c r="H290" s="282" t="s">
        <v>293</v>
      </c>
      <c r="I290" s="282" t="s">
        <v>503</v>
      </c>
      <c r="J290" s="268" t="s">
        <v>444</v>
      </c>
      <c r="K290" s="289"/>
      <c r="L290" s="318">
        <f t="shared" ref="L290:L291" si="32">114/372</f>
        <v>0.3064516129</v>
      </c>
      <c r="M290" s="318">
        <f>97/409</f>
        <v>0.2371638142</v>
      </c>
      <c r="N290" s="271" t="str">
        <f t="shared" si="24"/>
        <v/>
      </c>
      <c r="O290" s="271">
        <f t="shared" si="21"/>
        <v>0.06928779872</v>
      </c>
    </row>
    <row r="291">
      <c r="A291" s="272">
        <v>26.0</v>
      </c>
      <c r="B291" s="273" t="str">
        <f t="array" ref="B291">IFerror(INDEX(Papers!C$2:C$998,MATCH($A291, Papers!$A$2:$A$998,0)),"")</f>
        <v>Effect of airtime incentives on response and cooperation rates in non-communicable disease interactive voice response surveys: randomised controlled trials in Bangladesh and Uganda</v>
      </c>
      <c r="C291" s="273" t="str">
        <f t="array" ref="C291">IFerror(INDEX(Papers!D$2:D$998,MATCH($A291, Papers!$A$2:$A$998,0)),"")</f>
        <v>Dustin Gibson, Adaeze Wosu, George Pariyo, Saifuddin Ahmed, Joseph Ali, Alain Labrique, Iqbal Khan, Elizeus Rutebemberwa, Meerjady Flora, and Adnan Hyder. </v>
      </c>
      <c r="D291" s="274">
        <f t="array" ref="D291">IFerror(INDEX(Papers!F$2:F$998,MATCH($A291, Papers!$A$2:$A$998,0)),"")</f>
        <v>2019</v>
      </c>
      <c r="E291" s="274">
        <f t="array" ref="E291">IFerror(INDEX(Papers!G$2:G$998,MATCH($A291, Papers!$A$2:$A$998,0)),"")</f>
        <v>2017</v>
      </c>
      <c r="F291" s="274" t="s">
        <v>258</v>
      </c>
      <c r="G291" s="275" t="s">
        <v>11</v>
      </c>
      <c r="H291" s="277" t="s">
        <v>293</v>
      </c>
      <c r="I291" s="277" t="s">
        <v>502</v>
      </c>
      <c r="J291" s="278" t="s">
        <v>444</v>
      </c>
      <c r="K291" s="307"/>
      <c r="L291" s="316">
        <f t="shared" si="32"/>
        <v>0.3064516129</v>
      </c>
      <c r="M291" s="316">
        <f>92/397</f>
        <v>0.2317380353</v>
      </c>
      <c r="N291" s="281" t="str">
        <f t="shared" si="24"/>
        <v/>
      </c>
      <c r="O291" s="281">
        <f t="shared" si="21"/>
        <v>0.07471357764</v>
      </c>
    </row>
    <row r="292">
      <c r="A292" s="263">
        <v>26.0</v>
      </c>
      <c r="B292" s="264" t="str">
        <f t="array" ref="B292">IFerror(INDEX(Papers!C$2:C$998,MATCH($A292, Papers!$A$2:$A$998,0)),"")</f>
        <v>Effect of airtime incentives on response and cooperation rates in non-communicable disease interactive voice response surveys: randomised controlled trials in Bangladesh and Uganda</v>
      </c>
      <c r="C292" s="264" t="str">
        <f t="array" ref="C292">IFerror(INDEX(Papers!D$2:D$998,MATCH($A292, Papers!$A$2:$A$998,0)),"")</f>
        <v>Dustin Gibson, Adaeze Wosu, George Pariyo, Saifuddin Ahmed, Joseph Ali, Alain Labrique, Iqbal Khan, Elizeus Rutebemberwa, Meerjady Flora, and Adnan Hyder. </v>
      </c>
      <c r="D292" s="265">
        <f t="array" ref="D292">IFerror(INDEX(Papers!F$2:F$998,MATCH($A292, Papers!$A$2:$A$998,0)),"")</f>
        <v>2019</v>
      </c>
      <c r="E292" s="265">
        <f t="array" ref="E292">IFerror(INDEX(Papers!G$2:G$998,MATCH($A292, Papers!$A$2:$A$998,0)),"")</f>
        <v>2017</v>
      </c>
      <c r="F292" s="265" t="s">
        <v>258</v>
      </c>
      <c r="G292" s="266" t="s">
        <v>11</v>
      </c>
      <c r="H292" s="282" t="s">
        <v>293</v>
      </c>
      <c r="I292" s="282" t="s">
        <v>503</v>
      </c>
      <c r="J292" s="268" t="s">
        <v>445</v>
      </c>
      <c r="K292" s="289"/>
      <c r="L292" s="318">
        <f t="shared" ref="L292:L293" si="33">125/372</f>
        <v>0.3360215054</v>
      </c>
      <c r="M292" s="318">
        <f>172/409</f>
        <v>0.4205378973</v>
      </c>
      <c r="N292" s="271" t="str">
        <f t="shared" si="24"/>
        <v/>
      </c>
      <c r="O292" s="271">
        <f t="shared" si="21"/>
        <v>-0.08451639193</v>
      </c>
    </row>
    <row r="293">
      <c r="A293" s="272">
        <v>26.0</v>
      </c>
      <c r="B293" s="273" t="str">
        <f t="array" ref="B293">IFerror(INDEX(Papers!C$2:C$998,MATCH($A293, Papers!$A$2:$A$998,0)),"")</f>
        <v>Effect of airtime incentives on response and cooperation rates in non-communicable disease interactive voice response surveys: randomised controlled trials in Bangladesh and Uganda</v>
      </c>
      <c r="C293" s="273" t="str">
        <f t="array" ref="C293">IFerror(INDEX(Papers!D$2:D$998,MATCH($A293, Papers!$A$2:$A$998,0)),"")</f>
        <v>Dustin Gibson, Adaeze Wosu, George Pariyo, Saifuddin Ahmed, Joseph Ali, Alain Labrique, Iqbal Khan, Elizeus Rutebemberwa, Meerjady Flora, and Adnan Hyder. </v>
      </c>
      <c r="D293" s="274">
        <f t="array" ref="D293">IFerror(INDEX(Papers!F$2:F$998,MATCH($A293, Papers!$A$2:$A$998,0)),"")</f>
        <v>2019</v>
      </c>
      <c r="E293" s="274">
        <f t="array" ref="E293">IFerror(INDEX(Papers!G$2:G$998,MATCH($A293, Papers!$A$2:$A$998,0)),"")</f>
        <v>2017</v>
      </c>
      <c r="F293" s="274" t="s">
        <v>258</v>
      </c>
      <c r="G293" s="275" t="s">
        <v>11</v>
      </c>
      <c r="H293" s="277" t="s">
        <v>293</v>
      </c>
      <c r="I293" s="277" t="s">
        <v>502</v>
      </c>
      <c r="J293" s="278" t="s">
        <v>445</v>
      </c>
      <c r="K293" s="307"/>
      <c r="L293" s="316">
        <f t="shared" si="33"/>
        <v>0.3360215054</v>
      </c>
      <c r="M293" s="316">
        <f>161/397</f>
        <v>0.4055415617</v>
      </c>
      <c r="N293" s="281" t="str">
        <f t="shared" si="24"/>
        <v/>
      </c>
      <c r="O293" s="281">
        <f t="shared" si="21"/>
        <v>-0.06952005634</v>
      </c>
    </row>
    <row r="294">
      <c r="A294" s="263">
        <v>26.0</v>
      </c>
      <c r="B294" s="264" t="str">
        <f t="array" ref="B294">IFerror(INDEX(Papers!C$2:C$998,MATCH($A294, Papers!$A$2:$A$998,0)),"")</f>
        <v>Effect of airtime incentives on response and cooperation rates in non-communicable disease interactive voice response surveys: randomised controlled trials in Bangladesh and Uganda</v>
      </c>
      <c r="C294" s="264" t="str">
        <f t="array" ref="C294">IFerror(INDEX(Papers!D$2:D$998,MATCH($A294, Papers!$A$2:$A$998,0)),"")</f>
        <v>Dustin Gibson, Adaeze Wosu, George Pariyo, Saifuddin Ahmed, Joseph Ali, Alain Labrique, Iqbal Khan, Elizeus Rutebemberwa, Meerjady Flora, and Adnan Hyder. </v>
      </c>
      <c r="D294" s="265">
        <f t="array" ref="D294">IFerror(INDEX(Papers!F$2:F$998,MATCH($A294, Papers!$A$2:$A$998,0)),"")</f>
        <v>2019</v>
      </c>
      <c r="E294" s="265">
        <f t="array" ref="E294">IFerror(INDEX(Papers!G$2:G$998,MATCH($A294, Papers!$A$2:$A$998,0)),"")</f>
        <v>2017</v>
      </c>
      <c r="F294" s="265" t="s">
        <v>258</v>
      </c>
      <c r="G294" s="266" t="s">
        <v>11</v>
      </c>
      <c r="H294" s="282" t="s">
        <v>293</v>
      </c>
      <c r="I294" s="282" t="s">
        <v>502</v>
      </c>
      <c r="J294" s="268" t="s">
        <v>499</v>
      </c>
      <c r="K294" s="289"/>
      <c r="L294" s="318">
        <f t="shared" ref="L294:L295" si="34">68/372</f>
        <v>0.1827956989</v>
      </c>
      <c r="M294" s="318">
        <f>78/397</f>
        <v>0.1964735516</v>
      </c>
      <c r="N294" s="271" t="str">
        <f t="shared" si="24"/>
        <v/>
      </c>
      <c r="O294" s="271">
        <f t="shared" si="21"/>
        <v>-0.01367785271</v>
      </c>
    </row>
    <row r="295">
      <c r="A295" s="272">
        <v>26.0</v>
      </c>
      <c r="B295" s="273" t="str">
        <f t="array" ref="B295">IFerror(INDEX(Papers!C$2:C$998,MATCH($A295, Papers!$A$2:$A$998,0)),"")</f>
        <v>Effect of airtime incentives on response and cooperation rates in non-communicable disease interactive voice response surveys: randomised controlled trials in Bangladesh and Uganda</v>
      </c>
      <c r="C295" s="273" t="str">
        <f t="array" ref="C295">IFerror(INDEX(Papers!D$2:D$998,MATCH($A295, Papers!$A$2:$A$998,0)),"")</f>
        <v>Dustin Gibson, Adaeze Wosu, George Pariyo, Saifuddin Ahmed, Joseph Ali, Alain Labrique, Iqbal Khan, Elizeus Rutebemberwa, Meerjady Flora, and Adnan Hyder. </v>
      </c>
      <c r="D295" s="274">
        <f t="array" ref="D295">IFerror(INDEX(Papers!F$2:F$998,MATCH($A295, Papers!$A$2:$A$998,0)),"")</f>
        <v>2019</v>
      </c>
      <c r="E295" s="274">
        <f t="array" ref="E295">IFerror(INDEX(Papers!G$2:G$998,MATCH($A295, Papers!$A$2:$A$998,0)),"")</f>
        <v>2017</v>
      </c>
      <c r="F295" s="274" t="s">
        <v>258</v>
      </c>
      <c r="G295" s="275" t="s">
        <v>11</v>
      </c>
      <c r="H295" s="277" t="s">
        <v>293</v>
      </c>
      <c r="I295" s="277" t="s">
        <v>503</v>
      </c>
      <c r="J295" s="278" t="s">
        <v>499</v>
      </c>
      <c r="K295" s="307"/>
      <c r="L295" s="316">
        <f t="shared" si="34"/>
        <v>0.1827956989</v>
      </c>
      <c r="M295" s="316">
        <f>78/409</f>
        <v>0.1907090465</v>
      </c>
      <c r="N295" s="281" t="str">
        <f t="shared" si="24"/>
        <v/>
      </c>
      <c r="O295" s="281">
        <f t="shared" si="21"/>
        <v>-0.00791334753</v>
      </c>
    </row>
    <row r="296">
      <c r="A296" s="263">
        <v>26.0</v>
      </c>
      <c r="B296" s="264" t="str">
        <f t="array" ref="B296">IFerror(INDEX(Papers!C$2:C$998,MATCH($A296, Papers!$A$2:$A$998,0)),"")</f>
        <v>Effect of airtime incentives on response and cooperation rates in non-communicable disease interactive voice response surveys: randomised controlled trials in Bangladesh and Uganda</v>
      </c>
      <c r="C296" s="264" t="str">
        <f t="array" ref="C296">IFerror(INDEX(Papers!D$2:D$998,MATCH($A296, Papers!$A$2:$A$998,0)),"")</f>
        <v>Dustin Gibson, Adaeze Wosu, George Pariyo, Saifuddin Ahmed, Joseph Ali, Alain Labrique, Iqbal Khan, Elizeus Rutebemberwa, Meerjady Flora, and Adnan Hyder. </v>
      </c>
      <c r="D296" s="265">
        <f t="array" ref="D296">IFerror(INDEX(Papers!F$2:F$998,MATCH($A296, Papers!$A$2:$A$998,0)),"")</f>
        <v>2019</v>
      </c>
      <c r="E296" s="265">
        <f t="array" ref="E296">IFerror(INDEX(Papers!G$2:G$998,MATCH($A296, Papers!$A$2:$A$998,0)),"")</f>
        <v>2017</v>
      </c>
      <c r="F296" s="265" t="s">
        <v>238</v>
      </c>
      <c r="G296" s="266" t="s">
        <v>11</v>
      </c>
      <c r="H296" s="282" t="s">
        <v>293</v>
      </c>
      <c r="I296" s="282" t="s">
        <v>500</v>
      </c>
      <c r="J296" s="268" t="s">
        <v>424</v>
      </c>
      <c r="K296" s="289"/>
      <c r="L296" s="318">
        <f t="shared" ref="L296:L297" si="35">39/353</f>
        <v>0.1104815864</v>
      </c>
      <c r="M296" s="318">
        <f>46/370</f>
        <v>0.1243243243</v>
      </c>
      <c r="N296" s="271" t="str">
        <f t="shared" si="24"/>
        <v/>
      </c>
      <c r="O296" s="271">
        <f t="shared" si="21"/>
        <v>-0.01384273792</v>
      </c>
    </row>
    <row r="297">
      <c r="A297" s="272">
        <v>26.0</v>
      </c>
      <c r="B297" s="273" t="str">
        <f t="array" ref="B297">IFerror(INDEX(Papers!C$2:C$998,MATCH($A297, Papers!$A$2:$A$998,0)),"")</f>
        <v>Effect of airtime incentives on response and cooperation rates in non-communicable disease interactive voice response surveys: randomised controlled trials in Bangladesh and Uganda</v>
      </c>
      <c r="C297" s="273" t="str">
        <f t="array" ref="C297">IFerror(INDEX(Papers!D$2:D$998,MATCH($A297, Papers!$A$2:$A$998,0)),"")</f>
        <v>Dustin Gibson, Adaeze Wosu, George Pariyo, Saifuddin Ahmed, Joseph Ali, Alain Labrique, Iqbal Khan, Elizeus Rutebemberwa, Meerjady Flora, and Adnan Hyder. </v>
      </c>
      <c r="D297" s="274">
        <f t="array" ref="D297">IFerror(INDEX(Papers!F$2:F$998,MATCH($A297, Papers!$A$2:$A$998,0)),"")</f>
        <v>2019</v>
      </c>
      <c r="E297" s="274">
        <f t="array" ref="E297">IFerror(INDEX(Papers!G$2:G$998,MATCH($A297, Papers!$A$2:$A$998,0)),"")</f>
        <v>2017</v>
      </c>
      <c r="F297" s="274" t="s">
        <v>238</v>
      </c>
      <c r="G297" s="275" t="s">
        <v>11</v>
      </c>
      <c r="H297" s="277" t="s">
        <v>293</v>
      </c>
      <c r="I297" s="277" t="s">
        <v>501</v>
      </c>
      <c r="J297" s="278" t="s">
        <v>424</v>
      </c>
      <c r="K297" s="307"/>
      <c r="L297" s="316">
        <f t="shared" si="35"/>
        <v>0.1104815864</v>
      </c>
      <c r="M297" s="316">
        <f>41/362</f>
        <v>0.1132596685</v>
      </c>
      <c r="N297" s="281" t="str">
        <f t="shared" si="24"/>
        <v/>
      </c>
      <c r="O297" s="281">
        <f t="shared" si="21"/>
        <v>-0.002778082106</v>
      </c>
    </row>
    <row r="298">
      <c r="A298" s="263">
        <v>26.0</v>
      </c>
      <c r="B298" s="264" t="str">
        <f t="array" ref="B298">IFerror(INDEX(Papers!C$2:C$998,MATCH($A298, Papers!$A$2:$A$998,0)),"")</f>
        <v>Effect of airtime incentives on response and cooperation rates in non-communicable disease interactive voice response surveys: randomised controlled trials in Bangladesh and Uganda</v>
      </c>
      <c r="C298" s="264" t="str">
        <f t="array" ref="C298">IFerror(INDEX(Papers!D$2:D$998,MATCH($A298, Papers!$A$2:$A$998,0)),"")</f>
        <v>Dustin Gibson, Adaeze Wosu, George Pariyo, Saifuddin Ahmed, Joseph Ali, Alain Labrique, Iqbal Khan, Elizeus Rutebemberwa, Meerjady Flora, and Adnan Hyder. </v>
      </c>
      <c r="D298" s="265">
        <f t="array" ref="D298">IFerror(INDEX(Papers!F$2:F$998,MATCH($A298, Papers!$A$2:$A$998,0)),"")</f>
        <v>2019</v>
      </c>
      <c r="E298" s="265">
        <f t="array" ref="E298">IFerror(INDEX(Papers!G$2:G$998,MATCH($A298, Papers!$A$2:$A$998,0)),"")</f>
        <v>2017</v>
      </c>
      <c r="F298" s="265" t="s">
        <v>258</v>
      </c>
      <c r="G298" s="266" t="s">
        <v>11</v>
      </c>
      <c r="H298" s="282" t="s">
        <v>293</v>
      </c>
      <c r="I298" s="282" t="s">
        <v>502</v>
      </c>
      <c r="J298" s="268" t="s">
        <v>424</v>
      </c>
      <c r="K298" s="289"/>
      <c r="L298" s="318">
        <f t="shared" ref="L298:L299" si="36">88/377</f>
        <v>0.2334217507</v>
      </c>
      <c r="M298" s="318">
        <f>85/404</f>
        <v>0.2103960396</v>
      </c>
      <c r="N298" s="271" t="str">
        <f t="shared" si="24"/>
        <v/>
      </c>
      <c r="O298" s="271">
        <f t="shared" si="21"/>
        <v>0.02302571106</v>
      </c>
    </row>
    <row r="299">
      <c r="A299" s="272">
        <v>26.0</v>
      </c>
      <c r="B299" s="273" t="str">
        <f t="array" ref="B299">IFerror(INDEX(Papers!C$2:C$998,MATCH($A299, Papers!$A$2:$A$998,0)),"")</f>
        <v>Effect of airtime incentives on response and cooperation rates in non-communicable disease interactive voice response surveys: randomised controlled trials in Bangladesh and Uganda</v>
      </c>
      <c r="C299" s="273" t="str">
        <f t="array" ref="C299">IFerror(INDEX(Papers!D$2:D$998,MATCH($A299, Papers!$A$2:$A$998,0)),"")</f>
        <v>Dustin Gibson, Adaeze Wosu, George Pariyo, Saifuddin Ahmed, Joseph Ali, Alain Labrique, Iqbal Khan, Elizeus Rutebemberwa, Meerjady Flora, and Adnan Hyder. </v>
      </c>
      <c r="D299" s="274">
        <f t="array" ref="D299">IFerror(INDEX(Papers!F$2:F$998,MATCH($A299, Papers!$A$2:$A$998,0)),"")</f>
        <v>2019</v>
      </c>
      <c r="E299" s="274">
        <f t="array" ref="E299">IFerror(INDEX(Papers!G$2:G$998,MATCH($A299, Papers!$A$2:$A$998,0)),"")</f>
        <v>2017</v>
      </c>
      <c r="F299" s="274" t="s">
        <v>258</v>
      </c>
      <c r="G299" s="275" t="s">
        <v>11</v>
      </c>
      <c r="H299" s="277" t="s">
        <v>293</v>
      </c>
      <c r="I299" s="277" t="s">
        <v>503</v>
      </c>
      <c r="J299" s="278" t="s">
        <v>424</v>
      </c>
      <c r="K299" s="307"/>
      <c r="L299" s="316">
        <f t="shared" si="36"/>
        <v>0.2334217507</v>
      </c>
      <c r="M299" s="316">
        <f>88/421</f>
        <v>0.2090261283</v>
      </c>
      <c r="N299" s="281" t="str">
        <f t="shared" si="24"/>
        <v/>
      </c>
      <c r="O299" s="281">
        <f t="shared" si="21"/>
        <v>0.0243956224</v>
      </c>
    </row>
    <row r="300">
      <c r="A300" s="263">
        <v>26.0</v>
      </c>
      <c r="B300" s="264" t="str">
        <f t="array" ref="B300">IFerror(INDEX(Papers!C$2:C$998,MATCH($A300, Papers!$A$2:$A$998,0)),"")</f>
        <v>Effect of airtime incentives on response and cooperation rates in non-communicable disease interactive voice response surveys: randomised controlled trials in Bangladesh and Uganda</v>
      </c>
      <c r="C300" s="264" t="str">
        <f t="array" ref="C300">IFerror(INDEX(Papers!D$2:D$998,MATCH($A300, Papers!$A$2:$A$998,0)),"")</f>
        <v>Dustin Gibson, Adaeze Wosu, George Pariyo, Saifuddin Ahmed, Joseph Ali, Alain Labrique, Iqbal Khan, Elizeus Rutebemberwa, Meerjady Flora, and Adnan Hyder. </v>
      </c>
      <c r="D300" s="265">
        <f t="array" ref="D300">IFerror(INDEX(Papers!F$2:F$998,MATCH($A300, Papers!$A$2:$A$998,0)),"")</f>
        <v>2019</v>
      </c>
      <c r="E300" s="265">
        <f t="array" ref="E300">IFerror(INDEX(Papers!G$2:G$998,MATCH($A300, Papers!$A$2:$A$998,0)),"")</f>
        <v>2017</v>
      </c>
      <c r="F300" s="265" t="s">
        <v>238</v>
      </c>
      <c r="G300" s="266" t="s">
        <v>11</v>
      </c>
      <c r="H300" s="282" t="s">
        <v>293</v>
      </c>
      <c r="I300" s="282" t="s">
        <v>501</v>
      </c>
      <c r="J300" s="268" t="s">
        <v>505</v>
      </c>
      <c r="K300" s="289"/>
      <c r="L300" s="318">
        <f t="shared" ref="L300:L301" si="37">348/353</f>
        <v>0.9858356941</v>
      </c>
      <c r="M300" s="318">
        <f>360/362</f>
        <v>0.9944751381</v>
      </c>
      <c r="N300" s="271" t="str">
        <f t="shared" si="24"/>
        <v/>
      </c>
      <c r="O300" s="271">
        <f t="shared" si="21"/>
        <v>-0.008639444071</v>
      </c>
    </row>
    <row r="301">
      <c r="A301" s="272">
        <v>26.0</v>
      </c>
      <c r="B301" s="273" t="str">
        <f t="array" ref="B301">IFerror(INDEX(Papers!C$2:C$998,MATCH($A301, Papers!$A$2:$A$998,0)),"")</f>
        <v>Effect of airtime incentives on response and cooperation rates in non-communicable disease interactive voice response surveys: randomised controlled trials in Bangladesh and Uganda</v>
      </c>
      <c r="C301" s="273" t="str">
        <f t="array" ref="C301">IFerror(INDEX(Papers!D$2:D$998,MATCH($A301, Papers!$A$2:$A$998,0)),"")</f>
        <v>Dustin Gibson, Adaeze Wosu, George Pariyo, Saifuddin Ahmed, Joseph Ali, Alain Labrique, Iqbal Khan, Elizeus Rutebemberwa, Meerjady Flora, and Adnan Hyder. </v>
      </c>
      <c r="D301" s="274">
        <f t="array" ref="D301">IFerror(INDEX(Papers!F$2:F$998,MATCH($A301, Papers!$A$2:$A$998,0)),"")</f>
        <v>2019</v>
      </c>
      <c r="E301" s="274">
        <f t="array" ref="E301">IFerror(INDEX(Papers!G$2:G$998,MATCH($A301, Papers!$A$2:$A$998,0)),"")</f>
        <v>2017</v>
      </c>
      <c r="F301" s="274" t="s">
        <v>238</v>
      </c>
      <c r="G301" s="275" t="s">
        <v>11</v>
      </c>
      <c r="H301" s="277" t="s">
        <v>293</v>
      </c>
      <c r="I301" s="277" t="s">
        <v>500</v>
      </c>
      <c r="J301" s="278" t="s">
        <v>505</v>
      </c>
      <c r="K301" s="307"/>
      <c r="L301" s="316">
        <f t="shared" si="37"/>
        <v>0.9858356941</v>
      </c>
      <c r="M301" s="316">
        <f>366/370</f>
        <v>0.9891891892</v>
      </c>
      <c r="N301" s="281" t="str">
        <f t="shared" si="24"/>
        <v/>
      </c>
      <c r="O301" s="281">
        <f t="shared" si="21"/>
        <v>-0.003353495138</v>
      </c>
    </row>
    <row r="302">
      <c r="A302" s="263">
        <v>26.0</v>
      </c>
      <c r="B302" s="264" t="str">
        <f t="array" ref="B302">IFerror(INDEX(Papers!C$2:C$998,MATCH($A302, Papers!$A$2:$A$998,0)),"")</f>
        <v>Effect of airtime incentives on response and cooperation rates in non-communicable disease interactive voice response surveys: randomised controlled trials in Bangladesh and Uganda</v>
      </c>
      <c r="C302" s="264" t="str">
        <f t="array" ref="C302">IFerror(INDEX(Papers!D$2:D$998,MATCH($A302, Papers!$A$2:$A$998,0)),"")</f>
        <v>Dustin Gibson, Adaeze Wosu, George Pariyo, Saifuddin Ahmed, Joseph Ali, Alain Labrique, Iqbal Khan, Elizeus Rutebemberwa, Meerjady Flora, and Adnan Hyder. </v>
      </c>
      <c r="D302" s="265">
        <f t="array" ref="D302">IFerror(INDEX(Papers!F$2:F$998,MATCH($A302, Papers!$A$2:$A$998,0)),"")</f>
        <v>2019</v>
      </c>
      <c r="E302" s="265">
        <f t="array" ref="E302">IFerror(INDEX(Papers!G$2:G$998,MATCH($A302, Papers!$A$2:$A$998,0)),"")</f>
        <v>2017</v>
      </c>
      <c r="F302" s="265" t="s">
        <v>238</v>
      </c>
      <c r="G302" s="266" t="s">
        <v>11</v>
      </c>
      <c r="H302" s="282" t="s">
        <v>293</v>
      </c>
      <c r="I302" s="282" t="s">
        <v>500</v>
      </c>
      <c r="J302" s="268" t="s">
        <v>452</v>
      </c>
      <c r="K302" s="289"/>
      <c r="L302" s="318">
        <f t="shared" ref="L302:L303" si="38">5/353</f>
        <v>0.01416430595</v>
      </c>
      <c r="M302" s="318">
        <f>4/370</f>
        <v>0.01081081081</v>
      </c>
      <c r="N302" s="271" t="str">
        <f t="shared" si="24"/>
        <v/>
      </c>
      <c r="O302" s="271">
        <f t="shared" si="21"/>
        <v>0.003353495138</v>
      </c>
    </row>
    <row r="303">
      <c r="A303" s="272">
        <v>26.0</v>
      </c>
      <c r="B303" s="273" t="str">
        <f t="array" ref="B303">IFerror(INDEX(Papers!C$2:C$998,MATCH($A303, Papers!$A$2:$A$998,0)),"")</f>
        <v>Effect of airtime incentives on response and cooperation rates in non-communicable disease interactive voice response surveys: randomised controlled trials in Bangladesh and Uganda</v>
      </c>
      <c r="C303" s="273" t="str">
        <f t="array" ref="C303">IFerror(INDEX(Papers!D$2:D$998,MATCH($A303, Papers!$A$2:$A$998,0)),"")</f>
        <v>Dustin Gibson, Adaeze Wosu, George Pariyo, Saifuddin Ahmed, Joseph Ali, Alain Labrique, Iqbal Khan, Elizeus Rutebemberwa, Meerjady Flora, and Adnan Hyder. </v>
      </c>
      <c r="D303" s="274">
        <f t="array" ref="D303">IFerror(INDEX(Papers!F$2:F$998,MATCH($A303, Papers!$A$2:$A$998,0)),"")</f>
        <v>2019</v>
      </c>
      <c r="E303" s="274">
        <f t="array" ref="E303">IFerror(INDEX(Papers!G$2:G$998,MATCH($A303, Papers!$A$2:$A$998,0)),"")</f>
        <v>2017</v>
      </c>
      <c r="F303" s="274" t="s">
        <v>238</v>
      </c>
      <c r="G303" s="275" t="s">
        <v>11</v>
      </c>
      <c r="H303" s="277" t="s">
        <v>293</v>
      </c>
      <c r="I303" s="277" t="s">
        <v>501</v>
      </c>
      <c r="J303" s="278" t="s">
        <v>452</v>
      </c>
      <c r="K303" s="307"/>
      <c r="L303" s="316">
        <f t="shared" si="38"/>
        <v>0.01416430595</v>
      </c>
      <c r="M303" s="316">
        <f>2/362</f>
        <v>0.005524861878</v>
      </c>
      <c r="N303" s="281" t="str">
        <f t="shared" si="24"/>
        <v/>
      </c>
      <c r="O303" s="281">
        <f t="shared" si="21"/>
        <v>0.008639444071</v>
      </c>
    </row>
    <row r="304">
      <c r="A304" s="263">
        <v>26.0</v>
      </c>
      <c r="B304" s="264" t="str">
        <f t="array" ref="B304">IFerror(INDEX(Papers!C$2:C$998,MATCH($A304, Papers!$A$2:$A$998,0)),"")</f>
        <v>Effect of airtime incentives on response and cooperation rates in non-communicable disease interactive voice response surveys: randomised controlled trials in Bangladesh and Uganda</v>
      </c>
      <c r="C304" s="264" t="str">
        <f t="array" ref="C304">IFerror(INDEX(Papers!D$2:D$998,MATCH($A304, Papers!$A$2:$A$998,0)),"")</f>
        <v>Dustin Gibson, Adaeze Wosu, George Pariyo, Saifuddin Ahmed, Joseph Ali, Alain Labrique, Iqbal Khan, Elizeus Rutebemberwa, Meerjady Flora, and Adnan Hyder. </v>
      </c>
      <c r="D304" s="265">
        <f t="array" ref="D304">IFerror(INDEX(Papers!F$2:F$998,MATCH($A304, Papers!$A$2:$A$998,0)),"")</f>
        <v>2019</v>
      </c>
      <c r="E304" s="265">
        <f t="array" ref="E304">IFerror(INDEX(Papers!G$2:G$998,MATCH($A304, Papers!$A$2:$A$998,0)),"")</f>
        <v>2017</v>
      </c>
      <c r="F304" s="265" t="s">
        <v>258</v>
      </c>
      <c r="G304" s="266" t="s">
        <v>11</v>
      </c>
      <c r="H304" s="282" t="s">
        <v>293</v>
      </c>
      <c r="I304" s="282" t="s">
        <v>502</v>
      </c>
      <c r="J304" s="268" t="s">
        <v>452</v>
      </c>
      <c r="K304" s="289"/>
      <c r="L304" s="285">
        <f t="shared" ref="L304:L305" si="39">69/377</f>
        <v>0.1830238727</v>
      </c>
      <c r="M304" s="285">
        <f>67/404</f>
        <v>0.1658415842</v>
      </c>
      <c r="N304" s="271"/>
      <c r="O304" s="271">
        <f t="shared" si="21"/>
        <v>0.01718228852</v>
      </c>
    </row>
    <row r="305">
      <c r="A305" s="272">
        <v>26.0</v>
      </c>
      <c r="B305" s="273" t="str">
        <f t="array" ref="B305">IFerror(INDEX(Papers!C$2:C$998,MATCH($A305, Papers!$A$2:$A$998,0)),"")</f>
        <v>Effect of airtime incentives on response and cooperation rates in non-communicable disease interactive voice response surveys: randomised controlled trials in Bangladesh and Uganda</v>
      </c>
      <c r="C305" s="273" t="str">
        <f t="array" ref="C305">IFerror(INDEX(Papers!D$2:D$998,MATCH($A305, Papers!$A$2:$A$998,0)),"")</f>
        <v>Dustin Gibson, Adaeze Wosu, George Pariyo, Saifuddin Ahmed, Joseph Ali, Alain Labrique, Iqbal Khan, Elizeus Rutebemberwa, Meerjady Flora, and Adnan Hyder. </v>
      </c>
      <c r="D305" s="274">
        <f t="array" ref="D305">IFerror(INDEX(Papers!F$2:F$998,MATCH($A305, Papers!$A$2:$A$998,0)),"")</f>
        <v>2019</v>
      </c>
      <c r="E305" s="274">
        <f t="array" ref="E305">IFerror(INDEX(Papers!G$2:G$998,MATCH($A305, Papers!$A$2:$A$998,0)),"")</f>
        <v>2017</v>
      </c>
      <c r="F305" s="274" t="s">
        <v>258</v>
      </c>
      <c r="G305" s="275" t="s">
        <v>11</v>
      </c>
      <c r="H305" s="277" t="s">
        <v>293</v>
      </c>
      <c r="I305" s="277" t="s">
        <v>503</v>
      </c>
      <c r="J305" s="278" t="s">
        <v>452</v>
      </c>
      <c r="K305" s="307"/>
      <c r="L305" s="288">
        <f t="shared" si="39"/>
        <v>0.1830238727</v>
      </c>
      <c r="M305" s="316">
        <f>65/421</f>
        <v>0.1543942993</v>
      </c>
      <c r="N305" s="281"/>
      <c r="O305" s="281">
        <f t="shared" si="21"/>
        <v>0.02862957339</v>
      </c>
    </row>
    <row r="306">
      <c r="A306" s="263">
        <v>26.0</v>
      </c>
      <c r="B306" s="264" t="str">
        <f t="array" ref="B306">IFerror(INDEX(Papers!C$2:C$998,MATCH($A306, Papers!$A$2:$A$998,0)),"")</f>
        <v>Effect of airtime incentives on response and cooperation rates in non-communicable disease interactive voice response surveys: randomised controlled trials in Bangladesh and Uganda</v>
      </c>
      <c r="C306" s="264" t="str">
        <f t="array" ref="C306">IFerror(INDEX(Papers!D$2:D$998,MATCH($A306, Papers!$A$2:$A$998,0)),"")</f>
        <v>Dustin Gibson, Adaeze Wosu, George Pariyo, Saifuddin Ahmed, Joseph Ali, Alain Labrique, Iqbal Khan, Elizeus Rutebemberwa, Meerjady Flora, and Adnan Hyder. </v>
      </c>
      <c r="D306" s="265">
        <f t="array" ref="D306">IFerror(INDEX(Papers!F$2:F$998,MATCH($A306, Papers!$A$2:$A$998,0)),"")</f>
        <v>2019</v>
      </c>
      <c r="E306" s="265">
        <f t="array" ref="E306">IFerror(INDEX(Papers!G$2:G$998,MATCH($A306, Papers!$A$2:$A$998,0)),"")</f>
        <v>2017</v>
      </c>
      <c r="F306" s="265" t="s">
        <v>258</v>
      </c>
      <c r="G306" s="266" t="s">
        <v>11</v>
      </c>
      <c r="H306" s="282" t="s">
        <v>293</v>
      </c>
      <c r="I306" s="282" t="s">
        <v>503</v>
      </c>
      <c r="J306" s="268" t="s">
        <v>506</v>
      </c>
      <c r="K306" s="289"/>
      <c r="L306" s="285">
        <f t="shared" ref="L306:L307" si="40">217/377</f>
        <v>0.575596817</v>
      </c>
      <c r="M306" s="318">
        <f>287/421</f>
        <v>0.6817102138</v>
      </c>
      <c r="N306" s="271"/>
      <c r="O306" s="271">
        <f t="shared" si="21"/>
        <v>-0.1061133968</v>
      </c>
    </row>
    <row r="307">
      <c r="A307" s="272">
        <v>26.0</v>
      </c>
      <c r="B307" s="273" t="str">
        <f t="array" ref="B307">IFerror(INDEX(Papers!C$2:C$998,MATCH($A307, Papers!$A$2:$A$998,0)),"")</f>
        <v>Effect of airtime incentives on response and cooperation rates in non-communicable disease interactive voice response surveys: randomised controlled trials in Bangladesh and Uganda</v>
      </c>
      <c r="C307" s="273" t="str">
        <f t="array" ref="C307">IFerror(INDEX(Papers!D$2:D$998,MATCH($A307, Papers!$A$2:$A$998,0)),"")</f>
        <v>Dustin Gibson, Adaeze Wosu, George Pariyo, Saifuddin Ahmed, Joseph Ali, Alain Labrique, Iqbal Khan, Elizeus Rutebemberwa, Meerjady Flora, and Adnan Hyder. </v>
      </c>
      <c r="D307" s="274">
        <f t="array" ref="D307">IFerror(INDEX(Papers!F$2:F$998,MATCH($A307, Papers!$A$2:$A$998,0)),"")</f>
        <v>2019</v>
      </c>
      <c r="E307" s="274">
        <f t="array" ref="E307">IFerror(INDEX(Papers!G$2:G$998,MATCH($A307, Papers!$A$2:$A$998,0)),"")</f>
        <v>2017</v>
      </c>
      <c r="F307" s="274" t="s">
        <v>258</v>
      </c>
      <c r="G307" s="275" t="s">
        <v>11</v>
      </c>
      <c r="H307" s="277" t="s">
        <v>293</v>
      </c>
      <c r="I307" s="277" t="s">
        <v>502</v>
      </c>
      <c r="J307" s="278" t="s">
        <v>506</v>
      </c>
      <c r="K307" s="307"/>
      <c r="L307" s="288">
        <f t="shared" si="40"/>
        <v>0.575596817</v>
      </c>
      <c r="M307" s="288">
        <f>230/404</f>
        <v>0.5693069307</v>
      </c>
      <c r="N307" s="281"/>
      <c r="O307" s="281">
        <f t="shared" si="21"/>
        <v>0.006289886283</v>
      </c>
    </row>
    <row r="308">
      <c r="A308" s="263">
        <v>26.0</v>
      </c>
      <c r="B308" s="264" t="str">
        <f t="array" ref="B308">IFerror(INDEX(Papers!C$2:C$998,MATCH($A308, Papers!$A$2:$A$998,0)),"")</f>
        <v>Effect of airtime incentives on response and cooperation rates in non-communicable disease interactive voice response surveys: randomised controlled trials in Bangladesh and Uganda</v>
      </c>
      <c r="C308" s="264" t="str">
        <f t="array" ref="C308">IFerror(INDEX(Papers!D$2:D$998,MATCH($A308, Papers!$A$2:$A$998,0)),"")</f>
        <v>Dustin Gibson, Adaeze Wosu, George Pariyo, Saifuddin Ahmed, Joseph Ali, Alain Labrique, Iqbal Khan, Elizeus Rutebemberwa, Meerjady Flora, and Adnan Hyder. </v>
      </c>
      <c r="D308" s="265">
        <f t="array" ref="D308">IFerror(INDEX(Papers!F$2:F$998,MATCH($A308, Papers!$A$2:$A$998,0)),"")</f>
        <v>2019</v>
      </c>
      <c r="E308" s="265">
        <f t="array" ref="E308">IFerror(INDEX(Papers!G$2:G$998,MATCH($A308, Papers!$A$2:$A$998,0)),"")</f>
        <v>2017</v>
      </c>
      <c r="F308" s="265" t="s">
        <v>258</v>
      </c>
      <c r="G308" s="266" t="s">
        <v>11</v>
      </c>
      <c r="H308" s="282" t="s">
        <v>293</v>
      </c>
      <c r="I308" s="282" t="s">
        <v>502</v>
      </c>
      <c r="J308" s="268" t="s">
        <v>507</v>
      </c>
      <c r="K308" s="289"/>
      <c r="L308" s="285">
        <f t="shared" ref="L308:L309" si="41">33/377</f>
        <v>0.0875331565</v>
      </c>
      <c r="M308" s="285">
        <f>35/404</f>
        <v>0.08663366337</v>
      </c>
      <c r="N308" s="271"/>
      <c r="O308" s="271">
        <f t="shared" si="21"/>
        <v>0.0008994931323</v>
      </c>
    </row>
    <row r="309">
      <c r="A309" s="272">
        <v>26.0</v>
      </c>
      <c r="B309" s="273" t="str">
        <f t="array" ref="B309">IFerror(INDEX(Papers!C$2:C$998,MATCH($A309, Papers!$A$2:$A$998,0)),"")</f>
        <v>Effect of airtime incentives on response and cooperation rates in non-communicable disease interactive voice response surveys: randomised controlled trials in Bangladesh and Uganda</v>
      </c>
      <c r="C309" s="273" t="str">
        <f t="array" ref="C309">IFerror(INDEX(Papers!D$2:D$998,MATCH($A309, Papers!$A$2:$A$998,0)),"")</f>
        <v>Dustin Gibson, Adaeze Wosu, George Pariyo, Saifuddin Ahmed, Joseph Ali, Alain Labrique, Iqbal Khan, Elizeus Rutebemberwa, Meerjady Flora, and Adnan Hyder. </v>
      </c>
      <c r="D309" s="274">
        <f t="array" ref="D309">IFerror(INDEX(Papers!F$2:F$998,MATCH($A309, Papers!$A$2:$A$998,0)),"")</f>
        <v>2019</v>
      </c>
      <c r="E309" s="274">
        <f t="array" ref="E309">IFerror(INDEX(Papers!G$2:G$998,MATCH($A309, Papers!$A$2:$A$998,0)),"")</f>
        <v>2017</v>
      </c>
      <c r="F309" s="274" t="s">
        <v>258</v>
      </c>
      <c r="G309" s="275" t="s">
        <v>11</v>
      </c>
      <c r="H309" s="277" t="s">
        <v>293</v>
      </c>
      <c r="I309" s="277" t="s">
        <v>503</v>
      </c>
      <c r="J309" s="278" t="s">
        <v>507</v>
      </c>
      <c r="K309" s="307"/>
      <c r="L309" s="288">
        <f t="shared" si="41"/>
        <v>0.0875331565</v>
      </c>
      <c r="M309" s="316">
        <f>35/421</f>
        <v>0.08313539192</v>
      </c>
      <c r="N309" s="281"/>
      <c r="O309" s="281">
        <f t="shared" si="21"/>
        <v>0.004397764575</v>
      </c>
    </row>
    <row r="310">
      <c r="A310" s="263">
        <v>26.0</v>
      </c>
      <c r="B310" s="264" t="str">
        <f t="array" ref="B310">IFerror(INDEX(Papers!C$2:C$998,MATCH($A310, Papers!$A$2:$A$998,0)),"")</f>
        <v>Effect of airtime incentives on response and cooperation rates in non-communicable disease interactive voice response surveys: randomised controlled trials in Bangladesh and Uganda</v>
      </c>
      <c r="C310" s="264" t="str">
        <f t="array" ref="C310">IFerror(INDEX(Papers!D$2:D$998,MATCH($A310, Papers!$A$2:$A$998,0)),"")</f>
        <v>Dustin Gibson, Adaeze Wosu, George Pariyo, Saifuddin Ahmed, Joseph Ali, Alain Labrique, Iqbal Khan, Elizeus Rutebemberwa, Meerjady Flora, and Adnan Hyder. </v>
      </c>
      <c r="D310" s="265">
        <f t="array" ref="D310">IFerror(INDEX(Papers!F$2:F$998,MATCH($A310, Papers!$A$2:$A$998,0)),"")</f>
        <v>2019</v>
      </c>
      <c r="E310" s="265">
        <f t="array" ref="E310">IFerror(INDEX(Papers!G$2:G$998,MATCH($A310, Papers!$A$2:$A$998,0)),"")</f>
        <v>2017</v>
      </c>
      <c r="F310" s="265" t="s">
        <v>258</v>
      </c>
      <c r="G310" s="266" t="s">
        <v>11</v>
      </c>
      <c r="H310" s="282" t="s">
        <v>293</v>
      </c>
      <c r="I310" s="282" t="s">
        <v>502</v>
      </c>
      <c r="J310" s="268" t="s">
        <v>508</v>
      </c>
      <c r="K310" s="289"/>
      <c r="L310" s="285">
        <f t="shared" ref="L310:L311" si="42">58/377</f>
        <v>0.1538461538</v>
      </c>
      <c r="M310" s="285">
        <f>72/404</f>
        <v>0.1782178218</v>
      </c>
      <c r="N310" s="271"/>
      <c r="O310" s="271">
        <f t="shared" si="21"/>
        <v>-0.02437166794</v>
      </c>
    </row>
    <row r="311">
      <c r="A311" s="272">
        <v>26.0</v>
      </c>
      <c r="B311" s="273" t="str">
        <f t="array" ref="B311">IFerror(INDEX(Papers!C$2:C$998,MATCH($A311, Papers!$A$2:$A$998,0)),"")</f>
        <v>Effect of airtime incentives on response and cooperation rates in non-communicable disease interactive voice response surveys: randomised controlled trials in Bangladesh and Uganda</v>
      </c>
      <c r="C311" s="273" t="str">
        <f t="array" ref="C311">IFerror(INDEX(Papers!D$2:D$998,MATCH($A311, Papers!$A$2:$A$998,0)),"")</f>
        <v>Dustin Gibson, Adaeze Wosu, George Pariyo, Saifuddin Ahmed, Joseph Ali, Alain Labrique, Iqbal Khan, Elizeus Rutebemberwa, Meerjady Flora, and Adnan Hyder. </v>
      </c>
      <c r="D311" s="274">
        <f t="array" ref="D311">IFerror(INDEX(Papers!F$2:F$998,MATCH($A311, Papers!$A$2:$A$998,0)),"")</f>
        <v>2019</v>
      </c>
      <c r="E311" s="274">
        <f t="array" ref="E311">IFerror(INDEX(Papers!G$2:G$998,MATCH($A311, Papers!$A$2:$A$998,0)),"")</f>
        <v>2017</v>
      </c>
      <c r="F311" s="274" t="s">
        <v>258</v>
      </c>
      <c r="G311" s="275" t="s">
        <v>11</v>
      </c>
      <c r="H311" s="277" t="s">
        <v>293</v>
      </c>
      <c r="I311" s="277" t="s">
        <v>503</v>
      </c>
      <c r="J311" s="278" t="s">
        <v>508</v>
      </c>
      <c r="K311" s="307"/>
      <c r="L311" s="288">
        <f t="shared" si="42"/>
        <v>0.1538461538</v>
      </c>
      <c r="M311" s="316">
        <f>54/421</f>
        <v>0.1282660333</v>
      </c>
      <c r="N311" s="281"/>
      <c r="O311" s="281">
        <f t="shared" si="21"/>
        <v>0.02558012059</v>
      </c>
    </row>
    <row r="312">
      <c r="A312" s="263">
        <v>26.0</v>
      </c>
      <c r="B312" s="264" t="str">
        <f t="array" ref="B312">IFerror(INDEX(Papers!C$2:C$998,MATCH($A312, Papers!$A$2:$A$998,0)),"")</f>
        <v>Effect of airtime incentives on response and cooperation rates in non-communicable disease interactive voice response surveys: randomised controlled trials in Bangladesh and Uganda</v>
      </c>
      <c r="C312" s="264" t="str">
        <f t="array" ref="C312">IFerror(INDEX(Papers!D$2:D$998,MATCH($A312, Papers!$A$2:$A$998,0)),"")</f>
        <v>Dustin Gibson, Adaeze Wosu, George Pariyo, Saifuddin Ahmed, Joseph Ali, Alain Labrique, Iqbal Khan, Elizeus Rutebemberwa, Meerjady Flora, and Adnan Hyder. </v>
      </c>
      <c r="D312" s="265">
        <f t="array" ref="D312">IFerror(INDEX(Papers!F$2:F$998,MATCH($A312, Papers!$A$2:$A$998,0)),"")</f>
        <v>2019</v>
      </c>
      <c r="E312" s="265">
        <f t="array" ref="E312">IFerror(INDEX(Papers!G$2:G$998,MATCH($A312, Papers!$A$2:$A$998,0)),"")</f>
        <v>2017</v>
      </c>
      <c r="F312" s="265" t="s">
        <v>238</v>
      </c>
      <c r="G312" s="266" t="s">
        <v>11</v>
      </c>
      <c r="H312" s="282" t="s">
        <v>293</v>
      </c>
      <c r="I312" s="282" t="s">
        <v>500</v>
      </c>
      <c r="J312" s="268" t="s">
        <v>427</v>
      </c>
      <c r="K312" s="289"/>
      <c r="L312" s="318">
        <f t="shared" ref="L312:L313" si="43">170/353</f>
        <v>0.4815864023</v>
      </c>
      <c r="M312" s="318">
        <f>205/370</f>
        <v>0.5540540541</v>
      </c>
      <c r="N312" s="271" t="str">
        <f t="shared" ref="N312:N509" si="44">if(AND(K312&lt;&gt;0,M312&lt;&gt;0),K312-M312,"")</f>
        <v/>
      </c>
      <c r="O312" s="271">
        <f t="shared" si="21"/>
        <v>-0.07246765179</v>
      </c>
    </row>
    <row r="313">
      <c r="A313" s="272">
        <v>26.0</v>
      </c>
      <c r="B313" s="273" t="str">
        <f t="array" ref="B313">IFerror(INDEX(Papers!C$2:C$998,MATCH($A313, Papers!$A$2:$A$998,0)),"")</f>
        <v>Effect of airtime incentives on response and cooperation rates in non-communicable disease interactive voice response surveys: randomised controlled trials in Bangladesh and Uganda</v>
      </c>
      <c r="C313" s="273" t="str">
        <f t="array" ref="C313">IFerror(INDEX(Papers!D$2:D$998,MATCH($A313, Papers!$A$2:$A$998,0)),"")</f>
        <v>Dustin Gibson, Adaeze Wosu, George Pariyo, Saifuddin Ahmed, Joseph Ali, Alain Labrique, Iqbal Khan, Elizeus Rutebemberwa, Meerjady Flora, and Adnan Hyder. </v>
      </c>
      <c r="D313" s="274">
        <f t="array" ref="D313">IFerror(INDEX(Papers!F$2:F$998,MATCH($A313, Papers!$A$2:$A$998,0)),"")</f>
        <v>2019</v>
      </c>
      <c r="E313" s="274">
        <f t="array" ref="E313">IFerror(INDEX(Papers!G$2:G$998,MATCH($A313, Papers!$A$2:$A$998,0)),"")</f>
        <v>2017</v>
      </c>
      <c r="F313" s="274" t="s">
        <v>238</v>
      </c>
      <c r="G313" s="275" t="s">
        <v>11</v>
      </c>
      <c r="H313" s="277" t="s">
        <v>293</v>
      </c>
      <c r="I313" s="277" t="s">
        <v>501</v>
      </c>
      <c r="J313" s="278" t="s">
        <v>427</v>
      </c>
      <c r="K313" s="307"/>
      <c r="L313" s="316">
        <f t="shared" si="43"/>
        <v>0.4815864023</v>
      </c>
      <c r="M313" s="316">
        <f>188/362</f>
        <v>0.5193370166</v>
      </c>
      <c r="N313" s="281" t="str">
        <f t="shared" si="44"/>
        <v/>
      </c>
      <c r="O313" s="281">
        <f t="shared" si="21"/>
        <v>-0.03775061431</v>
      </c>
    </row>
    <row r="314">
      <c r="A314" s="263">
        <v>26.0</v>
      </c>
      <c r="B314" s="264" t="str">
        <f t="array" ref="B314">IFerror(INDEX(Papers!C$2:C$998,MATCH($A314, Papers!$A$2:$A$998,0)),"")</f>
        <v>Effect of airtime incentives on response and cooperation rates in non-communicable disease interactive voice response surveys: randomised controlled trials in Bangladesh and Uganda</v>
      </c>
      <c r="C314" s="264" t="str">
        <f t="array" ref="C314">IFerror(INDEX(Papers!D$2:D$998,MATCH($A314, Papers!$A$2:$A$998,0)),"")</f>
        <v>Dustin Gibson, Adaeze Wosu, George Pariyo, Saifuddin Ahmed, Joseph Ali, Alain Labrique, Iqbal Khan, Elizeus Rutebemberwa, Meerjady Flora, and Adnan Hyder. </v>
      </c>
      <c r="D314" s="265">
        <f t="array" ref="D314">IFerror(INDEX(Papers!F$2:F$998,MATCH($A314, Papers!$A$2:$A$998,0)),"")</f>
        <v>2019</v>
      </c>
      <c r="E314" s="265">
        <f t="array" ref="E314">IFerror(INDEX(Papers!G$2:G$998,MATCH($A314, Papers!$A$2:$A$998,0)),"")</f>
        <v>2017</v>
      </c>
      <c r="F314" s="265" t="s">
        <v>258</v>
      </c>
      <c r="G314" s="266" t="s">
        <v>11</v>
      </c>
      <c r="H314" s="282" t="s">
        <v>293</v>
      </c>
      <c r="I314" s="282" t="s">
        <v>503</v>
      </c>
      <c r="J314" s="268" t="s">
        <v>427</v>
      </c>
      <c r="K314" s="289"/>
      <c r="L314" s="318">
        <f t="shared" ref="L314:L315" si="45">206/377</f>
        <v>0.5464190981</v>
      </c>
      <c r="M314" s="318">
        <f>243/421</f>
        <v>0.5771971496</v>
      </c>
      <c r="N314" s="271" t="str">
        <f t="shared" si="44"/>
        <v/>
      </c>
      <c r="O314" s="271">
        <f t="shared" si="21"/>
        <v>-0.0307780515</v>
      </c>
    </row>
    <row r="315">
      <c r="A315" s="272">
        <v>26.0</v>
      </c>
      <c r="B315" s="273" t="str">
        <f t="array" ref="B315">IFerror(INDEX(Papers!C$2:C$998,MATCH($A315, Papers!$A$2:$A$998,0)),"")</f>
        <v>Effect of airtime incentives on response and cooperation rates in non-communicable disease interactive voice response surveys: randomised controlled trials in Bangladesh and Uganda</v>
      </c>
      <c r="C315" s="273" t="str">
        <f t="array" ref="C315">IFerror(INDEX(Papers!D$2:D$998,MATCH($A315, Papers!$A$2:$A$998,0)),"")</f>
        <v>Dustin Gibson, Adaeze Wosu, George Pariyo, Saifuddin Ahmed, Joseph Ali, Alain Labrique, Iqbal Khan, Elizeus Rutebemberwa, Meerjady Flora, and Adnan Hyder. </v>
      </c>
      <c r="D315" s="274">
        <f t="array" ref="D315">IFerror(INDEX(Papers!F$2:F$998,MATCH($A315, Papers!$A$2:$A$998,0)),"")</f>
        <v>2019</v>
      </c>
      <c r="E315" s="274">
        <f t="array" ref="E315">IFerror(INDEX(Papers!G$2:G$998,MATCH($A315, Papers!$A$2:$A$998,0)),"")</f>
        <v>2017</v>
      </c>
      <c r="F315" s="274" t="s">
        <v>258</v>
      </c>
      <c r="G315" s="275" t="s">
        <v>11</v>
      </c>
      <c r="H315" s="277" t="s">
        <v>293</v>
      </c>
      <c r="I315" s="277" t="s">
        <v>502</v>
      </c>
      <c r="J315" s="278" t="s">
        <v>427</v>
      </c>
      <c r="K315" s="307"/>
      <c r="L315" s="316">
        <f t="shared" si="45"/>
        <v>0.5464190981</v>
      </c>
      <c r="M315" s="316">
        <f>228/404</f>
        <v>0.5643564356</v>
      </c>
      <c r="N315" s="281" t="str">
        <f t="shared" si="44"/>
        <v/>
      </c>
      <c r="O315" s="281">
        <f t="shared" si="21"/>
        <v>-0.0179373375</v>
      </c>
    </row>
    <row r="316">
      <c r="A316" s="263">
        <v>27.0</v>
      </c>
      <c r="B316" s="264" t="str">
        <f t="array" ref="B316">IFerror(INDEX(Papers!C$2:C$998,MATCH($A316, Papers!$A$2:$A$998,0)),"")</f>
        <v>Practical Considerations with Using Mobile Phone Survey Incentives: Experiences in Ghana and Tanzania</v>
      </c>
      <c r="C316" s="264" t="str">
        <f t="array" ref="C316">IFerror(INDEX(Papers!D$2:D$998,MATCH($A316, Papers!$A$2:$A$998,0)),"")</f>
        <v>Brian Leo and Robert Morello</v>
      </c>
      <c r="D316" s="265">
        <f t="array" ref="D316">IFerror(INDEX(Papers!F$2:F$998,MATCH($A316, Papers!$A$2:$A$998,0)),"")</f>
        <v>2016</v>
      </c>
      <c r="E316" s="265">
        <f t="array" ref="E316">IFerror(INDEX(Papers!G$2:G$998,MATCH($A316, Papers!$A$2:$A$998,0)),"")</f>
        <v>2015</v>
      </c>
      <c r="F316" s="265" t="s">
        <v>257</v>
      </c>
      <c r="G316" s="266" t="s">
        <v>9</v>
      </c>
      <c r="H316" s="282" t="s">
        <v>293</v>
      </c>
      <c r="I316" s="282" t="s">
        <v>509</v>
      </c>
      <c r="J316" s="268" t="s">
        <v>439</v>
      </c>
      <c r="K316" s="289"/>
      <c r="L316" s="285">
        <v>0.53</v>
      </c>
      <c r="M316" s="285">
        <v>0.57</v>
      </c>
      <c r="N316" s="271" t="str">
        <f t="shared" si="44"/>
        <v/>
      </c>
      <c r="O316" s="271">
        <f t="shared" si="21"/>
        <v>-0.04</v>
      </c>
    </row>
    <row r="317">
      <c r="A317" s="272">
        <v>27.0</v>
      </c>
      <c r="B317" s="273" t="str">
        <f t="array" ref="B317">IFerror(INDEX(Papers!C$2:C$998,MATCH($A317, Papers!$A$2:$A$998,0)),"")</f>
        <v>Practical Considerations with Using Mobile Phone Survey Incentives: Experiences in Ghana and Tanzania</v>
      </c>
      <c r="C317" s="273" t="str">
        <f t="array" ref="C317">IFerror(INDEX(Papers!D$2:D$998,MATCH($A317, Papers!$A$2:$A$998,0)),"")</f>
        <v>Brian Leo and Robert Morello</v>
      </c>
      <c r="D317" s="274">
        <f t="array" ref="D317">IFerror(INDEX(Papers!F$2:F$998,MATCH($A317, Papers!$A$2:$A$998,0)),"")</f>
        <v>2016</v>
      </c>
      <c r="E317" s="274">
        <f t="array" ref="E317">IFerror(INDEX(Papers!G$2:G$998,MATCH($A317, Papers!$A$2:$A$998,0)),"")</f>
        <v>2015</v>
      </c>
      <c r="F317" s="274" t="s">
        <v>243</v>
      </c>
      <c r="G317" s="275" t="s">
        <v>9</v>
      </c>
      <c r="H317" s="277" t="s">
        <v>293</v>
      </c>
      <c r="I317" s="276" t="s">
        <v>510</v>
      </c>
      <c r="J317" s="278" t="s">
        <v>439</v>
      </c>
      <c r="K317" s="307"/>
      <c r="L317" s="288">
        <v>0.5</v>
      </c>
      <c r="M317" s="288">
        <v>0.53</v>
      </c>
      <c r="N317" s="281" t="str">
        <f t="shared" si="44"/>
        <v/>
      </c>
      <c r="O317" s="281">
        <f t="shared" si="21"/>
        <v>-0.03</v>
      </c>
    </row>
    <row r="318">
      <c r="A318" s="263">
        <v>27.0</v>
      </c>
      <c r="B318" s="264" t="str">
        <f t="array" ref="B318">IFerror(INDEX(Papers!C$2:C$998,MATCH($A318, Papers!$A$2:$A$998,0)),"")</f>
        <v>Practical Considerations with Using Mobile Phone Survey Incentives: Experiences in Ghana and Tanzania</v>
      </c>
      <c r="C318" s="264" t="str">
        <f t="array" ref="C318">IFerror(INDEX(Papers!D$2:D$998,MATCH($A318, Papers!$A$2:$A$998,0)),"")</f>
        <v>Brian Leo and Robert Morello</v>
      </c>
      <c r="D318" s="265">
        <f t="array" ref="D318">IFerror(INDEX(Papers!F$2:F$998,MATCH($A318, Papers!$A$2:$A$998,0)),"")</f>
        <v>2016</v>
      </c>
      <c r="E318" s="265">
        <f t="array" ref="E318">IFerror(INDEX(Papers!G$2:G$998,MATCH($A318, Papers!$A$2:$A$998,0)),"")</f>
        <v>2015</v>
      </c>
      <c r="F318" s="265" t="s">
        <v>243</v>
      </c>
      <c r="G318" s="266" t="s">
        <v>9</v>
      </c>
      <c r="H318" s="282" t="s">
        <v>293</v>
      </c>
      <c r="I318" s="282" t="s">
        <v>511</v>
      </c>
      <c r="J318" s="268" t="s">
        <v>439</v>
      </c>
      <c r="K318" s="289"/>
      <c r="L318" s="285">
        <v>0.52</v>
      </c>
      <c r="M318" s="285">
        <v>0.53</v>
      </c>
      <c r="N318" s="271" t="str">
        <f t="shared" si="44"/>
        <v/>
      </c>
      <c r="O318" s="271">
        <f t="shared" si="21"/>
        <v>-0.01</v>
      </c>
    </row>
    <row r="319">
      <c r="A319" s="272">
        <v>27.0</v>
      </c>
      <c r="B319" s="273" t="str">
        <f t="array" ref="B319">IFerror(INDEX(Papers!C$2:C$998,MATCH($A319, Papers!$A$2:$A$998,0)),"")</f>
        <v>Practical Considerations with Using Mobile Phone Survey Incentives: Experiences in Ghana and Tanzania</v>
      </c>
      <c r="C319" s="273" t="str">
        <f t="array" ref="C319">IFerror(INDEX(Papers!D$2:D$998,MATCH($A319, Papers!$A$2:$A$998,0)),"")</f>
        <v>Brian Leo and Robert Morello</v>
      </c>
      <c r="D319" s="274">
        <f t="array" ref="D319">IFerror(INDEX(Papers!F$2:F$998,MATCH($A319, Papers!$A$2:$A$998,0)),"")</f>
        <v>2016</v>
      </c>
      <c r="E319" s="274">
        <f t="array" ref="E319">IFerror(INDEX(Papers!G$2:G$998,MATCH($A319, Papers!$A$2:$A$998,0)),"")</f>
        <v>2015</v>
      </c>
      <c r="F319" s="274" t="s">
        <v>257</v>
      </c>
      <c r="G319" s="275" t="s">
        <v>9</v>
      </c>
      <c r="H319" s="277" t="s">
        <v>293</v>
      </c>
      <c r="I319" s="276" t="s">
        <v>510</v>
      </c>
      <c r="J319" s="278" t="s">
        <v>439</v>
      </c>
      <c r="K319" s="307"/>
      <c r="L319" s="288">
        <v>0.52</v>
      </c>
      <c r="M319" s="288">
        <v>0.53</v>
      </c>
      <c r="N319" s="281" t="str">
        <f t="shared" si="44"/>
        <v/>
      </c>
      <c r="O319" s="281">
        <f t="shared" si="21"/>
        <v>-0.01</v>
      </c>
    </row>
    <row r="320">
      <c r="A320" s="263">
        <v>27.0</v>
      </c>
      <c r="B320" s="264" t="str">
        <f t="array" ref="B320">IFerror(INDEX(Papers!C$2:C$998,MATCH($A320, Papers!$A$2:$A$998,0)),"")</f>
        <v>Practical Considerations with Using Mobile Phone Survey Incentives: Experiences in Ghana and Tanzania</v>
      </c>
      <c r="C320" s="264" t="str">
        <f t="array" ref="C320">IFerror(INDEX(Papers!D$2:D$998,MATCH($A320, Papers!$A$2:$A$998,0)),"")</f>
        <v>Brian Leo and Robert Morello</v>
      </c>
      <c r="D320" s="265">
        <f t="array" ref="D320">IFerror(INDEX(Papers!F$2:F$998,MATCH($A320, Papers!$A$2:$A$998,0)),"")</f>
        <v>2016</v>
      </c>
      <c r="E320" s="265">
        <f t="array" ref="E320">IFerror(INDEX(Papers!G$2:G$998,MATCH($A320, Papers!$A$2:$A$998,0)),"")</f>
        <v>2015</v>
      </c>
      <c r="F320" s="265" t="s">
        <v>243</v>
      </c>
      <c r="G320" s="266" t="s">
        <v>9</v>
      </c>
      <c r="H320" s="282" t="s">
        <v>293</v>
      </c>
      <c r="I320" s="282" t="s">
        <v>512</v>
      </c>
      <c r="J320" s="268" t="s">
        <v>439</v>
      </c>
      <c r="K320" s="289"/>
      <c r="L320" s="285">
        <v>0.52</v>
      </c>
      <c r="M320" s="285">
        <v>0.52</v>
      </c>
      <c r="N320" s="271" t="str">
        <f t="shared" si="44"/>
        <v/>
      </c>
      <c r="O320" s="271">
        <f t="shared" si="21"/>
        <v>0</v>
      </c>
    </row>
    <row r="321">
      <c r="A321" s="272">
        <v>27.0</v>
      </c>
      <c r="B321" s="273" t="str">
        <f t="array" ref="B321">IFerror(INDEX(Papers!C$2:C$998,MATCH($A321, Papers!$A$2:$A$998,0)),"")</f>
        <v>Practical Considerations with Using Mobile Phone Survey Incentives: Experiences in Ghana and Tanzania</v>
      </c>
      <c r="C321" s="273" t="str">
        <f t="array" ref="C321">IFerror(INDEX(Papers!D$2:D$998,MATCH($A321, Papers!$A$2:$A$998,0)),"")</f>
        <v>Brian Leo and Robert Morello</v>
      </c>
      <c r="D321" s="274">
        <f t="array" ref="D321">IFerror(INDEX(Papers!F$2:F$998,MATCH($A321, Papers!$A$2:$A$998,0)),"")</f>
        <v>2016</v>
      </c>
      <c r="E321" s="274">
        <f t="array" ref="E321">IFerror(INDEX(Papers!G$2:G$998,MATCH($A321, Papers!$A$2:$A$998,0)),"")</f>
        <v>2015</v>
      </c>
      <c r="F321" s="274" t="s">
        <v>257</v>
      </c>
      <c r="G321" s="275" t="s">
        <v>9</v>
      </c>
      <c r="H321" s="277" t="s">
        <v>293</v>
      </c>
      <c r="I321" s="277" t="s">
        <v>513</v>
      </c>
      <c r="J321" s="278" t="s">
        <v>439</v>
      </c>
      <c r="K321" s="307"/>
      <c r="L321" s="288">
        <v>0.53</v>
      </c>
      <c r="M321" s="288">
        <v>0.52</v>
      </c>
      <c r="N321" s="281" t="str">
        <f t="shared" si="44"/>
        <v/>
      </c>
      <c r="O321" s="281">
        <f t="shared" si="21"/>
        <v>0.01</v>
      </c>
    </row>
    <row r="322">
      <c r="A322" s="263">
        <v>27.0</v>
      </c>
      <c r="B322" s="264" t="str">
        <f t="array" ref="B322">IFerror(INDEX(Papers!C$2:C$998,MATCH($A322, Papers!$A$2:$A$998,0)),"")</f>
        <v>Practical Considerations with Using Mobile Phone Survey Incentives: Experiences in Ghana and Tanzania</v>
      </c>
      <c r="C322" s="264" t="str">
        <f t="array" ref="C322">IFerror(INDEX(Papers!D$2:D$998,MATCH($A322, Papers!$A$2:$A$998,0)),"")</f>
        <v>Brian Leo and Robert Morello</v>
      </c>
      <c r="D322" s="265">
        <f t="array" ref="D322">IFerror(INDEX(Papers!F$2:F$998,MATCH($A322, Papers!$A$2:$A$998,0)),"")</f>
        <v>2016</v>
      </c>
      <c r="E322" s="265">
        <f t="array" ref="E322">IFerror(INDEX(Papers!G$2:G$998,MATCH($A322, Papers!$A$2:$A$998,0)),"")</f>
        <v>2015</v>
      </c>
      <c r="F322" s="265" t="s">
        <v>257</v>
      </c>
      <c r="G322" s="266" t="s">
        <v>9</v>
      </c>
      <c r="H322" s="282" t="s">
        <v>293</v>
      </c>
      <c r="I322" s="282" t="s">
        <v>514</v>
      </c>
      <c r="J322" s="268" t="s">
        <v>439</v>
      </c>
      <c r="K322" s="289"/>
      <c r="L322" s="285">
        <v>0.53</v>
      </c>
      <c r="M322" s="285">
        <v>0.49</v>
      </c>
      <c r="N322" s="271" t="str">
        <f t="shared" si="44"/>
        <v/>
      </c>
      <c r="O322" s="271">
        <f t="shared" si="21"/>
        <v>0.04</v>
      </c>
    </row>
    <row r="323">
      <c r="A323" s="272">
        <v>27.0</v>
      </c>
      <c r="B323" s="273" t="str">
        <f t="array" ref="B323">IFerror(INDEX(Papers!C$2:C$998,MATCH($A323, Papers!$A$2:$A$998,0)),"")</f>
        <v>Practical Considerations with Using Mobile Phone Survey Incentives: Experiences in Ghana and Tanzania</v>
      </c>
      <c r="C323" s="273" t="str">
        <f t="array" ref="C323">IFerror(INDEX(Papers!D$2:D$998,MATCH($A323, Papers!$A$2:$A$998,0)),"")</f>
        <v>Brian Leo and Robert Morello</v>
      </c>
      <c r="D323" s="274">
        <f t="array" ref="D323">IFerror(INDEX(Papers!F$2:F$998,MATCH($A323, Papers!$A$2:$A$998,0)),"")</f>
        <v>2016</v>
      </c>
      <c r="E323" s="274">
        <f t="array" ref="E323">IFerror(INDEX(Papers!G$2:G$998,MATCH($A323, Papers!$A$2:$A$998,0)),"")</f>
        <v>2015</v>
      </c>
      <c r="F323" s="274" t="s">
        <v>243</v>
      </c>
      <c r="G323" s="275" t="s">
        <v>9</v>
      </c>
      <c r="H323" s="277" t="s">
        <v>293</v>
      </c>
      <c r="I323" s="277" t="s">
        <v>515</v>
      </c>
      <c r="J323" s="278" t="s">
        <v>439</v>
      </c>
      <c r="K323" s="307"/>
      <c r="L323" s="288">
        <v>0.52</v>
      </c>
      <c r="M323" s="288">
        <v>0.45</v>
      </c>
      <c r="N323" s="281" t="str">
        <f t="shared" si="44"/>
        <v/>
      </c>
      <c r="O323" s="281">
        <f t="shared" si="21"/>
        <v>0.07</v>
      </c>
    </row>
    <row r="324">
      <c r="A324" s="263">
        <v>27.0</v>
      </c>
      <c r="B324" s="264" t="str">
        <f t="array" ref="B324">IFerror(INDEX(Papers!C$2:C$998,MATCH($A324, Papers!$A$2:$A$998,0)),"")</f>
        <v>Practical Considerations with Using Mobile Phone Survey Incentives: Experiences in Ghana and Tanzania</v>
      </c>
      <c r="C324" s="264" t="str">
        <f t="array" ref="C324">IFerror(INDEX(Papers!D$2:D$998,MATCH($A324, Papers!$A$2:$A$998,0)),"")</f>
        <v>Brian Leo and Robert Morello</v>
      </c>
      <c r="D324" s="265">
        <f t="array" ref="D324">IFerror(INDEX(Papers!F$2:F$998,MATCH($A324, Papers!$A$2:$A$998,0)),"")</f>
        <v>2016</v>
      </c>
      <c r="E324" s="265">
        <f t="array" ref="E324">IFerror(INDEX(Papers!G$2:G$998,MATCH($A324, Papers!$A$2:$A$998,0)),"")</f>
        <v>2015</v>
      </c>
      <c r="F324" s="265" t="s">
        <v>243</v>
      </c>
      <c r="G324" s="266" t="s">
        <v>9</v>
      </c>
      <c r="H324" s="282" t="s">
        <v>293</v>
      </c>
      <c r="I324" s="282" t="s">
        <v>515</v>
      </c>
      <c r="J324" s="268" t="s">
        <v>440</v>
      </c>
      <c r="K324" s="289"/>
      <c r="L324" s="285">
        <v>0.26</v>
      </c>
      <c r="M324" s="285">
        <v>0.32</v>
      </c>
      <c r="N324" s="271" t="str">
        <f t="shared" si="44"/>
        <v/>
      </c>
      <c r="O324" s="271">
        <f t="shared" si="21"/>
        <v>-0.06</v>
      </c>
    </row>
    <row r="325">
      <c r="A325" s="272">
        <v>27.0</v>
      </c>
      <c r="B325" s="273" t="str">
        <f t="array" ref="B325">IFerror(INDEX(Papers!C$2:C$998,MATCH($A325, Papers!$A$2:$A$998,0)),"")</f>
        <v>Practical Considerations with Using Mobile Phone Survey Incentives: Experiences in Ghana and Tanzania</v>
      </c>
      <c r="C325" s="273" t="str">
        <f t="array" ref="C325">IFerror(INDEX(Papers!D$2:D$998,MATCH($A325, Papers!$A$2:$A$998,0)),"")</f>
        <v>Brian Leo and Robert Morello</v>
      </c>
      <c r="D325" s="274">
        <f t="array" ref="D325">IFerror(INDEX(Papers!F$2:F$998,MATCH($A325, Papers!$A$2:$A$998,0)),"")</f>
        <v>2016</v>
      </c>
      <c r="E325" s="274">
        <f t="array" ref="E325">IFerror(INDEX(Papers!G$2:G$998,MATCH($A325, Papers!$A$2:$A$998,0)),"")</f>
        <v>2015</v>
      </c>
      <c r="F325" s="274" t="s">
        <v>257</v>
      </c>
      <c r="G325" s="275" t="s">
        <v>9</v>
      </c>
      <c r="H325" s="277" t="s">
        <v>293</v>
      </c>
      <c r="I325" s="277" t="s">
        <v>509</v>
      </c>
      <c r="J325" s="278" t="s">
        <v>440</v>
      </c>
      <c r="K325" s="307"/>
      <c r="L325" s="288">
        <v>0.27</v>
      </c>
      <c r="M325" s="288">
        <v>0.32</v>
      </c>
      <c r="N325" s="281" t="str">
        <f t="shared" si="44"/>
        <v/>
      </c>
      <c r="O325" s="281">
        <f t="shared" si="21"/>
        <v>-0.05</v>
      </c>
    </row>
    <row r="326">
      <c r="A326" s="263">
        <v>27.0</v>
      </c>
      <c r="B326" s="264" t="str">
        <f t="array" ref="B326">IFerror(INDEX(Papers!C$2:C$998,MATCH($A326, Papers!$A$2:$A$998,0)),"")</f>
        <v>Practical Considerations with Using Mobile Phone Survey Incentives: Experiences in Ghana and Tanzania</v>
      </c>
      <c r="C326" s="264" t="str">
        <f t="array" ref="C326">IFerror(INDEX(Papers!D$2:D$998,MATCH($A326, Papers!$A$2:$A$998,0)),"")</f>
        <v>Brian Leo and Robert Morello</v>
      </c>
      <c r="D326" s="265">
        <f t="array" ref="D326">IFerror(INDEX(Papers!F$2:F$998,MATCH($A326, Papers!$A$2:$A$998,0)),"")</f>
        <v>2016</v>
      </c>
      <c r="E326" s="265">
        <f t="array" ref="E326">IFerror(INDEX(Papers!G$2:G$998,MATCH($A326, Papers!$A$2:$A$998,0)),"")</f>
        <v>2015</v>
      </c>
      <c r="F326" s="265" t="s">
        <v>257</v>
      </c>
      <c r="G326" s="266" t="s">
        <v>9</v>
      </c>
      <c r="H326" s="282" t="s">
        <v>293</v>
      </c>
      <c r="I326" s="282" t="s">
        <v>513</v>
      </c>
      <c r="J326" s="268" t="s">
        <v>440</v>
      </c>
      <c r="K326" s="289"/>
      <c r="L326" s="285">
        <v>0.27</v>
      </c>
      <c r="M326" s="285">
        <v>0.32</v>
      </c>
      <c r="N326" s="271" t="str">
        <f t="shared" si="44"/>
        <v/>
      </c>
      <c r="O326" s="271">
        <f t="shared" si="21"/>
        <v>-0.05</v>
      </c>
    </row>
    <row r="327">
      <c r="A327" s="272">
        <v>27.0</v>
      </c>
      <c r="B327" s="273" t="str">
        <f t="array" ref="B327">IFerror(INDEX(Papers!C$2:C$998,MATCH($A327, Papers!$A$2:$A$998,0)),"")</f>
        <v>Practical Considerations with Using Mobile Phone Survey Incentives: Experiences in Ghana and Tanzania</v>
      </c>
      <c r="C327" s="273" t="str">
        <f t="array" ref="C327">IFerror(INDEX(Papers!D$2:D$998,MATCH($A327, Papers!$A$2:$A$998,0)),"")</f>
        <v>Brian Leo and Robert Morello</v>
      </c>
      <c r="D327" s="274">
        <f t="array" ref="D327">IFerror(INDEX(Papers!F$2:F$998,MATCH($A327, Papers!$A$2:$A$998,0)),"")</f>
        <v>2016</v>
      </c>
      <c r="E327" s="274">
        <f t="array" ref="E327">IFerror(INDEX(Papers!G$2:G$998,MATCH($A327, Papers!$A$2:$A$998,0)),"")</f>
        <v>2015</v>
      </c>
      <c r="F327" s="274" t="s">
        <v>257</v>
      </c>
      <c r="G327" s="275" t="s">
        <v>9</v>
      </c>
      <c r="H327" s="277" t="s">
        <v>293</v>
      </c>
      <c r="I327" s="277" t="s">
        <v>514</v>
      </c>
      <c r="J327" s="278" t="s">
        <v>440</v>
      </c>
      <c r="K327" s="307"/>
      <c r="L327" s="288">
        <v>0.27</v>
      </c>
      <c r="M327" s="288">
        <v>0.29</v>
      </c>
      <c r="N327" s="281" t="str">
        <f t="shared" si="44"/>
        <v/>
      </c>
      <c r="O327" s="281">
        <f t="shared" si="21"/>
        <v>-0.02</v>
      </c>
    </row>
    <row r="328">
      <c r="A328" s="263">
        <v>27.0</v>
      </c>
      <c r="B328" s="264" t="str">
        <f t="array" ref="B328">IFerror(INDEX(Papers!C$2:C$998,MATCH($A328, Papers!$A$2:$A$998,0)),"")</f>
        <v>Practical Considerations with Using Mobile Phone Survey Incentives: Experiences in Ghana and Tanzania</v>
      </c>
      <c r="C328" s="264" t="str">
        <f t="array" ref="C328">IFerror(INDEX(Papers!D$2:D$998,MATCH($A328, Papers!$A$2:$A$998,0)),"")</f>
        <v>Brian Leo and Robert Morello</v>
      </c>
      <c r="D328" s="265">
        <f t="array" ref="D328">IFerror(INDEX(Papers!F$2:F$998,MATCH($A328, Papers!$A$2:$A$998,0)),"")</f>
        <v>2016</v>
      </c>
      <c r="E328" s="265">
        <f t="array" ref="E328">IFerror(INDEX(Papers!G$2:G$998,MATCH($A328, Papers!$A$2:$A$998,0)),"")</f>
        <v>2015</v>
      </c>
      <c r="F328" s="265" t="s">
        <v>243</v>
      </c>
      <c r="G328" s="266" t="s">
        <v>9</v>
      </c>
      <c r="H328" s="282" t="s">
        <v>293</v>
      </c>
      <c r="I328" s="282" t="s">
        <v>512</v>
      </c>
      <c r="J328" s="268" t="s">
        <v>440</v>
      </c>
      <c r="K328" s="289"/>
      <c r="L328" s="285">
        <v>0.26</v>
      </c>
      <c r="M328" s="285">
        <v>0.27</v>
      </c>
      <c r="N328" s="271" t="str">
        <f t="shared" si="44"/>
        <v/>
      </c>
      <c r="O328" s="271">
        <f t="shared" si="21"/>
        <v>-0.01</v>
      </c>
    </row>
    <row r="329">
      <c r="A329" s="272">
        <v>27.0</v>
      </c>
      <c r="B329" s="273" t="str">
        <f t="array" ref="B329">IFerror(INDEX(Papers!C$2:C$998,MATCH($A329, Papers!$A$2:$A$998,0)),"")</f>
        <v>Practical Considerations with Using Mobile Phone Survey Incentives: Experiences in Ghana and Tanzania</v>
      </c>
      <c r="C329" s="273" t="str">
        <f t="array" ref="C329">IFerror(INDEX(Papers!D$2:D$998,MATCH($A329, Papers!$A$2:$A$998,0)),"")</f>
        <v>Brian Leo and Robert Morello</v>
      </c>
      <c r="D329" s="274">
        <f t="array" ref="D329">IFerror(INDEX(Papers!F$2:F$998,MATCH($A329, Papers!$A$2:$A$998,0)),"")</f>
        <v>2016</v>
      </c>
      <c r="E329" s="274">
        <f t="array" ref="E329">IFerror(INDEX(Papers!G$2:G$998,MATCH($A329, Papers!$A$2:$A$998,0)),"")</f>
        <v>2015</v>
      </c>
      <c r="F329" s="274" t="s">
        <v>257</v>
      </c>
      <c r="G329" s="275" t="s">
        <v>9</v>
      </c>
      <c r="H329" s="277" t="s">
        <v>293</v>
      </c>
      <c r="I329" s="276" t="s">
        <v>510</v>
      </c>
      <c r="J329" s="278" t="s">
        <v>440</v>
      </c>
      <c r="K329" s="307"/>
      <c r="L329" s="288">
        <v>0.27</v>
      </c>
      <c r="M329" s="288">
        <v>0.28</v>
      </c>
      <c r="N329" s="281" t="str">
        <f t="shared" si="44"/>
        <v/>
      </c>
      <c r="O329" s="281">
        <f t="shared" si="21"/>
        <v>-0.01</v>
      </c>
    </row>
    <row r="330">
      <c r="A330" s="263">
        <v>27.0</v>
      </c>
      <c r="B330" s="264" t="str">
        <f t="array" ref="B330">IFerror(INDEX(Papers!C$2:C$998,MATCH($A330, Papers!$A$2:$A$998,0)),"")</f>
        <v>Practical Considerations with Using Mobile Phone Survey Incentives: Experiences in Ghana and Tanzania</v>
      </c>
      <c r="C330" s="264" t="str">
        <f t="array" ref="C330">IFerror(INDEX(Papers!D$2:D$998,MATCH($A330, Papers!$A$2:$A$998,0)),"")</f>
        <v>Brian Leo and Robert Morello</v>
      </c>
      <c r="D330" s="265">
        <f t="array" ref="D330">IFerror(INDEX(Papers!F$2:F$998,MATCH($A330, Papers!$A$2:$A$998,0)),"")</f>
        <v>2016</v>
      </c>
      <c r="E330" s="265">
        <f t="array" ref="E330">IFerror(INDEX(Papers!G$2:G$998,MATCH($A330, Papers!$A$2:$A$998,0)),"")</f>
        <v>2015</v>
      </c>
      <c r="F330" s="265" t="s">
        <v>243</v>
      </c>
      <c r="G330" s="266" t="s">
        <v>9</v>
      </c>
      <c r="H330" s="282" t="s">
        <v>293</v>
      </c>
      <c r="I330" s="282" t="s">
        <v>511</v>
      </c>
      <c r="J330" s="268" t="s">
        <v>440</v>
      </c>
      <c r="K330" s="289"/>
      <c r="L330" s="285">
        <v>0.26</v>
      </c>
      <c r="M330" s="285">
        <v>0.26</v>
      </c>
      <c r="N330" s="271" t="str">
        <f t="shared" si="44"/>
        <v/>
      </c>
      <c r="O330" s="271">
        <f t="shared" si="21"/>
        <v>0</v>
      </c>
    </row>
    <row r="331">
      <c r="A331" s="272">
        <v>27.0</v>
      </c>
      <c r="B331" s="273" t="str">
        <f t="array" ref="B331">IFerror(INDEX(Papers!C$2:C$998,MATCH($A331, Papers!$A$2:$A$998,0)),"")</f>
        <v>Practical Considerations with Using Mobile Phone Survey Incentives: Experiences in Ghana and Tanzania</v>
      </c>
      <c r="C331" s="273" t="str">
        <f t="array" ref="C331">IFerror(INDEX(Papers!D$2:D$998,MATCH($A331, Papers!$A$2:$A$998,0)),"")</f>
        <v>Brian Leo and Robert Morello</v>
      </c>
      <c r="D331" s="274">
        <f t="array" ref="D331">IFerror(INDEX(Papers!F$2:F$998,MATCH($A331, Papers!$A$2:$A$998,0)),"")</f>
        <v>2016</v>
      </c>
      <c r="E331" s="274">
        <f t="array" ref="E331">IFerror(INDEX(Papers!G$2:G$998,MATCH($A331, Papers!$A$2:$A$998,0)),"")</f>
        <v>2015</v>
      </c>
      <c r="F331" s="274" t="s">
        <v>243</v>
      </c>
      <c r="G331" s="275" t="s">
        <v>9</v>
      </c>
      <c r="H331" s="277" t="s">
        <v>293</v>
      </c>
      <c r="I331" s="276" t="s">
        <v>510</v>
      </c>
      <c r="J331" s="278" t="s">
        <v>440</v>
      </c>
      <c r="K331" s="307"/>
      <c r="L331" s="288">
        <v>0.28</v>
      </c>
      <c r="M331" s="288">
        <v>0.25</v>
      </c>
      <c r="N331" s="281" t="str">
        <f t="shared" si="44"/>
        <v/>
      </c>
      <c r="O331" s="281">
        <f t="shared" si="21"/>
        <v>0.03</v>
      </c>
    </row>
    <row r="332">
      <c r="A332" s="263">
        <v>27.0</v>
      </c>
      <c r="B332" s="264" t="str">
        <f t="array" ref="B332">IFerror(INDEX(Papers!C$2:C$998,MATCH($A332, Papers!$A$2:$A$998,0)),"")</f>
        <v>Practical Considerations with Using Mobile Phone Survey Incentives: Experiences in Ghana and Tanzania</v>
      </c>
      <c r="C332" s="264" t="str">
        <f t="array" ref="C332">IFerror(INDEX(Papers!D$2:D$998,MATCH($A332, Papers!$A$2:$A$998,0)),"")</f>
        <v>Brian Leo and Robert Morello</v>
      </c>
      <c r="D332" s="265">
        <f t="array" ref="D332">IFerror(INDEX(Papers!F$2:F$998,MATCH($A332, Papers!$A$2:$A$998,0)),"")</f>
        <v>2016</v>
      </c>
      <c r="E332" s="265">
        <f t="array" ref="E332">IFerror(INDEX(Papers!G$2:G$998,MATCH($A332, Papers!$A$2:$A$998,0)),"")</f>
        <v>2015</v>
      </c>
      <c r="F332" s="265" t="s">
        <v>243</v>
      </c>
      <c r="G332" s="266" t="s">
        <v>9</v>
      </c>
      <c r="H332" s="282" t="s">
        <v>293</v>
      </c>
      <c r="I332" s="282" t="s">
        <v>511</v>
      </c>
      <c r="J332" s="268" t="s">
        <v>442</v>
      </c>
      <c r="K332" s="289"/>
      <c r="L332" s="285">
        <v>0.09</v>
      </c>
      <c r="M332" s="285">
        <v>0.09</v>
      </c>
      <c r="N332" s="271" t="str">
        <f t="shared" si="44"/>
        <v/>
      </c>
      <c r="O332" s="271">
        <f t="shared" si="21"/>
        <v>0</v>
      </c>
    </row>
    <row r="333">
      <c r="A333" s="272">
        <v>27.0</v>
      </c>
      <c r="B333" s="273" t="str">
        <f t="array" ref="B333">IFerror(INDEX(Papers!C$2:C$998,MATCH($A333, Papers!$A$2:$A$998,0)),"")</f>
        <v>Practical Considerations with Using Mobile Phone Survey Incentives: Experiences in Ghana and Tanzania</v>
      </c>
      <c r="C333" s="273" t="str">
        <f t="array" ref="C333">IFerror(INDEX(Papers!D$2:D$998,MATCH($A333, Papers!$A$2:$A$998,0)),"")</f>
        <v>Brian Leo and Robert Morello</v>
      </c>
      <c r="D333" s="274">
        <f t="array" ref="D333">IFerror(INDEX(Papers!F$2:F$998,MATCH($A333, Papers!$A$2:$A$998,0)),"")</f>
        <v>2016</v>
      </c>
      <c r="E333" s="274">
        <f t="array" ref="E333">IFerror(INDEX(Papers!G$2:G$998,MATCH($A333, Papers!$A$2:$A$998,0)),"")</f>
        <v>2015</v>
      </c>
      <c r="F333" s="274" t="s">
        <v>257</v>
      </c>
      <c r="G333" s="275" t="s">
        <v>9</v>
      </c>
      <c r="H333" s="277" t="s">
        <v>293</v>
      </c>
      <c r="I333" s="277" t="s">
        <v>514</v>
      </c>
      <c r="J333" s="278" t="s">
        <v>442</v>
      </c>
      <c r="K333" s="307"/>
      <c r="L333" s="288">
        <v>0.14</v>
      </c>
      <c r="M333" s="288">
        <v>0.14</v>
      </c>
      <c r="N333" s="281" t="str">
        <f t="shared" si="44"/>
        <v/>
      </c>
      <c r="O333" s="281">
        <f t="shared" si="21"/>
        <v>0</v>
      </c>
    </row>
    <row r="334">
      <c r="A334" s="263">
        <v>27.0</v>
      </c>
      <c r="B334" s="264" t="str">
        <f t="array" ref="B334">IFerror(INDEX(Papers!C$2:C$998,MATCH($A334, Papers!$A$2:$A$998,0)),"")</f>
        <v>Practical Considerations with Using Mobile Phone Survey Incentives: Experiences in Ghana and Tanzania</v>
      </c>
      <c r="C334" s="264" t="str">
        <f t="array" ref="C334">IFerror(INDEX(Papers!D$2:D$998,MATCH($A334, Papers!$A$2:$A$998,0)),"")</f>
        <v>Brian Leo and Robert Morello</v>
      </c>
      <c r="D334" s="265">
        <f t="array" ref="D334">IFerror(INDEX(Papers!F$2:F$998,MATCH($A334, Papers!$A$2:$A$998,0)),"")</f>
        <v>2016</v>
      </c>
      <c r="E334" s="265">
        <f t="array" ref="E334">IFerror(INDEX(Papers!G$2:G$998,MATCH($A334, Papers!$A$2:$A$998,0)),"")</f>
        <v>2015</v>
      </c>
      <c r="F334" s="265" t="s">
        <v>243</v>
      </c>
      <c r="G334" s="266" t="s">
        <v>9</v>
      </c>
      <c r="H334" s="282" t="s">
        <v>293</v>
      </c>
      <c r="I334" s="267" t="s">
        <v>510</v>
      </c>
      <c r="J334" s="268" t="s">
        <v>442</v>
      </c>
      <c r="K334" s="289"/>
      <c r="L334" s="285">
        <v>0.09</v>
      </c>
      <c r="M334" s="285">
        <v>0.08</v>
      </c>
      <c r="N334" s="271" t="str">
        <f t="shared" si="44"/>
        <v/>
      </c>
      <c r="O334" s="271">
        <f t="shared" si="21"/>
        <v>0.01</v>
      </c>
    </row>
    <row r="335">
      <c r="A335" s="272">
        <v>27.0</v>
      </c>
      <c r="B335" s="273" t="str">
        <f t="array" ref="B335">IFerror(INDEX(Papers!C$2:C$998,MATCH($A335, Papers!$A$2:$A$998,0)),"")</f>
        <v>Practical Considerations with Using Mobile Phone Survey Incentives: Experiences in Ghana and Tanzania</v>
      </c>
      <c r="C335" s="273" t="str">
        <f t="array" ref="C335">IFerror(INDEX(Papers!D$2:D$998,MATCH($A335, Papers!$A$2:$A$998,0)),"")</f>
        <v>Brian Leo and Robert Morello</v>
      </c>
      <c r="D335" s="274">
        <f t="array" ref="D335">IFerror(INDEX(Papers!F$2:F$998,MATCH($A335, Papers!$A$2:$A$998,0)),"")</f>
        <v>2016</v>
      </c>
      <c r="E335" s="274">
        <f t="array" ref="E335">IFerror(INDEX(Papers!G$2:G$998,MATCH($A335, Papers!$A$2:$A$998,0)),"")</f>
        <v>2015</v>
      </c>
      <c r="F335" s="274" t="s">
        <v>257</v>
      </c>
      <c r="G335" s="275" t="s">
        <v>9</v>
      </c>
      <c r="H335" s="277" t="s">
        <v>293</v>
      </c>
      <c r="I335" s="277" t="s">
        <v>513</v>
      </c>
      <c r="J335" s="278" t="s">
        <v>442</v>
      </c>
      <c r="K335" s="307"/>
      <c r="L335" s="288">
        <v>0.14</v>
      </c>
      <c r="M335" s="288">
        <v>0.13</v>
      </c>
      <c r="N335" s="281" t="str">
        <f t="shared" si="44"/>
        <v/>
      </c>
      <c r="O335" s="281">
        <f t="shared" si="21"/>
        <v>0.01</v>
      </c>
    </row>
    <row r="336">
      <c r="A336" s="263">
        <v>27.0</v>
      </c>
      <c r="B336" s="264" t="str">
        <f t="array" ref="B336">IFerror(INDEX(Papers!C$2:C$998,MATCH($A336, Papers!$A$2:$A$998,0)),"")</f>
        <v>Practical Considerations with Using Mobile Phone Survey Incentives: Experiences in Ghana and Tanzania</v>
      </c>
      <c r="C336" s="264" t="str">
        <f t="array" ref="C336">IFerror(INDEX(Papers!D$2:D$998,MATCH($A336, Papers!$A$2:$A$998,0)),"")</f>
        <v>Brian Leo and Robert Morello</v>
      </c>
      <c r="D336" s="265">
        <f t="array" ref="D336">IFerror(INDEX(Papers!F$2:F$998,MATCH($A336, Papers!$A$2:$A$998,0)),"")</f>
        <v>2016</v>
      </c>
      <c r="E336" s="265">
        <f t="array" ref="E336">IFerror(INDEX(Papers!G$2:G$998,MATCH($A336, Papers!$A$2:$A$998,0)),"")</f>
        <v>2015</v>
      </c>
      <c r="F336" s="265" t="s">
        <v>257</v>
      </c>
      <c r="G336" s="266" t="s">
        <v>9</v>
      </c>
      <c r="H336" s="282" t="s">
        <v>293</v>
      </c>
      <c r="I336" s="267" t="s">
        <v>510</v>
      </c>
      <c r="J336" s="268" t="s">
        <v>442</v>
      </c>
      <c r="K336" s="289"/>
      <c r="L336" s="285">
        <v>0.14</v>
      </c>
      <c r="M336" s="285">
        <v>0.13</v>
      </c>
      <c r="N336" s="271" t="str">
        <f t="shared" si="44"/>
        <v/>
      </c>
      <c r="O336" s="271">
        <f t="shared" si="21"/>
        <v>0.01</v>
      </c>
    </row>
    <row r="337">
      <c r="A337" s="272">
        <v>27.0</v>
      </c>
      <c r="B337" s="273" t="str">
        <f t="array" ref="B337">IFerror(INDEX(Papers!C$2:C$998,MATCH($A337, Papers!$A$2:$A$998,0)),"")</f>
        <v>Practical Considerations with Using Mobile Phone Survey Incentives: Experiences in Ghana and Tanzania</v>
      </c>
      <c r="C337" s="273" t="str">
        <f t="array" ref="C337">IFerror(INDEX(Papers!D$2:D$998,MATCH($A337, Papers!$A$2:$A$998,0)),"")</f>
        <v>Brian Leo and Robert Morello</v>
      </c>
      <c r="D337" s="274">
        <f t="array" ref="D337">IFerror(INDEX(Papers!F$2:F$998,MATCH($A337, Papers!$A$2:$A$998,0)),"")</f>
        <v>2016</v>
      </c>
      <c r="E337" s="274">
        <f t="array" ref="E337">IFerror(INDEX(Papers!G$2:G$998,MATCH($A337, Papers!$A$2:$A$998,0)),"")</f>
        <v>2015</v>
      </c>
      <c r="F337" s="274" t="s">
        <v>243</v>
      </c>
      <c r="G337" s="275" t="s">
        <v>9</v>
      </c>
      <c r="H337" s="277" t="s">
        <v>293</v>
      </c>
      <c r="I337" s="277" t="s">
        <v>512</v>
      </c>
      <c r="J337" s="278" t="s">
        <v>442</v>
      </c>
      <c r="K337" s="307"/>
      <c r="L337" s="288">
        <v>0.09</v>
      </c>
      <c r="M337" s="288">
        <v>0.07</v>
      </c>
      <c r="N337" s="281" t="str">
        <f t="shared" si="44"/>
        <v/>
      </c>
      <c r="O337" s="281">
        <f t="shared" si="21"/>
        <v>0.02</v>
      </c>
    </row>
    <row r="338">
      <c r="A338" s="263">
        <v>27.0</v>
      </c>
      <c r="B338" s="264" t="str">
        <f t="array" ref="B338">IFerror(INDEX(Papers!C$2:C$998,MATCH($A338, Papers!$A$2:$A$998,0)),"")</f>
        <v>Practical Considerations with Using Mobile Phone Survey Incentives: Experiences in Ghana and Tanzania</v>
      </c>
      <c r="C338" s="264" t="str">
        <f t="array" ref="C338">IFerror(INDEX(Papers!D$2:D$998,MATCH($A338, Papers!$A$2:$A$998,0)),"")</f>
        <v>Brian Leo and Robert Morello</v>
      </c>
      <c r="D338" s="265">
        <f t="array" ref="D338">IFerror(INDEX(Papers!F$2:F$998,MATCH($A338, Papers!$A$2:$A$998,0)),"")</f>
        <v>2016</v>
      </c>
      <c r="E338" s="265">
        <f t="array" ref="E338">IFerror(INDEX(Papers!G$2:G$998,MATCH($A338, Papers!$A$2:$A$998,0)),"")</f>
        <v>2015</v>
      </c>
      <c r="F338" s="265" t="s">
        <v>243</v>
      </c>
      <c r="G338" s="266" t="s">
        <v>9</v>
      </c>
      <c r="H338" s="282" t="s">
        <v>293</v>
      </c>
      <c r="I338" s="282" t="s">
        <v>515</v>
      </c>
      <c r="J338" s="268" t="s">
        <v>442</v>
      </c>
      <c r="K338" s="289"/>
      <c r="L338" s="285">
        <v>0.09</v>
      </c>
      <c r="M338" s="285">
        <v>0.07</v>
      </c>
      <c r="N338" s="271" t="str">
        <f t="shared" si="44"/>
        <v/>
      </c>
      <c r="O338" s="271">
        <f t="shared" si="21"/>
        <v>0.02</v>
      </c>
    </row>
    <row r="339">
      <c r="A339" s="272">
        <v>27.0</v>
      </c>
      <c r="B339" s="273" t="str">
        <f t="array" ref="B339">IFerror(INDEX(Papers!C$2:C$998,MATCH($A339, Papers!$A$2:$A$998,0)),"")</f>
        <v>Practical Considerations with Using Mobile Phone Survey Incentives: Experiences in Ghana and Tanzania</v>
      </c>
      <c r="C339" s="273" t="str">
        <f t="array" ref="C339">IFerror(INDEX(Papers!D$2:D$998,MATCH($A339, Papers!$A$2:$A$998,0)),"")</f>
        <v>Brian Leo and Robert Morello</v>
      </c>
      <c r="D339" s="274">
        <f t="array" ref="D339">IFerror(INDEX(Papers!F$2:F$998,MATCH($A339, Papers!$A$2:$A$998,0)),"")</f>
        <v>2016</v>
      </c>
      <c r="E339" s="274">
        <f t="array" ref="E339">IFerror(INDEX(Papers!G$2:G$998,MATCH($A339, Papers!$A$2:$A$998,0)),"")</f>
        <v>2015</v>
      </c>
      <c r="F339" s="274" t="s">
        <v>257</v>
      </c>
      <c r="G339" s="275" t="s">
        <v>9</v>
      </c>
      <c r="H339" s="277" t="s">
        <v>293</v>
      </c>
      <c r="I339" s="277" t="s">
        <v>509</v>
      </c>
      <c r="J339" s="278" t="s">
        <v>442</v>
      </c>
      <c r="K339" s="307"/>
      <c r="L339" s="288">
        <v>0.14</v>
      </c>
      <c r="M339" s="288">
        <v>0.11</v>
      </c>
      <c r="N339" s="281" t="str">
        <f t="shared" si="44"/>
        <v/>
      </c>
      <c r="O339" s="281">
        <f t="shared" si="21"/>
        <v>0.03</v>
      </c>
    </row>
    <row r="340">
      <c r="A340" s="263">
        <v>27.0</v>
      </c>
      <c r="B340" s="264" t="str">
        <f t="array" ref="B340">IFerror(INDEX(Papers!C$2:C$998,MATCH($A340, Papers!$A$2:$A$998,0)),"")</f>
        <v>Practical Considerations with Using Mobile Phone Survey Incentives: Experiences in Ghana and Tanzania</v>
      </c>
      <c r="C340" s="264" t="str">
        <f t="array" ref="C340">IFerror(INDEX(Papers!D$2:D$998,MATCH($A340, Papers!$A$2:$A$998,0)),"")</f>
        <v>Brian Leo and Robert Morello</v>
      </c>
      <c r="D340" s="265">
        <f t="array" ref="D340">IFerror(INDEX(Papers!F$2:F$998,MATCH($A340, Papers!$A$2:$A$998,0)),"")</f>
        <v>2016</v>
      </c>
      <c r="E340" s="265">
        <f t="array" ref="E340">IFerror(INDEX(Papers!G$2:G$998,MATCH($A340, Papers!$A$2:$A$998,0)),"")</f>
        <v>2015</v>
      </c>
      <c r="F340" s="265" t="s">
        <v>243</v>
      </c>
      <c r="G340" s="266" t="s">
        <v>9</v>
      </c>
      <c r="H340" s="282" t="s">
        <v>293</v>
      </c>
      <c r="I340" s="267" t="s">
        <v>510</v>
      </c>
      <c r="J340" s="268" t="s">
        <v>443</v>
      </c>
      <c r="K340" s="289"/>
      <c r="L340" s="285">
        <v>0.04</v>
      </c>
      <c r="M340" s="285">
        <v>0.05</v>
      </c>
      <c r="N340" s="271" t="str">
        <f t="shared" si="44"/>
        <v/>
      </c>
      <c r="O340" s="271">
        <f t="shared" si="21"/>
        <v>-0.01</v>
      </c>
    </row>
    <row r="341">
      <c r="A341" s="272">
        <v>27.0</v>
      </c>
      <c r="B341" s="273" t="str">
        <f t="array" ref="B341">IFerror(INDEX(Papers!C$2:C$998,MATCH($A341, Papers!$A$2:$A$998,0)),"")</f>
        <v>Practical Considerations with Using Mobile Phone Survey Incentives: Experiences in Ghana and Tanzania</v>
      </c>
      <c r="C341" s="273" t="str">
        <f t="array" ref="C341">IFerror(INDEX(Papers!D$2:D$998,MATCH($A341, Papers!$A$2:$A$998,0)),"")</f>
        <v>Brian Leo and Robert Morello</v>
      </c>
      <c r="D341" s="274">
        <f t="array" ref="D341">IFerror(INDEX(Papers!F$2:F$998,MATCH($A341, Papers!$A$2:$A$998,0)),"")</f>
        <v>2016</v>
      </c>
      <c r="E341" s="274">
        <f t="array" ref="E341">IFerror(INDEX(Papers!G$2:G$998,MATCH($A341, Papers!$A$2:$A$998,0)),"")</f>
        <v>2015</v>
      </c>
      <c r="F341" s="274" t="s">
        <v>257</v>
      </c>
      <c r="G341" s="275" t="s">
        <v>9</v>
      </c>
      <c r="H341" s="277" t="s">
        <v>293</v>
      </c>
      <c r="I341" s="277" t="s">
        <v>509</v>
      </c>
      <c r="J341" s="278" t="s">
        <v>443</v>
      </c>
      <c r="K341" s="307"/>
      <c r="L341" s="288">
        <v>0.03</v>
      </c>
      <c r="M341" s="288">
        <v>0.04</v>
      </c>
      <c r="N341" s="281" t="str">
        <f t="shared" si="44"/>
        <v/>
      </c>
      <c r="O341" s="281">
        <f t="shared" si="21"/>
        <v>-0.01</v>
      </c>
    </row>
    <row r="342">
      <c r="A342" s="263">
        <v>27.0</v>
      </c>
      <c r="B342" s="264" t="str">
        <f t="array" ref="B342">IFerror(INDEX(Papers!C$2:C$998,MATCH($A342, Papers!$A$2:$A$998,0)),"")</f>
        <v>Practical Considerations with Using Mobile Phone Survey Incentives: Experiences in Ghana and Tanzania</v>
      </c>
      <c r="C342" s="264" t="str">
        <f t="array" ref="C342">IFerror(INDEX(Papers!D$2:D$998,MATCH($A342, Papers!$A$2:$A$998,0)),"")</f>
        <v>Brian Leo and Robert Morello</v>
      </c>
      <c r="D342" s="265">
        <f t="array" ref="D342">IFerror(INDEX(Papers!F$2:F$998,MATCH($A342, Papers!$A$2:$A$998,0)),"")</f>
        <v>2016</v>
      </c>
      <c r="E342" s="265">
        <f t="array" ref="E342">IFerror(INDEX(Papers!G$2:G$998,MATCH($A342, Papers!$A$2:$A$998,0)),"")</f>
        <v>2015</v>
      </c>
      <c r="F342" s="265" t="s">
        <v>257</v>
      </c>
      <c r="G342" s="266" t="s">
        <v>9</v>
      </c>
      <c r="H342" s="282" t="s">
        <v>293</v>
      </c>
      <c r="I342" s="282" t="s">
        <v>514</v>
      </c>
      <c r="J342" s="268" t="s">
        <v>443</v>
      </c>
      <c r="K342" s="289"/>
      <c r="L342" s="285">
        <v>0.03</v>
      </c>
      <c r="M342" s="285">
        <v>0.04</v>
      </c>
      <c r="N342" s="271" t="str">
        <f t="shared" si="44"/>
        <v/>
      </c>
      <c r="O342" s="271">
        <f t="shared" si="21"/>
        <v>-0.01</v>
      </c>
    </row>
    <row r="343">
      <c r="A343" s="272">
        <v>27.0</v>
      </c>
      <c r="B343" s="273" t="str">
        <f t="array" ref="B343">IFerror(INDEX(Papers!C$2:C$998,MATCH($A343, Papers!$A$2:$A$998,0)),"")</f>
        <v>Practical Considerations with Using Mobile Phone Survey Incentives: Experiences in Ghana and Tanzania</v>
      </c>
      <c r="C343" s="273" t="str">
        <f t="array" ref="C343">IFerror(INDEX(Papers!D$2:D$998,MATCH($A343, Papers!$A$2:$A$998,0)),"")</f>
        <v>Brian Leo and Robert Morello</v>
      </c>
      <c r="D343" s="274">
        <f t="array" ref="D343">IFerror(INDEX(Papers!F$2:F$998,MATCH($A343, Papers!$A$2:$A$998,0)),"")</f>
        <v>2016</v>
      </c>
      <c r="E343" s="274">
        <f t="array" ref="E343">IFerror(INDEX(Papers!G$2:G$998,MATCH($A343, Papers!$A$2:$A$998,0)),"")</f>
        <v>2015</v>
      </c>
      <c r="F343" s="274" t="s">
        <v>243</v>
      </c>
      <c r="G343" s="275" t="s">
        <v>9</v>
      </c>
      <c r="H343" s="277" t="s">
        <v>293</v>
      </c>
      <c r="I343" s="277" t="s">
        <v>512</v>
      </c>
      <c r="J343" s="278" t="s">
        <v>443</v>
      </c>
      <c r="K343" s="307"/>
      <c r="L343" s="288">
        <v>0.05</v>
      </c>
      <c r="M343" s="288">
        <v>0.05</v>
      </c>
      <c r="N343" s="281" t="str">
        <f t="shared" si="44"/>
        <v/>
      </c>
      <c r="O343" s="281">
        <f t="shared" si="21"/>
        <v>0</v>
      </c>
    </row>
    <row r="344">
      <c r="A344" s="263">
        <v>27.0</v>
      </c>
      <c r="B344" s="264" t="str">
        <f t="array" ref="B344">IFerror(INDEX(Papers!C$2:C$998,MATCH($A344, Papers!$A$2:$A$998,0)),"")</f>
        <v>Practical Considerations with Using Mobile Phone Survey Incentives: Experiences in Ghana and Tanzania</v>
      </c>
      <c r="C344" s="264" t="str">
        <f t="array" ref="C344">IFerror(INDEX(Papers!D$2:D$998,MATCH($A344, Papers!$A$2:$A$998,0)),"")</f>
        <v>Brian Leo and Robert Morello</v>
      </c>
      <c r="D344" s="265">
        <f t="array" ref="D344">IFerror(INDEX(Papers!F$2:F$998,MATCH($A344, Papers!$A$2:$A$998,0)),"")</f>
        <v>2016</v>
      </c>
      <c r="E344" s="265">
        <f t="array" ref="E344">IFerror(INDEX(Papers!G$2:G$998,MATCH($A344, Papers!$A$2:$A$998,0)),"")</f>
        <v>2015</v>
      </c>
      <c r="F344" s="265" t="s">
        <v>243</v>
      </c>
      <c r="G344" s="266" t="s">
        <v>9</v>
      </c>
      <c r="H344" s="282" t="s">
        <v>293</v>
      </c>
      <c r="I344" s="282" t="s">
        <v>515</v>
      </c>
      <c r="J344" s="268" t="s">
        <v>443</v>
      </c>
      <c r="K344" s="289"/>
      <c r="L344" s="285">
        <v>0.05</v>
      </c>
      <c r="M344" s="285">
        <v>0.05</v>
      </c>
      <c r="N344" s="271" t="str">
        <f t="shared" si="44"/>
        <v/>
      </c>
      <c r="O344" s="271">
        <f t="shared" si="21"/>
        <v>0</v>
      </c>
    </row>
    <row r="345">
      <c r="A345" s="272">
        <v>27.0</v>
      </c>
      <c r="B345" s="273" t="str">
        <f t="array" ref="B345">IFerror(INDEX(Papers!C$2:C$998,MATCH($A345, Papers!$A$2:$A$998,0)),"")</f>
        <v>Practical Considerations with Using Mobile Phone Survey Incentives: Experiences in Ghana and Tanzania</v>
      </c>
      <c r="C345" s="273" t="str">
        <f t="array" ref="C345">IFerror(INDEX(Papers!D$2:D$998,MATCH($A345, Papers!$A$2:$A$998,0)),"")</f>
        <v>Brian Leo and Robert Morello</v>
      </c>
      <c r="D345" s="274">
        <f t="array" ref="D345">IFerror(INDEX(Papers!F$2:F$998,MATCH($A345, Papers!$A$2:$A$998,0)),"")</f>
        <v>2016</v>
      </c>
      <c r="E345" s="274">
        <f t="array" ref="E345">IFerror(INDEX(Papers!G$2:G$998,MATCH($A345, Papers!$A$2:$A$998,0)),"")</f>
        <v>2015</v>
      </c>
      <c r="F345" s="274" t="s">
        <v>257</v>
      </c>
      <c r="G345" s="275" t="s">
        <v>9</v>
      </c>
      <c r="H345" s="277" t="s">
        <v>293</v>
      </c>
      <c r="I345" s="277" t="s">
        <v>513</v>
      </c>
      <c r="J345" s="278" t="s">
        <v>443</v>
      </c>
      <c r="K345" s="307"/>
      <c r="L345" s="288">
        <v>0.03</v>
      </c>
      <c r="M345" s="288">
        <v>0.02</v>
      </c>
      <c r="N345" s="281" t="str">
        <f t="shared" si="44"/>
        <v/>
      </c>
      <c r="O345" s="281">
        <f t="shared" si="21"/>
        <v>0.01</v>
      </c>
    </row>
    <row r="346">
      <c r="A346" s="263">
        <v>27.0</v>
      </c>
      <c r="B346" s="264" t="str">
        <f t="array" ref="B346">IFerror(INDEX(Papers!C$2:C$998,MATCH($A346, Papers!$A$2:$A$998,0)),"")</f>
        <v>Practical Considerations with Using Mobile Phone Survey Incentives: Experiences in Ghana and Tanzania</v>
      </c>
      <c r="C346" s="264" t="str">
        <f t="array" ref="C346">IFerror(INDEX(Papers!D$2:D$998,MATCH($A346, Papers!$A$2:$A$998,0)),"")</f>
        <v>Brian Leo and Robert Morello</v>
      </c>
      <c r="D346" s="265">
        <f t="array" ref="D346">IFerror(INDEX(Papers!F$2:F$998,MATCH($A346, Papers!$A$2:$A$998,0)),"")</f>
        <v>2016</v>
      </c>
      <c r="E346" s="265">
        <f t="array" ref="E346">IFerror(INDEX(Papers!G$2:G$998,MATCH($A346, Papers!$A$2:$A$998,0)),"")</f>
        <v>2015</v>
      </c>
      <c r="F346" s="265" t="s">
        <v>257</v>
      </c>
      <c r="G346" s="266" t="s">
        <v>9</v>
      </c>
      <c r="H346" s="282" t="s">
        <v>293</v>
      </c>
      <c r="I346" s="267" t="s">
        <v>510</v>
      </c>
      <c r="J346" s="268" t="s">
        <v>443</v>
      </c>
      <c r="K346" s="289"/>
      <c r="L346" s="285">
        <v>0.04</v>
      </c>
      <c r="M346" s="285">
        <v>0.03</v>
      </c>
      <c r="N346" s="271" t="str">
        <f t="shared" si="44"/>
        <v/>
      </c>
      <c r="O346" s="271">
        <f t="shared" si="21"/>
        <v>0.01</v>
      </c>
    </row>
    <row r="347">
      <c r="A347" s="272">
        <v>27.0</v>
      </c>
      <c r="B347" s="273" t="str">
        <f t="array" ref="B347">IFerror(INDEX(Papers!C$2:C$998,MATCH($A347, Papers!$A$2:$A$998,0)),"")</f>
        <v>Practical Considerations with Using Mobile Phone Survey Incentives: Experiences in Ghana and Tanzania</v>
      </c>
      <c r="C347" s="273" t="str">
        <f t="array" ref="C347">IFerror(INDEX(Papers!D$2:D$998,MATCH($A347, Papers!$A$2:$A$998,0)),"")</f>
        <v>Brian Leo and Robert Morello</v>
      </c>
      <c r="D347" s="274">
        <f t="array" ref="D347">IFerror(INDEX(Papers!F$2:F$998,MATCH($A347, Papers!$A$2:$A$998,0)),"")</f>
        <v>2016</v>
      </c>
      <c r="E347" s="274">
        <f t="array" ref="E347">IFerror(INDEX(Papers!G$2:G$998,MATCH($A347, Papers!$A$2:$A$998,0)),"")</f>
        <v>2015</v>
      </c>
      <c r="F347" s="274" t="s">
        <v>243</v>
      </c>
      <c r="G347" s="275" t="s">
        <v>9</v>
      </c>
      <c r="H347" s="277" t="s">
        <v>293</v>
      </c>
      <c r="I347" s="277" t="s">
        <v>511</v>
      </c>
      <c r="J347" s="278" t="s">
        <v>443</v>
      </c>
      <c r="K347" s="307"/>
      <c r="L347" s="288">
        <v>0.05</v>
      </c>
      <c r="M347" s="288">
        <v>0.03</v>
      </c>
      <c r="N347" s="281" t="str">
        <f t="shared" si="44"/>
        <v/>
      </c>
      <c r="O347" s="281">
        <f t="shared" si="21"/>
        <v>0.02</v>
      </c>
    </row>
    <row r="348">
      <c r="A348" s="263">
        <v>27.0</v>
      </c>
      <c r="B348" s="264" t="str">
        <f t="array" ref="B348">IFerror(INDEX(Papers!C$2:C$998,MATCH($A348, Papers!$A$2:$A$998,0)),"")</f>
        <v>Practical Considerations with Using Mobile Phone Survey Incentives: Experiences in Ghana and Tanzania</v>
      </c>
      <c r="C348" s="264" t="str">
        <f t="array" ref="C348">IFerror(INDEX(Papers!D$2:D$998,MATCH($A348, Papers!$A$2:$A$998,0)),"")</f>
        <v>Brian Leo and Robert Morello</v>
      </c>
      <c r="D348" s="265">
        <f t="array" ref="D348">IFerror(INDEX(Papers!F$2:F$998,MATCH($A348, Papers!$A$2:$A$998,0)),"")</f>
        <v>2016</v>
      </c>
      <c r="E348" s="265">
        <f t="array" ref="E348">IFerror(INDEX(Papers!G$2:G$998,MATCH($A348, Papers!$A$2:$A$998,0)),"")</f>
        <v>2015</v>
      </c>
      <c r="F348" s="265" t="s">
        <v>257</v>
      </c>
      <c r="G348" s="266" t="s">
        <v>9</v>
      </c>
      <c r="H348" s="282" t="s">
        <v>293</v>
      </c>
      <c r="I348" s="282" t="s">
        <v>514</v>
      </c>
      <c r="J348" s="268" t="s">
        <v>516</v>
      </c>
      <c r="K348" s="289"/>
      <c r="L348" s="285">
        <v>0.02</v>
      </c>
      <c r="M348" s="285">
        <v>0.03</v>
      </c>
      <c r="N348" s="271" t="str">
        <f t="shared" si="44"/>
        <v/>
      </c>
      <c r="O348" s="271">
        <f t="shared" si="21"/>
        <v>-0.01</v>
      </c>
    </row>
    <row r="349">
      <c r="A349" s="272">
        <v>27.0</v>
      </c>
      <c r="B349" s="273" t="str">
        <f t="array" ref="B349">IFerror(INDEX(Papers!C$2:C$998,MATCH($A349, Papers!$A$2:$A$998,0)),"")</f>
        <v>Practical Considerations with Using Mobile Phone Survey Incentives: Experiences in Ghana and Tanzania</v>
      </c>
      <c r="C349" s="273" t="str">
        <f t="array" ref="C349">IFerror(INDEX(Papers!D$2:D$998,MATCH($A349, Papers!$A$2:$A$998,0)),"")</f>
        <v>Brian Leo and Robert Morello</v>
      </c>
      <c r="D349" s="274">
        <f t="array" ref="D349">IFerror(INDEX(Papers!F$2:F$998,MATCH($A349, Papers!$A$2:$A$998,0)),"")</f>
        <v>2016</v>
      </c>
      <c r="E349" s="274">
        <f t="array" ref="E349">IFerror(INDEX(Papers!G$2:G$998,MATCH($A349, Papers!$A$2:$A$998,0)),"")</f>
        <v>2015</v>
      </c>
      <c r="F349" s="274" t="s">
        <v>257</v>
      </c>
      <c r="G349" s="275" t="s">
        <v>9</v>
      </c>
      <c r="H349" s="277" t="s">
        <v>293</v>
      </c>
      <c r="I349" s="276" t="s">
        <v>510</v>
      </c>
      <c r="J349" s="278" t="s">
        <v>516</v>
      </c>
      <c r="K349" s="307"/>
      <c r="L349" s="288">
        <v>0.02</v>
      </c>
      <c r="M349" s="288">
        <v>0.03</v>
      </c>
      <c r="N349" s="281" t="str">
        <f t="shared" si="44"/>
        <v/>
      </c>
      <c r="O349" s="281">
        <f t="shared" si="21"/>
        <v>-0.01</v>
      </c>
    </row>
    <row r="350">
      <c r="A350" s="263">
        <v>27.0</v>
      </c>
      <c r="B350" s="264" t="str">
        <f t="array" ref="B350">IFerror(INDEX(Papers!C$2:C$998,MATCH($A350, Papers!$A$2:$A$998,0)),"")</f>
        <v>Practical Considerations with Using Mobile Phone Survey Incentives: Experiences in Ghana and Tanzania</v>
      </c>
      <c r="C350" s="264" t="str">
        <f t="array" ref="C350">IFerror(INDEX(Papers!D$2:D$998,MATCH($A350, Papers!$A$2:$A$998,0)),"")</f>
        <v>Brian Leo and Robert Morello</v>
      </c>
      <c r="D350" s="265">
        <f t="array" ref="D350">IFerror(INDEX(Papers!F$2:F$998,MATCH($A350, Papers!$A$2:$A$998,0)),"")</f>
        <v>2016</v>
      </c>
      <c r="E350" s="265">
        <f t="array" ref="E350">IFerror(INDEX(Papers!G$2:G$998,MATCH($A350, Papers!$A$2:$A$998,0)),"")</f>
        <v>2015</v>
      </c>
      <c r="F350" s="265" t="s">
        <v>243</v>
      </c>
      <c r="G350" s="266" t="s">
        <v>9</v>
      </c>
      <c r="H350" s="282" t="s">
        <v>293</v>
      </c>
      <c r="I350" s="282" t="s">
        <v>511</v>
      </c>
      <c r="J350" s="268" t="s">
        <v>516</v>
      </c>
      <c r="K350" s="289"/>
      <c r="L350" s="285">
        <v>0.08</v>
      </c>
      <c r="M350" s="285">
        <v>0.09</v>
      </c>
      <c r="N350" s="271" t="str">
        <f t="shared" si="44"/>
        <v/>
      </c>
      <c r="O350" s="271">
        <f t="shared" si="21"/>
        <v>-0.01</v>
      </c>
    </row>
    <row r="351">
      <c r="A351" s="272">
        <v>27.0</v>
      </c>
      <c r="B351" s="273" t="str">
        <f t="array" ref="B351">IFerror(INDEX(Papers!C$2:C$998,MATCH($A351, Papers!$A$2:$A$998,0)),"")</f>
        <v>Practical Considerations with Using Mobile Phone Survey Incentives: Experiences in Ghana and Tanzania</v>
      </c>
      <c r="C351" s="273" t="str">
        <f t="array" ref="C351">IFerror(INDEX(Papers!D$2:D$998,MATCH($A351, Papers!$A$2:$A$998,0)),"")</f>
        <v>Brian Leo and Robert Morello</v>
      </c>
      <c r="D351" s="274">
        <f t="array" ref="D351">IFerror(INDEX(Papers!F$2:F$998,MATCH($A351, Papers!$A$2:$A$998,0)),"")</f>
        <v>2016</v>
      </c>
      <c r="E351" s="274">
        <f t="array" ref="E351">IFerror(INDEX(Papers!G$2:G$998,MATCH($A351, Papers!$A$2:$A$998,0)),"")</f>
        <v>2015</v>
      </c>
      <c r="F351" s="274" t="s">
        <v>257</v>
      </c>
      <c r="G351" s="275" t="s">
        <v>9</v>
      </c>
      <c r="H351" s="277" t="s">
        <v>293</v>
      </c>
      <c r="I351" s="277" t="s">
        <v>509</v>
      </c>
      <c r="J351" s="278" t="s">
        <v>516</v>
      </c>
      <c r="K351" s="307"/>
      <c r="L351" s="288">
        <v>0.02</v>
      </c>
      <c r="M351" s="288">
        <v>0.02</v>
      </c>
      <c r="N351" s="281" t="str">
        <f t="shared" si="44"/>
        <v/>
      </c>
      <c r="O351" s="281">
        <f t="shared" si="21"/>
        <v>0</v>
      </c>
    </row>
    <row r="352">
      <c r="A352" s="263">
        <v>27.0</v>
      </c>
      <c r="B352" s="264" t="str">
        <f t="array" ref="B352">IFerror(INDEX(Papers!C$2:C$998,MATCH($A352, Papers!$A$2:$A$998,0)),"")</f>
        <v>Practical Considerations with Using Mobile Phone Survey Incentives: Experiences in Ghana and Tanzania</v>
      </c>
      <c r="C352" s="264" t="str">
        <f t="array" ref="C352">IFerror(INDEX(Papers!D$2:D$998,MATCH($A352, Papers!$A$2:$A$998,0)),"")</f>
        <v>Brian Leo and Robert Morello</v>
      </c>
      <c r="D352" s="265">
        <f t="array" ref="D352">IFerror(INDEX(Papers!F$2:F$998,MATCH($A352, Papers!$A$2:$A$998,0)),"")</f>
        <v>2016</v>
      </c>
      <c r="E352" s="265">
        <f t="array" ref="E352">IFerror(INDEX(Papers!G$2:G$998,MATCH($A352, Papers!$A$2:$A$998,0)),"")</f>
        <v>2015</v>
      </c>
      <c r="F352" s="265" t="s">
        <v>257</v>
      </c>
      <c r="G352" s="266" t="s">
        <v>9</v>
      </c>
      <c r="H352" s="282" t="s">
        <v>293</v>
      </c>
      <c r="I352" s="282" t="s">
        <v>513</v>
      </c>
      <c r="J352" s="268" t="s">
        <v>516</v>
      </c>
      <c r="K352" s="289"/>
      <c r="L352" s="285">
        <v>0.02</v>
      </c>
      <c r="M352" s="285">
        <v>0.02</v>
      </c>
      <c r="N352" s="271" t="str">
        <f t="shared" si="44"/>
        <v/>
      </c>
      <c r="O352" s="271">
        <f t="shared" si="21"/>
        <v>0</v>
      </c>
    </row>
    <row r="353">
      <c r="A353" s="272">
        <v>27.0</v>
      </c>
      <c r="B353" s="273" t="str">
        <f t="array" ref="B353">IFerror(INDEX(Papers!C$2:C$998,MATCH($A353, Papers!$A$2:$A$998,0)),"")</f>
        <v>Practical Considerations with Using Mobile Phone Survey Incentives: Experiences in Ghana and Tanzania</v>
      </c>
      <c r="C353" s="273" t="str">
        <f t="array" ref="C353">IFerror(INDEX(Papers!D$2:D$998,MATCH($A353, Papers!$A$2:$A$998,0)),"")</f>
        <v>Brian Leo and Robert Morello</v>
      </c>
      <c r="D353" s="274">
        <f t="array" ref="D353">IFerror(INDEX(Papers!F$2:F$998,MATCH($A353, Papers!$A$2:$A$998,0)),"")</f>
        <v>2016</v>
      </c>
      <c r="E353" s="274">
        <f t="array" ref="E353">IFerror(INDEX(Papers!G$2:G$998,MATCH($A353, Papers!$A$2:$A$998,0)),"")</f>
        <v>2015</v>
      </c>
      <c r="F353" s="274" t="s">
        <v>243</v>
      </c>
      <c r="G353" s="275" t="s">
        <v>9</v>
      </c>
      <c r="H353" s="277" t="s">
        <v>293</v>
      </c>
      <c r="I353" s="277" t="s">
        <v>512</v>
      </c>
      <c r="J353" s="278" t="s">
        <v>516</v>
      </c>
      <c r="K353" s="307"/>
      <c r="L353" s="288">
        <v>0.08</v>
      </c>
      <c r="M353" s="288">
        <v>0.07</v>
      </c>
      <c r="N353" s="281" t="str">
        <f t="shared" si="44"/>
        <v/>
      </c>
      <c r="O353" s="281">
        <f t="shared" si="21"/>
        <v>0.01</v>
      </c>
    </row>
    <row r="354">
      <c r="A354" s="263">
        <v>27.0</v>
      </c>
      <c r="B354" s="264" t="str">
        <f t="array" ref="B354">IFerror(INDEX(Papers!C$2:C$998,MATCH($A354, Papers!$A$2:$A$998,0)),"")</f>
        <v>Practical Considerations with Using Mobile Phone Survey Incentives: Experiences in Ghana and Tanzania</v>
      </c>
      <c r="C354" s="264" t="str">
        <f t="array" ref="C354">IFerror(INDEX(Papers!D$2:D$998,MATCH($A354, Papers!$A$2:$A$998,0)),"")</f>
        <v>Brian Leo and Robert Morello</v>
      </c>
      <c r="D354" s="265">
        <f t="array" ref="D354">IFerror(INDEX(Papers!F$2:F$998,MATCH($A354, Papers!$A$2:$A$998,0)),"")</f>
        <v>2016</v>
      </c>
      <c r="E354" s="265">
        <f t="array" ref="E354">IFerror(INDEX(Papers!G$2:G$998,MATCH($A354, Papers!$A$2:$A$998,0)),"")</f>
        <v>2015</v>
      </c>
      <c r="F354" s="265" t="s">
        <v>243</v>
      </c>
      <c r="G354" s="266" t="s">
        <v>9</v>
      </c>
      <c r="H354" s="282" t="s">
        <v>293</v>
      </c>
      <c r="I354" s="282" t="s">
        <v>515</v>
      </c>
      <c r="J354" s="268" t="s">
        <v>516</v>
      </c>
      <c r="K354" s="289"/>
      <c r="L354" s="285">
        <v>0.08</v>
      </c>
      <c r="M354" s="285">
        <v>0.07</v>
      </c>
      <c r="N354" s="271" t="str">
        <f t="shared" si="44"/>
        <v/>
      </c>
      <c r="O354" s="271">
        <f t="shared" si="21"/>
        <v>0.01</v>
      </c>
    </row>
    <row r="355">
      <c r="A355" s="272">
        <v>27.0</v>
      </c>
      <c r="B355" s="273" t="str">
        <f t="array" ref="B355">IFerror(INDEX(Papers!C$2:C$998,MATCH($A355, Papers!$A$2:$A$998,0)),"")</f>
        <v>Practical Considerations with Using Mobile Phone Survey Incentives: Experiences in Ghana and Tanzania</v>
      </c>
      <c r="C355" s="273" t="str">
        <f t="array" ref="C355">IFerror(INDEX(Papers!D$2:D$998,MATCH($A355, Papers!$A$2:$A$998,0)),"")</f>
        <v>Brian Leo and Robert Morello</v>
      </c>
      <c r="D355" s="274">
        <f t="array" ref="D355">IFerror(INDEX(Papers!F$2:F$998,MATCH($A355, Papers!$A$2:$A$998,0)),"")</f>
        <v>2016</v>
      </c>
      <c r="E355" s="274">
        <f t="array" ref="E355">IFerror(INDEX(Papers!G$2:G$998,MATCH($A355, Papers!$A$2:$A$998,0)),"")</f>
        <v>2015</v>
      </c>
      <c r="F355" s="274" t="s">
        <v>243</v>
      </c>
      <c r="G355" s="275" t="s">
        <v>9</v>
      </c>
      <c r="H355" s="277" t="s">
        <v>293</v>
      </c>
      <c r="I355" s="276" t="s">
        <v>510</v>
      </c>
      <c r="J355" s="278" t="s">
        <v>516</v>
      </c>
      <c r="K355" s="307"/>
      <c r="L355" s="288">
        <v>0.1</v>
      </c>
      <c r="M355" s="288">
        <v>0.09</v>
      </c>
      <c r="N355" s="281" t="str">
        <f t="shared" si="44"/>
        <v/>
      </c>
      <c r="O355" s="281">
        <f t="shared" si="21"/>
        <v>0.01</v>
      </c>
    </row>
    <row r="356">
      <c r="A356" s="263">
        <v>27.0</v>
      </c>
      <c r="B356" s="264" t="str">
        <f t="array" ref="B356">IFerror(INDEX(Papers!C$2:C$998,MATCH($A356, Papers!$A$2:$A$998,0)),"")</f>
        <v>Practical Considerations with Using Mobile Phone Survey Incentives: Experiences in Ghana and Tanzania</v>
      </c>
      <c r="C356" s="264" t="str">
        <f t="array" ref="C356">IFerror(INDEX(Papers!D$2:D$998,MATCH($A356, Papers!$A$2:$A$998,0)),"")</f>
        <v>Brian Leo and Robert Morello</v>
      </c>
      <c r="D356" s="265">
        <f t="array" ref="D356">IFerror(INDEX(Papers!F$2:F$998,MATCH($A356, Papers!$A$2:$A$998,0)),"")</f>
        <v>2016</v>
      </c>
      <c r="E356" s="265">
        <f t="array" ref="E356">IFerror(INDEX(Papers!G$2:G$998,MATCH($A356, Papers!$A$2:$A$998,0)),"")</f>
        <v>2015</v>
      </c>
      <c r="F356" s="265" t="s">
        <v>257</v>
      </c>
      <c r="G356" s="266" t="s">
        <v>9</v>
      </c>
      <c r="H356" s="282" t="s">
        <v>293</v>
      </c>
      <c r="I356" s="282" t="s">
        <v>514</v>
      </c>
      <c r="J356" s="268" t="s">
        <v>444</v>
      </c>
      <c r="K356" s="289"/>
      <c r="L356" s="285">
        <v>0.27</v>
      </c>
      <c r="M356" s="285">
        <v>0.33</v>
      </c>
      <c r="N356" s="271" t="str">
        <f t="shared" si="44"/>
        <v/>
      </c>
      <c r="O356" s="271">
        <f t="shared" si="21"/>
        <v>-0.06</v>
      </c>
    </row>
    <row r="357">
      <c r="A357" s="272">
        <v>27.0</v>
      </c>
      <c r="B357" s="273" t="str">
        <f t="array" ref="B357">IFerror(INDEX(Papers!C$2:C$998,MATCH($A357, Papers!$A$2:$A$998,0)),"")</f>
        <v>Practical Considerations with Using Mobile Phone Survey Incentives: Experiences in Ghana and Tanzania</v>
      </c>
      <c r="C357" s="273" t="str">
        <f t="array" ref="C357">IFerror(INDEX(Papers!D$2:D$998,MATCH($A357, Papers!$A$2:$A$998,0)),"")</f>
        <v>Brian Leo and Robert Morello</v>
      </c>
      <c r="D357" s="274">
        <f t="array" ref="D357">IFerror(INDEX(Papers!F$2:F$998,MATCH($A357, Papers!$A$2:$A$998,0)),"")</f>
        <v>2016</v>
      </c>
      <c r="E357" s="274">
        <f t="array" ref="E357">IFerror(INDEX(Papers!G$2:G$998,MATCH($A357, Papers!$A$2:$A$998,0)),"")</f>
        <v>2015</v>
      </c>
      <c r="F357" s="274" t="s">
        <v>243</v>
      </c>
      <c r="G357" s="275" t="s">
        <v>9</v>
      </c>
      <c r="H357" s="277" t="s">
        <v>293</v>
      </c>
      <c r="I357" s="277" t="s">
        <v>512</v>
      </c>
      <c r="J357" s="278" t="s">
        <v>444</v>
      </c>
      <c r="K357" s="307"/>
      <c r="L357" s="288">
        <v>0.18</v>
      </c>
      <c r="M357" s="288">
        <v>0.21</v>
      </c>
      <c r="N357" s="281" t="str">
        <f t="shared" si="44"/>
        <v/>
      </c>
      <c r="O357" s="281">
        <f t="shared" si="21"/>
        <v>-0.03</v>
      </c>
    </row>
    <row r="358">
      <c r="A358" s="263">
        <v>27.0</v>
      </c>
      <c r="B358" s="264" t="str">
        <f t="array" ref="B358">IFerror(INDEX(Papers!C$2:C$998,MATCH($A358, Papers!$A$2:$A$998,0)),"")</f>
        <v>Practical Considerations with Using Mobile Phone Survey Incentives: Experiences in Ghana and Tanzania</v>
      </c>
      <c r="C358" s="264" t="str">
        <f t="array" ref="C358">IFerror(INDEX(Papers!D$2:D$998,MATCH($A358, Papers!$A$2:$A$998,0)),"")</f>
        <v>Brian Leo and Robert Morello</v>
      </c>
      <c r="D358" s="265">
        <f t="array" ref="D358">IFerror(INDEX(Papers!F$2:F$998,MATCH($A358, Papers!$A$2:$A$998,0)),"")</f>
        <v>2016</v>
      </c>
      <c r="E358" s="265">
        <f t="array" ref="E358">IFerror(INDEX(Papers!G$2:G$998,MATCH($A358, Papers!$A$2:$A$998,0)),"")</f>
        <v>2015</v>
      </c>
      <c r="F358" s="265" t="s">
        <v>257</v>
      </c>
      <c r="G358" s="266" t="s">
        <v>9</v>
      </c>
      <c r="H358" s="282" t="s">
        <v>293</v>
      </c>
      <c r="I358" s="282" t="s">
        <v>513</v>
      </c>
      <c r="J358" s="268" t="s">
        <v>444</v>
      </c>
      <c r="K358" s="289"/>
      <c r="L358" s="285">
        <v>0.27</v>
      </c>
      <c r="M358" s="285">
        <v>0.3</v>
      </c>
      <c r="N358" s="271" t="str">
        <f t="shared" si="44"/>
        <v/>
      </c>
      <c r="O358" s="271">
        <f t="shared" si="21"/>
        <v>-0.03</v>
      </c>
    </row>
    <row r="359">
      <c r="A359" s="272">
        <v>27.0</v>
      </c>
      <c r="B359" s="273" t="str">
        <f t="array" ref="B359">IFerror(INDEX(Papers!C$2:C$998,MATCH($A359, Papers!$A$2:$A$998,0)),"")</f>
        <v>Practical Considerations with Using Mobile Phone Survey Incentives: Experiences in Ghana and Tanzania</v>
      </c>
      <c r="C359" s="273" t="str">
        <f t="array" ref="C359">IFerror(INDEX(Papers!D$2:D$998,MATCH($A359, Papers!$A$2:$A$998,0)),"")</f>
        <v>Brian Leo and Robert Morello</v>
      </c>
      <c r="D359" s="274">
        <f t="array" ref="D359">IFerror(INDEX(Papers!F$2:F$998,MATCH($A359, Papers!$A$2:$A$998,0)),"")</f>
        <v>2016</v>
      </c>
      <c r="E359" s="274">
        <f t="array" ref="E359">IFerror(INDEX(Papers!G$2:G$998,MATCH($A359, Papers!$A$2:$A$998,0)),"")</f>
        <v>2015</v>
      </c>
      <c r="F359" s="274" t="s">
        <v>243</v>
      </c>
      <c r="G359" s="275" t="s">
        <v>9</v>
      </c>
      <c r="H359" s="277" t="s">
        <v>293</v>
      </c>
      <c r="I359" s="277" t="s">
        <v>511</v>
      </c>
      <c r="J359" s="278" t="s">
        <v>444</v>
      </c>
      <c r="K359" s="307"/>
      <c r="L359" s="288">
        <v>0.18</v>
      </c>
      <c r="M359" s="288">
        <v>0.18</v>
      </c>
      <c r="N359" s="281" t="str">
        <f t="shared" si="44"/>
        <v/>
      </c>
      <c r="O359" s="281">
        <f t="shared" si="21"/>
        <v>0</v>
      </c>
    </row>
    <row r="360">
      <c r="A360" s="263">
        <v>27.0</v>
      </c>
      <c r="B360" s="264" t="str">
        <f t="array" ref="B360">IFerror(INDEX(Papers!C$2:C$998,MATCH($A360, Papers!$A$2:$A$998,0)),"")</f>
        <v>Practical Considerations with Using Mobile Phone Survey Incentives: Experiences in Ghana and Tanzania</v>
      </c>
      <c r="C360" s="264" t="str">
        <f t="array" ref="C360">IFerror(INDEX(Papers!D$2:D$998,MATCH($A360, Papers!$A$2:$A$998,0)),"")</f>
        <v>Brian Leo and Robert Morello</v>
      </c>
      <c r="D360" s="265">
        <f t="array" ref="D360">IFerror(INDEX(Papers!F$2:F$998,MATCH($A360, Papers!$A$2:$A$998,0)),"")</f>
        <v>2016</v>
      </c>
      <c r="E360" s="265">
        <f t="array" ref="E360">IFerror(INDEX(Papers!G$2:G$998,MATCH($A360, Papers!$A$2:$A$998,0)),"")</f>
        <v>2015</v>
      </c>
      <c r="F360" s="265" t="s">
        <v>243</v>
      </c>
      <c r="G360" s="266" t="s">
        <v>9</v>
      </c>
      <c r="H360" s="282" t="s">
        <v>293</v>
      </c>
      <c r="I360" s="282" t="s">
        <v>515</v>
      </c>
      <c r="J360" s="268" t="s">
        <v>444</v>
      </c>
      <c r="K360" s="289"/>
      <c r="L360" s="285">
        <v>0.18</v>
      </c>
      <c r="M360" s="285">
        <v>0.18</v>
      </c>
      <c r="N360" s="271" t="str">
        <f t="shared" si="44"/>
        <v/>
      </c>
      <c r="O360" s="271">
        <f t="shared" si="21"/>
        <v>0</v>
      </c>
    </row>
    <row r="361">
      <c r="A361" s="272">
        <v>27.0</v>
      </c>
      <c r="B361" s="273" t="str">
        <f t="array" ref="B361">IFerror(INDEX(Papers!C$2:C$998,MATCH($A361, Papers!$A$2:$A$998,0)),"")</f>
        <v>Practical Considerations with Using Mobile Phone Survey Incentives: Experiences in Ghana and Tanzania</v>
      </c>
      <c r="C361" s="273" t="str">
        <f t="array" ref="C361">IFerror(INDEX(Papers!D$2:D$998,MATCH($A361, Papers!$A$2:$A$998,0)),"")</f>
        <v>Brian Leo and Robert Morello</v>
      </c>
      <c r="D361" s="274">
        <f t="array" ref="D361">IFerror(INDEX(Papers!F$2:F$998,MATCH($A361, Papers!$A$2:$A$998,0)),"")</f>
        <v>2016</v>
      </c>
      <c r="E361" s="274">
        <f t="array" ref="E361">IFerror(INDEX(Papers!G$2:G$998,MATCH($A361, Papers!$A$2:$A$998,0)),"")</f>
        <v>2015</v>
      </c>
      <c r="F361" s="274" t="s">
        <v>257</v>
      </c>
      <c r="G361" s="275" t="s">
        <v>9</v>
      </c>
      <c r="H361" s="277" t="s">
        <v>293</v>
      </c>
      <c r="I361" s="276" t="s">
        <v>510</v>
      </c>
      <c r="J361" s="278" t="s">
        <v>444</v>
      </c>
      <c r="K361" s="307"/>
      <c r="L361" s="288">
        <v>0.29</v>
      </c>
      <c r="M361" s="288">
        <v>0.28</v>
      </c>
      <c r="N361" s="281" t="str">
        <f t="shared" si="44"/>
        <v/>
      </c>
      <c r="O361" s="281">
        <f t="shared" si="21"/>
        <v>0.01</v>
      </c>
    </row>
    <row r="362">
      <c r="A362" s="263">
        <v>27.0</v>
      </c>
      <c r="B362" s="264" t="str">
        <f t="array" ref="B362">IFerror(INDEX(Papers!C$2:C$998,MATCH($A362, Papers!$A$2:$A$998,0)),"")</f>
        <v>Practical Considerations with Using Mobile Phone Survey Incentives: Experiences in Ghana and Tanzania</v>
      </c>
      <c r="C362" s="264" t="str">
        <f t="array" ref="C362">IFerror(INDEX(Papers!D$2:D$998,MATCH($A362, Papers!$A$2:$A$998,0)),"")</f>
        <v>Brian Leo and Robert Morello</v>
      </c>
      <c r="D362" s="265">
        <f t="array" ref="D362">IFerror(INDEX(Papers!F$2:F$998,MATCH($A362, Papers!$A$2:$A$998,0)),"")</f>
        <v>2016</v>
      </c>
      <c r="E362" s="265">
        <f t="array" ref="E362">IFerror(INDEX(Papers!G$2:G$998,MATCH($A362, Papers!$A$2:$A$998,0)),"")</f>
        <v>2015</v>
      </c>
      <c r="F362" s="265" t="s">
        <v>243</v>
      </c>
      <c r="G362" s="266" t="s">
        <v>9</v>
      </c>
      <c r="H362" s="282" t="s">
        <v>293</v>
      </c>
      <c r="I362" s="267" t="s">
        <v>510</v>
      </c>
      <c r="J362" s="268" t="s">
        <v>444</v>
      </c>
      <c r="K362" s="289"/>
      <c r="L362" s="285">
        <v>0.18</v>
      </c>
      <c r="M362" s="285">
        <v>0.17</v>
      </c>
      <c r="N362" s="271" t="str">
        <f t="shared" si="44"/>
        <v/>
      </c>
      <c r="O362" s="271">
        <f t="shared" si="21"/>
        <v>0.01</v>
      </c>
    </row>
    <row r="363">
      <c r="A363" s="272">
        <v>27.0</v>
      </c>
      <c r="B363" s="273" t="str">
        <f t="array" ref="B363">IFerror(INDEX(Papers!C$2:C$998,MATCH($A363, Papers!$A$2:$A$998,0)),"")</f>
        <v>Practical Considerations with Using Mobile Phone Survey Incentives: Experiences in Ghana and Tanzania</v>
      </c>
      <c r="C363" s="273" t="str">
        <f t="array" ref="C363">IFerror(INDEX(Papers!D$2:D$998,MATCH($A363, Papers!$A$2:$A$998,0)),"")</f>
        <v>Brian Leo and Robert Morello</v>
      </c>
      <c r="D363" s="274">
        <f t="array" ref="D363">IFerror(INDEX(Papers!F$2:F$998,MATCH($A363, Papers!$A$2:$A$998,0)),"")</f>
        <v>2016</v>
      </c>
      <c r="E363" s="274">
        <f t="array" ref="E363">IFerror(INDEX(Papers!G$2:G$998,MATCH($A363, Papers!$A$2:$A$998,0)),"")</f>
        <v>2015</v>
      </c>
      <c r="F363" s="274" t="s">
        <v>257</v>
      </c>
      <c r="G363" s="275" t="s">
        <v>9</v>
      </c>
      <c r="H363" s="277" t="s">
        <v>293</v>
      </c>
      <c r="I363" s="277" t="s">
        <v>509</v>
      </c>
      <c r="J363" s="278" t="s">
        <v>444</v>
      </c>
      <c r="K363" s="307"/>
      <c r="L363" s="288">
        <v>0.27</v>
      </c>
      <c r="M363" s="288">
        <v>0.26</v>
      </c>
      <c r="N363" s="281" t="str">
        <f t="shared" si="44"/>
        <v/>
      </c>
      <c r="O363" s="281">
        <f t="shared" si="21"/>
        <v>0.01</v>
      </c>
    </row>
    <row r="364">
      <c r="A364" s="263">
        <v>27.0</v>
      </c>
      <c r="B364" s="264" t="str">
        <f t="array" ref="B364">IFerror(INDEX(Papers!C$2:C$998,MATCH($A364, Papers!$A$2:$A$998,0)),"")</f>
        <v>Practical Considerations with Using Mobile Phone Survey Incentives: Experiences in Ghana and Tanzania</v>
      </c>
      <c r="C364" s="264" t="str">
        <f t="array" ref="C364">IFerror(INDEX(Papers!D$2:D$998,MATCH($A364, Papers!$A$2:$A$998,0)),"")</f>
        <v>Brian Leo and Robert Morello</v>
      </c>
      <c r="D364" s="265">
        <f t="array" ref="D364">IFerror(INDEX(Papers!F$2:F$998,MATCH($A364, Papers!$A$2:$A$998,0)),"")</f>
        <v>2016</v>
      </c>
      <c r="E364" s="265">
        <f t="array" ref="E364">IFerror(INDEX(Papers!G$2:G$998,MATCH($A364, Papers!$A$2:$A$998,0)),"")</f>
        <v>2015</v>
      </c>
      <c r="F364" s="265" t="s">
        <v>243</v>
      </c>
      <c r="G364" s="266" t="s">
        <v>9</v>
      </c>
      <c r="H364" s="282" t="s">
        <v>293</v>
      </c>
      <c r="I364" s="282" t="s">
        <v>512</v>
      </c>
      <c r="J364" s="268" t="s">
        <v>445</v>
      </c>
      <c r="K364" s="289"/>
      <c r="L364" s="285">
        <v>0.15</v>
      </c>
      <c r="M364" s="285">
        <v>0.17</v>
      </c>
      <c r="N364" s="271" t="str">
        <f t="shared" si="44"/>
        <v/>
      </c>
      <c r="O364" s="271">
        <f t="shared" si="21"/>
        <v>-0.02</v>
      </c>
    </row>
    <row r="365">
      <c r="A365" s="272">
        <v>27.0</v>
      </c>
      <c r="B365" s="273" t="str">
        <f t="array" ref="B365">IFerror(INDEX(Papers!C$2:C$998,MATCH($A365, Papers!$A$2:$A$998,0)),"")</f>
        <v>Practical Considerations with Using Mobile Phone Survey Incentives: Experiences in Ghana and Tanzania</v>
      </c>
      <c r="C365" s="273" t="str">
        <f t="array" ref="C365">IFerror(INDEX(Papers!D$2:D$998,MATCH($A365, Papers!$A$2:$A$998,0)),"")</f>
        <v>Brian Leo and Robert Morello</v>
      </c>
      <c r="D365" s="274">
        <f t="array" ref="D365">IFerror(INDEX(Papers!F$2:F$998,MATCH($A365, Papers!$A$2:$A$998,0)),"")</f>
        <v>2016</v>
      </c>
      <c r="E365" s="274">
        <f t="array" ref="E365">IFerror(INDEX(Papers!G$2:G$998,MATCH($A365, Papers!$A$2:$A$998,0)),"")</f>
        <v>2015</v>
      </c>
      <c r="F365" s="274" t="s">
        <v>257</v>
      </c>
      <c r="G365" s="275" t="s">
        <v>9</v>
      </c>
      <c r="H365" s="277" t="s">
        <v>293</v>
      </c>
      <c r="I365" s="277" t="s">
        <v>509</v>
      </c>
      <c r="J365" s="278" t="s">
        <v>445</v>
      </c>
      <c r="K365" s="307"/>
      <c r="L365" s="288">
        <v>0.14</v>
      </c>
      <c r="M365" s="288">
        <v>0.16</v>
      </c>
      <c r="N365" s="281" t="str">
        <f t="shared" si="44"/>
        <v/>
      </c>
      <c r="O365" s="281">
        <f t="shared" si="21"/>
        <v>-0.02</v>
      </c>
    </row>
    <row r="366">
      <c r="A366" s="263">
        <v>27.0</v>
      </c>
      <c r="B366" s="264" t="str">
        <f t="array" ref="B366">IFerror(INDEX(Papers!C$2:C$998,MATCH($A366, Papers!$A$2:$A$998,0)),"")</f>
        <v>Practical Considerations with Using Mobile Phone Survey Incentives: Experiences in Ghana and Tanzania</v>
      </c>
      <c r="C366" s="264" t="str">
        <f t="array" ref="C366">IFerror(INDEX(Papers!D$2:D$998,MATCH($A366, Papers!$A$2:$A$998,0)),"")</f>
        <v>Brian Leo and Robert Morello</v>
      </c>
      <c r="D366" s="265">
        <f t="array" ref="D366">IFerror(INDEX(Papers!F$2:F$998,MATCH($A366, Papers!$A$2:$A$998,0)),"")</f>
        <v>2016</v>
      </c>
      <c r="E366" s="265">
        <f t="array" ref="E366">IFerror(INDEX(Papers!G$2:G$998,MATCH($A366, Papers!$A$2:$A$998,0)),"")</f>
        <v>2015</v>
      </c>
      <c r="F366" s="265" t="s">
        <v>243</v>
      </c>
      <c r="G366" s="266" t="s">
        <v>9</v>
      </c>
      <c r="H366" s="282" t="s">
        <v>293</v>
      </c>
      <c r="I366" s="282" t="s">
        <v>515</v>
      </c>
      <c r="J366" s="268" t="s">
        <v>445</v>
      </c>
      <c r="K366" s="289"/>
      <c r="L366" s="285">
        <v>0.15</v>
      </c>
      <c r="M366" s="285">
        <v>0.15</v>
      </c>
      <c r="N366" s="271" t="str">
        <f t="shared" si="44"/>
        <v/>
      </c>
      <c r="O366" s="271">
        <f t="shared" si="21"/>
        <v>0</v>
      </c>
    </row>
    <row r="367">
      <c r="A367" s="272">
        <v>27.0</v>
      </c>
      <c r="B367" s="273" t="str">
        <f t="array" ref="B367">IFerror(INDEX(Papers!C$2:C$998,MATCH($A367, Papers!$A$2:$A$998,0)),"")</f>
        <v>Practical Considerations with Using Mobile Phone Survey Incentives: Experiences in Ghana and Tanzania</v>
      </c>
      <c r="C367" s="273" t="str">
        <f t="array" ref="C367">IFerror(INDEX(Papers!D$2:D$998,MATCH($A367, Papers!$A$2:$A$998,0)),"")</f>
        <v>Brian Leo and Robert Morello</v>
      </c>
      <c r="D367" s="274">
        <f t="array" ref="D367">IFerror(INDEX(Papers!F$2:F$998,MATCH($A367, Papers!$A$2:$A$998,0)),"")</f>
        <v>2016</v>
      </c>
      <c r="E367" s="274">
        <f t="array" ref="E367">IFerror(INDEX(Papers!G$2:G$998,MATCH($A367, Papers!$A$2:$A$998,0)),"")</f>
        <v>2015</v>
      </c>
      <c r="F367" s="274" t="s">
        <v>243</v>
      </c>
      <c r="G367" s="275" t="s">
        <v>9</v>
      </c>
      <c r="H367" s="277" t="s">
        <v>293</v>
      </c>
      <c r="I367" s="276" t="s">
        <v>510</v>
      </c>
      <c r="J367" s="278" t="s">
        <v>445</v>
      </c>
      <c r="K367" s="307"/>
      <c r="L367" s="288">
        <v>0.15</v>
      </c>
      <c r="M367" s="288">
        <v>0.15</v>
      </c>
      <c r="N367" s="281" t="str">
        <f t="shared" si="44"/>
        <v/>
      </c>
      <c r="O367" s="281">
        <f t="shared" si="21"/>
        <v>0</v>
      </c>
    </row>
    <row r="368">
      <c r="A368" s="263">
        <v>27.0</v>
      </c>
      <c r="B368" s="264" t="str">
        <f t="array" ref="B368">IFerror(INDEX(Papers!C$2:C$998,MATCH($A368, Papers!$A$2:$A$998,0)),"")</f>
        <v>Practical Considerations with Using Mobile Phone Survey Incentives: Experiences in Ghana and Tanzania</v>
      </c>
      <c r="C368" s="264" t="str">
        <f t="array" ref="C368">IFerror(INDEX(Papers!D$2:D$998,MATCH($A368, Papers!$A$2:$A$998,0)),"")</f>
        <v>Brian Leo and Robert Morello</v>
      </c>
      <c r="D368" s="265">
        <f t="array" ref="D368">IFerror(INDEX(Papers!F$2:F$998,MATCH($A368, Papers!$A$2:$A$998,0)),"")</f>
        <v>2016</v>
      </c>
      <c r="E368" s="265">
        <f t="array" ref="E368">IFerror(INDEX(Papers!G$2:G$998,MATCH($A368, Papers!$A$2:$A$998,0)),"")</f>
        <v>2015</v>
      </c>
      <c r="F368" s="265" t="s">
        <v>257</v>
      </c>
      <c r="G368" s="266" t="s">
        <v>9</v>
      </c>
      <c r="H368" s="282" t="s">
        <v>293</v>
      </c>
      <c r="I368" s="267" t="s">
        <v>510</v>
      </c>
      <c r="J368" s="268" t="s">
        <v>445</v>
      </c>
      <c r="K368" s="289"/>
      <c r="L368" s="285">
        <v>0.14</v>
      </c>
      <c r="M368" s="285">
        <v>0.14</v>
      </c>
      <c r="N368" s="271" t="str">
        <f t="shared" si="44"/>
        <v/>
      </c>
      <c r="O368" s="271">
        <f t="shared" si="21"/>
        <v>0</v>
      </c>
    </row>
    <row r="369">
      <c r="A369" s="272">
        <v>27.0</v>
      </c>
      <c r="B369" s="273" t="str">
        <f t="array" ref="B369">IFerror(INDEX(Papers!C$2:C$998,MATCH($A369, Papers!$A$2:$A$998,0)),"")</f>
        <v>Practical Considerations with Using Mobile Phone Survey Incentives: Experiences in Ghana and Tanzania</v>
      </c>
      <c r="C369" s="273" t="str">
        <f t="array" ref="C369">IFerror(INDEX(Papers!D$2:D$998,MATCH($A369, Papers!$A$2:$A$998,0)),"")</f>
        <v>Brian Leo and Robert Morello</v>
      </c>
      <c r="D369" s="274">
        <f t="array" ref="D369">IFerror(INDEX(Papers!F$2:F$998,MATCH($A369, Papers!$A$2:$A$998,0)),"")</f>
        <v>2016</v>
      </c>
      <c r="E369" s="274">
        <f t="array" ref="E369">IFerror(INDEX(Papers!G$2:G$998,MATCH($A369, Papers!$A$2:$A$998,0)),"")</f>
        <v>2015</v>
      </c>
      <c r="F369" s="274" t="s">
        <v>243</v>
      </c>
      <c r="G369" s="275" t="s">
        <v>9</v>
      </c>
      <c r="H369" s="277" t="s">
        <v>293</v>
      </c>
      <c r="I369" s="277" t="s">
        <v>511</v>
      </c>
      <c r="J369" s="278" t="s">
        <v>445</v>
      </c>
      <c r="K369" s="307"/>
      <c r="L369" s="288">
        <v>0.15</v>
      </c>
      <c r="M369" s="288">
        <v>0.14</v>
      </c>
      <c r="N369" s="281" t="str">
        <f t="shared" si="44"/>
        <v/>
      </c>
      <c r="O369" s="281">
        <f t="shared" si="21"/>
        <v>0.01</v>
      </c>
    </row>
    <row r="370">
      <c r="A370" s="263">
        <v>27.0</v>
      </c>
      <c r="B370" s="264" t="str">
        <f t="array" ref="B370">IFerror(INDEX(Papers!C$2:C$998,MATCH($A370, Papers!$A$2:$A$998,0)),"")</f>
        <v>Practical Considerations with Using Mobile Phone Survey Incentives: Experiences in Ghana and Tanzania</v>
      </c>
      <c r="C370" s="264" t="str">
        <f t="array" ref="C370">IFerror(INDEX(Papers!D$2:D$998,MATCH($A370, Papers!$A$2:$A$998,0)),"")</f>
        <v>Brian Leo and Robert Morello</v>
      </c>
      <c r="D370" s="265">
        <f t="array" ref="D370">IFerror(INDEX(Papers!F$2:F$998,MATCH($A370, Papers!$A$2:$A$998,0)),"")</f>
        <v>2016</v>
      </c>
      <c r="E370" s="265">
        <f t="array" ref="E370">IFerror(INDEX(Papers!G$2:G$998,MATCH($A370, Papers!$A$2:$A$998,0)),"")</f>
        <v>2015</v>
      </c>
      <c r="F370" s="265" t="s">
        <v>257</v>
      </c>
      <c r="G370" s="266" t="s">
        <v>9</v>
      </c>
      <c r="H370" s="282" t="s">
        <v>293</v>
      </c>
      <c r="I370" s="282" t="s">
        <v>514</v>
      </c>
      <c r="J370" s="268" t="s">
        <v>445</v>
      </c>
      <c r="K370" s="289"/>
      <c r="L370" s="285">
        <v>0.14</v>
      </c>
      <c r="M370" s="285">
        <v>0.13</v>
      </c>
      <c r="N370" s="271" t="str">
        <f t="shared" si="44"/>
        <v/>
      </c>
      <c r="O370" s="271">
        <f t="shared" si="21"/>
        <v>0.01</v>
      </c>
    </row>
    <row r="371">
      <c r="A371" s="272">
        <v>27.0</v>
      </c>
      <c r="B371" s="273" t="str">
        <f t="array" ref="B371">IFerror(INDEX(Papers!C$2:C$998,MATCH($A371, Papers!$A$2:$A$998,0)),"")</f>
        <v>Practical Considerations with Using Mobile Phone Survey Incentives: Experiences in Ghana and Tanzania</v>
      </c>
      <c r="C371" s="273" t="str">
        <f t="array" ref="C371">IFerror(INDEX(Papers!D$2:D$998,MATCH($A371, Papers!$A$2:$A$998,0)),"")</f>
        <v>Brian Leo and Robert Morello</v>
      </c>
      <c r="D371" s="274">
        <f t="array" ref="D371">IFerror(INDEX(Papers!F$2:F$998,MATCH($A371, Papers!$A$2:$A$998,0)),"")</f>
        <v>2016</v>
      </c>
      <c r="E371" s="274">
        <f t="array" ref="E371">IFerror(INDEX(Papers!G$2:G$998,MATCH($A371, Papers!$A$2:$A$998,0)),"")</f>
        <v>2015</v>
      </c>
      <c r="F371" s="274" t="s">
        <v>257</v>
      </c>
      <c r="G371" s="275" t="s">
        <v>9</v>
      </c>
      <c r="H371" s="277" t="s">
        <v>293</v>
      </c>
      <c r="I371" s="277" t="s">
        <v>513</v>
      </c>
      <c r="J371" s="278" t="s">
        <v>445</v>
      </c>
      <c r="K371" s="307"/>
      <c r="L371" s="288">
        <v>0.14</v>
      </c>
      <c r="M371" s="288">
        <v>0.12</v>
      </c>
      <c r="N371" s="281" t="str">
        <f t="shared" si="44"/>
        <v/>
      </c>
      <c r="O371" s="281">
        <f t="shared" si="21"/>
        <v>0.02</v>
      </c>
    </row>
    <row r="372">
      <c r="A372" s="263">
        <v>27.0</v>
      </c>
      <c r="B372" s="264" t="str">
        <f t="array" ref="B372">IFerror(INDEX(Papers!C$2:C$998,MATCH($A372, Papers!$A$2:$A$998,0)),"")</f>
        <v>Practical Considerations with Using Mobile Phone Survey Incentives: Experiences in Ghana and Tanzania</v>
      </c>
      <c r="C372" s="264" t="str">
        <f t="array" ref="C372">IFerror(INDEX(Papers!D$2:D$998,MATCH($A372, Papers!$A$2:$A$998,0)),"")</f>
        <v>Brian Leo and Robert Morello</v>
      </c>
      <c r="D372" s="265">
        <f t="array" ref="D372">IFerror(INDEX(Papers!F$2:F$998,MATCH($A372, Papers!$A$2:$A$998,0)),"")</f>
        <v>2016</v>
      </c>
      <c r="E372" s="265">
        <f t="array" ref="E372">IFerror(INDEX(Papers!G$2:G$998,MATCH($A372, Papers!$A$2:$A$998,0)),"")</f>
        <v>2015</v>
      </c>
      <c r="F372" s="265" t="s">
        <v>243</v>
      </c>
      <c r="G372" s="266" t="s">
        <v>9</v>
      </c>
      <c r="H372" s="282" t="s">
        <v>293</v>
      </c>
      <c r="I372" s="282" t="s">
        <v>511</v>
      </c>
      <c r="J372" s="301" t="s">
        <v>446</v>
      </c>
      <c r="K372" s="289"/>
      <c r="L372" s="285">
        <v>0.09</v>
      </c>
      <c r="M372" s="285">
        <v>0.11</v>
      </c>
      <c r="N372" s="271" t="str">
        <f t="shared" si="44"/>
        <v/>
      </c>
      <c r="O372" s="271">
        <f t="shared" si="21"/>
        <v>-0.02</v>
      </c>
    </row>
    <row r="373">
      <c r="A373" s="272">
        <v>27.0</v>
      </c>
      <c r="B373" s="273" t="str">
        <f t="array" ref="B373">IFerror(INDEX(Papers!C$2:C$998,MATCH($A373, Papers!$A$2:$A$998,0)),"")</f>
        <v>Practical Considerations with Using Mobile Phone Survey Incentives: Experiences in Ghana and Tanzania</v>
      </c>
      <c r="C373" s="273" t="str">
        <f t="array" ref="C373">IFerror(INDEX(Papers!D$2:D$998,MATCH($A373, Papers!$A$2:$A$998,0)),"")</f>
        <v>Brian Leo and Robert Morello</v>
      </c>
      <c r="D373" s="274">
        <f t="array" ref="D373">IFerror(INDEX(Papers!F$2:F$998,MATCH($A373, Papers!$A$2:$A$998,0)),"")</f>
        <v>2016</v>
      </c>
      <c r="E373" s="274">
        <f t="array" ref="E373">IFerror(INDEX(Papers!G$2:G$998,MATCH($A373, Papers!$A$2:$A$998,0)),"")</f>
        <v>2015</v>
      </c>
      <c r="F373" s="274" t="s">
        <v>243</v>
      </c>
      <c r="G373" s="275" t="s">
        <v>9</v>
      </c>
      <c r="H373" s="277" t="s">
        <v>293</v>
      </c>
      <c r="I373" s="277" t="s">
        <v>515</v>
      </c>
      <c r="J373" s="300" t="s">
        <v>446</v>
      </c>
      <c r="K373" s="307"/>
      <c r="L373" s="288">
        <v>0.09</v>
      </c>
      <c r="M373" s="288">
        <v>0.11</v>
      </c>
      <c r="N373" s="281" t="str">
        <f t="shared" si="44"/>
        <v/>
      </c>
      <c r="O373" s="281">
        <f t="shared" si="21"/>
        <v>-0.02</v>
      </c>
    </row>
    <row r="374">
      <c r="A374" s="263">
        <v>27.0</v>
      </c>
      <c r="B374" s="264" t="str">
        <f t="array" ref="B374">IFerror(INDEX(Papers!C$2:C$998,MATCH($A374, Papers!$A$2:$A$998,0)),"")</f>
        <v>Practical Considerations with Using Mobile Phone Survey Incentives: Experiences in Ghana and Tanzania</v>
      </c>
      <c r="C374" s="264" t="str">
        <f t="array" ref="C374">IFerror(INDEX(Papers!D$2:D$998,MATCH($A374, Papers!$A$2:$A$998,0)),"")</f>
        <v>Brian Leo and Robert Morello</v>
      </c>
      <c r="D374" s="265">
        <f t="array" ref="D374">IFerror(INDEX(Papers!F$2:F$998,MATCH($A374, Papers!$A$2:$A$998,0)),"")</f>
        <v>2016</v>
      </c>
      <c r="E374" s="265">
        <f t="array" ref="E374">IFerror(INDEX(Papers!G$2:G$998,MATCH($A374, Papers!$A$2:$A$998,0)),"")</f>
        <v>2015</v>
      </c>
      <c r="F374" s="265" t="s">
        <v>257</v>
      </c>
      <c r="G374" s="266" t="s">
        <v>9</v>
      </c>
      <c r="H374" s="282" t="s">
        <v>293</v>
      </c>
      <c r="I374" s="282" t="s">
        <v>514</v>
      </c>
      <c r="J374" s="301" t="s">
        <v>446</v>
      </c>
      <c r="K374" s="289"/>
      <c r="L374" s="285">
        <v>0.05</v>
      </c>
      <c r="M374" s="285">
        <v>0.06</v>
      </c>
      <c r="N374" s="271" t="str">
        <f t="shared" si="44"/>
        <v/>
      </c>
      <c r="O374" s="271">
        <f t="shared" si="21"/>
        <v>-0.01</v>
      </c>
    </row>
    <row r="375">
      <c r="A375" s="272">
        <v>27.0</v>
      </c>
      <c r="B375" s="273" t="str">
        <f t="array" ref="B375">IFerror(INDEX(Papers!C$2:C$998,MATCH($A375, Papers!$A$2:$A$998,0)),"")</f>
        <v>Practical Considerations with Using Mobile Phone Survey Incentives: Experiences in Ghana and Tanzania</v>
      </c>
      <c r="C375" s="273" t="str">
        <f t="array" ref="C375">IFerror(INDEX(Papers!D$2:D$998,MATCH($A375, Papers!$A$2:$A$998,0)),"")</f>
        <v>Brian Leo and Robert Morello</v>
      </c>
      <c r="D375" s="274">
        <f t="array" ref="D375">IFerror(INDEX(Papers!F$2:F$998,MATCH($A375, Papers!$A$2:$A$998,0)),"")</f>
        <v>2016</v>
      </c>
      <c r="E375" s="274">
        <f t="array" ref="E375">IFerror(INDEX(Papers!G$2:G$998,MATCH($A375, Papers!$A$2:$A$998,0)),"")</f>
        <v>2015</v>
      </c>
      <c r="F375" s="274" t="s">
        <v>243</v>
      </c>
      <c r="G375" s="275" t="s">
        <v>9</v>
      </c>
      <c r="H375" s="277" t="s">
        <v>293</v>
      </c>
      <c r="I375" s="276" t="s">
        <v>510</v>
      </c>
      <c r="J375" s="300" t="s">
        <v>446</v>
      </c>
      <c r="K375" s="307"/>
      <c r="L375" s="288">
        <v>0.09</v>
      </c>
      <c r="M375" s="288">
        <v>0.09</v>
      </c>
      <c r="N375" s="281" t="str">
        <f t="shared" si="44"/>
        <v/>
      </c>
      <c r="O375" s="281">
        <f t="shared" si="21"/>
        <v>0</v>
      </c>
    </row>
    <row r="376">
      <c r="A376" s="263">
        <v>27.0</v>
      </c>
      <c r="B376" s="264" t="str">
        <f t="array" ref="B376">IFerror(INDEX(Papers!C$2:C$998,MATCH($A376, Papers!$A$2:$A$998,0)),"")</f>
        <v>Practical Considerations with Using Mobile Phone Survey Incentives: Experiences in Ghana and Tanzania</v>
      </c>
      <c r="C376" s="264" t="str">
        <f t="array" ref="C376">IFerror(INDEX(Papers!D$2:D$998,MATCH($A376, Papers!$A$2:$A$998,0)),"")</f>
        <v>Brian Leo and Robert Morello</v>
      </c>
      <c r="D376" s="265">
        <f t="array" ref="D376">IFerror(INDEX(Papers!F$2:F$998,MATCH($A376, Papers!$A$2:$A$998,0)),"")</f>
        <v>2016</v>
      </c>
      <c r="E376" s="265">
        <f t="array" ref="E376">IFerror(INDEX(Papers!G$2:G$998,MATCH($A376, Papers!$A$2:$A$998,0)),"")</f>
        <v>2015</v>
      </c>
      <c r="F376" s="265" t="s">
        <v>257</v>
      </c>
      <c r="G376" s="266" t="s">
        <v>9</v>
      </c>
      <c r="H376" s="282" t="s">
        <v>293</v>
      </c>
      <c r="I376" s="282" t="s">
        <v>509</v>
      </c>
      <c r="J376" s="301" t="s">
        <v>446</v>
      </c>
      <c r="K376" s="289"/>
      <c r="L376" s="285">
        <v>0.05</v>
      </c>
      <c r="M376" s="285">
        <v>0.05</v>
      </c>
      <c r="N376" s="271" t="str">
        <f t="shared" si="44"/>
        <v/>
      </c>
      <c r="O376" s="271">
        <f t="shared" si="21"/>
        <v>0</v>
      </c>
    </row>
    <row r="377">
      <c r="A377" s="272">
        <v>27.0</v>
      </c>
      <c r="B377" s="273" t="str">
        <f t="array" ref="B377">IFerror(INDEX(Papers!C$2:C$998,MATCH($A377, Papers!$A$2:$A$998,0)),"")</f>
        <v>Practical Considerations with Using Mobile Phone Survey Incentives: Experiences in Ghana and Tanzania</v>
      </c>
      <c r="C377" s="273" t="str">
        <f t="array" ref="C377">IFerror(INDEX(Papers!D$2:D$998,MATCH($A377, Papers!$A$2:$A$998,0)),"")</f>
        <v>Brian Leo and Robert Morello</v>
      </c>
      <c r="D377" s="274">
        <f t="array" ref="D377">IFerror(INDEX(Papers!F$2:F$998,MATCH($A377, Papers!$A$2:$A$998,0)),"")</f>
        <v>2016</v>
      </c>
      <c r="E377" s="274">
        <f t="array" ref="E377">IFerror(INDEX(Papers!G$2:G$998,MATCH($A377, Papers!$A$2:$A$998,0)),"")</f>
        <v>2015</v>
      </c>
      <c r="F377" s="274" t="s">
        <v>257</v>
      </c>
      <c r="G377" s="275" t="s">
        <v>9</v>
      </c>
      <c r="H377" s="277" t="s">
        <v>293</v>
      </c>
      <c r="I377" s="277" t="s">
        <v>513</v>
      </c>
      <c r="J377" s="300" t="s">
        <v>446</v>
      </c>
      <c r="K377" s="307"/>
      <c r="L377" s="288">
        <v>0.05</v>
      </c>
      <c r="M377" s="288">
        <v>0.05</v>
      </c>
      <c r="N377" s="281" t="str">
        <f t="shared" si="44"/>
        <v/>
      </c>
      <c r="O377" s="281">
        <f t="shared" si="21"/>
        <v>0</v>
      </c>
    </row>
    <row r="378">
      <c r="A378" s="263">
        <v>27.0</v>
      </c>
      <c r="B378" s="264" t="str">
        <f t="array" ref="B378">IFerror(INDEX(Papers!C$2:C$998,MATCH($A378, Papers!$A$2:$A$998,0)),"")</f>
        <v>Practical Considerations with Using Mobile Phone Survey Incentives: Experiences in Ghana and Tanzania</v>
      </c>
      <c r="C378" s="264" t="str">
        <f t="array" ref="C378">IFerror(INDEX(Papers!D$2:D$998,MATCH($A378, Papers!$A$2:$A$998,0)),"")</f>
        <v>Brian Leo and Robert Morello</v>
      </c>
      <c r="D378" s="265">
        <f t="array" ref="D378">IFerror(INDEX(Papers!F$2:F$998,MATCH($A378, Papers!$A$2:$A$998,0)),"")</f>
        <v>2016</v>
      </c>
      <c r="E378" s="265">
        <f t="array" ref="E378">IFerror(INDEX(Papers!G$2:G$998,MATCH($A378, Papers!$A$2:$A$998,0)),"")</f>
        <v>2015</v>
      </c>
      <c r="F378" s="265" t="s">
        <v>243</v>
      </c>
      <c r="G378" s="266" t="s">
        <v>9</v>
      </c>
      <c r="H378" s="282" t="s">
        <v>293</v>
      </c>
      <c r="I378" s="282" t="s">
        <v>512</v>
      </c>
      <c r="J378" s="301" t="s">
        <v>446</v>
      </c>
      <c r="K378" s="289"/>
      <c r="L378" s="285">
        <v>0.09</v>
      </c>
      <c r="M378" s="285">
        <v>0.08</v>
      </c>
      <c r="N378" s="271" t="str">
        <f t="shared" si="44"/>
        <v/>
      </c>
      <c r="O378" s="271">
        <f t="shared" si="21"/>
        <v>0.01</v>
      </c>
    </row>
    <row r="379">
      <c r="A379" s="272">
        <v>27.0</v>
      </c>
      <c r="B379" s="273" t="str">
        <f t="array" ref="B379">IFerror(INDEX(Papers!C$2:C$998,MATCH($A379, Papers!$A$2:$A$998,0)),"")</f>
        <v>Practical Considerations with Using Mobile Phone Survey Incentives: Experiences in Ghana and Tanzania</v>
      </c>
      <c r="C379" s="273" t="str">
        <f t="array" ref="C379">IFerror(INDEX(Papers!D$2:D$998,MATCH($A379, Papers!$A$2:$A$998,0)),"")</f>
        <v>Brian Leo and Robert Morello</v>
      </c>
      <c r="D379" s="274">
        <f t="array" ref="D379">IFerror(INDEX(Papers!F$2:F$998,MATCH($A379, Papers!$A$2:$A$998,0)),"")</f>
        <v>2016</v>
      </c>
      <c r="E379" s="274">
        <f t="array" ref="E379">IFerror(INDEX(Papers!G$2:G$998,MATCH($A379, Papers!$A$2:$A$998,0)),"")</f>
        <v>2015</v>
      </c>
      <c r="F379" s="274" t="s">
        <v>257</v>
      </c>
      <c r="G379" s="275" t="s">
        <v>9</v>
      </c>
      <c r="H379" s="277" t="s">
        <v>293</v>
      </c>
      <c r="I379" s="276" t="s">
        <v>510</v>
      </c>
      <c r="J379" s="300" t="s">
        <v>446</v>
      </c>
      <c r="K379" s="307"/>
      <c r="L379" s="288">
        <v>0.06</v>
      </c>
      <c r="M379" s="288">
        <v>0.05</v>
      </c>
      <c r="N379" s="281" t="str">
        <f t="shared" si="44"/>
        <v/>
      </c>
      <c r="O379" s="281">
        <f t="shared" si="21"/>
        <v>0.01</v>
      </c>
    </row>
    <row r="380">
      <c r="A380" s="263">
        <v>27.0</v>
      </c>
      <c r="B380" s="264" t="str">
        <f t="array" ref="B380">IFerror(INDEX(Papers!C$2:C$998,MATCH($A380, Papers!$A$2:$A$998,0)),"")</f>
        <v>Practical Considerations with Using Mobile Phone Survey Incentives: Experiences in Ghana and Tanzania</v>
      </c>
      <c r="C380" s="264" t="str">
        <f t="array" ref="C380">IFerror(INDEX(Papers!D$2:D$998,MATCH($A380, Papers!$A$2:$A$998,0)),"")</f>
        <v>Brian Leo and Robert Morello</v>
      </c>
      <c r="D380" s="265">
        <f t="array" ref="D380">IFerror(INDEX(Papers!F$2:F$998,MATCH($A380, Papers!$A$2:$A$998,0)),"")</f>
        <v>2016</v>
      </c>
      <c r="E380" s="265">
        <f t="array" ref="E380">IFerror(INDEX(Papers!G$2:G$998,MATCH($A380, Papers!$A$2:$A$998,0)),"")</f>
        <v>2015</v>
      </c>
      <c r="F380" s="265" t="s">
        <v>243</v>
      </c>
      <c r="G380" s="266" t="s">
        <v>9</v>
      </c>
      <c r="H380" s="282" t="s">
        <v>293</v>
      </c>
      <c r="I380" s="282" t="s">
        <v>512</v>
      </c>
      <c r="J380" s="268" t="s">
        <v>447</v>
      </c>
      <c r="K380" s="289"/>
      <c r="L380" s="285">
        <v>0.18</v>
      </c>
      <c r="M380" s="285">
        <v>0.23</v>
      </c>
      <c r="N380" s="271" t="str">
        <f t="shared" si="44"/>
        <v/>
      </c>
      <c r="O380" s="271">
        <f t="shared" si="21"/>
        <v>-0.05</v>
      </c>
    </row>
    <row r="381">
      <c r="A381" s="272">
        <v>27.0</v>
      </c>
      <c r="B381" s="273" t="str">
        <f t="array" ref="B381">IFerror(INDEX(Papers!C$2:C$998,MATCH($A381, Papers!$A$2:$A$998,0)),"")</f>
        <v>Practical Considerations with Using Mobile Phone Survey Incentives: Experiences in Ghana and Tanzania</v>
      </c>
      <c r="C381" s="273" t="str">
        <f t="array" ref="C381">IFerror(INDEX(Papers!D$2:D$998,MATCH($A381, Papers!$A$2:$A$998,0)),"")</f>
        <v>Brian Leo and Robert Morello</v>
      </c>
      <c r="D381" s="274">
        <f t="array" ref="D381">IFerror(INDEX(Papers!F$2:F$998,MATCH($A381, Papers!$A$2:$A$998,0)),"")</f>
        <v>2016</v>
      </c>
      <c r="E381" s="274">
        <f t="array" ref="E381">IFerror(INDEX(Papers!G$2:G$998,MATCH($A381, Papers!$A$2:$A$998,0)),"")</f>
        <v>2015</v>
      </c>
      <c r="F381" s="274" t="s">
        <v>257</v>
      </c>
      <c r="G381" s="275" t="s">
        <v>9</v>
      </c>
      <c r="H381" s="277" t="s">
        <v>293</v>
      </c>
      <c r="I381" s="276" t="s">
        <v>510</v>
      </c>
      <c r="J381" s="278" t="s">
        <v>447</v>
      </c>
      <c r="K381" s="307"/>
      <c r="L381" s="288">
        <v>0.1</v>
      </c>
      <c r="M381" s="288">
        <v>0.14</v>
      </c>
      <c r="N381" s="281" t="str">
        <f t="shared" si="44"/>
        <v/>
      </c>
      <c r="O381" s="281">
        <f t="shared" si="21"/>
        <v>-0.04</v>
      </c>
    </row>
    <row r="382">
      <c r="A382" s="263">
        <v>27.0</v>
      </c>
      <c r="B382" s="264" t="str">
        <f t="array" ref="B382">IFerror(INDEX(Papers!C$2:C$998,MATCH($A382, Papers!$A$2:$A$998,0)),"")</f>
        <v>Practical Considerations with Using Mobile Phone Survey Incentives: Experiences in Ghana and Tanzania</v>
      </c>
      <c r="C382" s="264" t="str">
        <f t="array" ref="C382">IFerror(INDEX(Papers!D$2:D$998,MATCH($A382, Papers!$A$2:$A$998,0)),"")</f>
        <v>Brian Leo and Robert Morello</v>
      </c>
      <c r="D382" s="265">
        <f t="array" ref="D382">IFerror(INDEX(Papers!F$2:F$998,MATCH($A382, Papers!$A$2:$A$998,0)),"")</f>
        <v>2016</v>
      </c>
      <c r="E382" s="265">
        <f t="array" ref="E382">IFerror(INDEX(Papers!G$2:G$998,MATCH($A382, Papers!$A$2:$A$998,0)),"")</f>
        <v>2015</v>
      </c>
      <c r="F382" s="265" t="s">
        <v>243</v>
      </c>
      <c r="G382" s="266" t="s">
        <v>9</v>
      </c>
      <c r="H382" s="282" t="s">
        <v>293</v>
      </c>
      <c r="I382" s="282" t="s">
        <v>515</v>
      </c>
      <c r="J382" s="268" t="s">
        <v>447</v>
      </c>
      <c r="K382" s="289"/>
      <c r="L382" s="285">
        <v>0.18</v>
      </c>
      <c r="M382" s="285">
        <v>0.21</v>
      </c>
      <c r="N382" s="271" t="str">
        <f t="shared" si="44"/>
        <v/>
      </c>
      <c r="O382" s="271">
        <f t="shared" si="21"/>
        <v>-0.03</v>
      </c>
    </row>
    <row r="383">
      <c r="A383" s="272">
        <v>27.0</v>
      </c>
      <c r="B383" s="273" t="str">
        <f t="array" ref="B383">IFerror(INDEX(Papers!C$2:C$998,MATCH($A383, Papers!$A$2:$A$998,0)),"")</f>
        <v>Practical Considerations with Using Mobile Phone Survey Incentives: Experiences in Ghana and Tanzania</v>
      </c>
      <c r="C383" s="273" t="str">
        <f t="array" ref="C383">IFerror(INDEX(Papers!D$2:D$998,MATCH($A383, Papers!$A$2:$A$998,0)),"")</f>
        <v>Brian Leo and Robert Morello</v>
      </c>
      <c r="D383" s="274">
        <f t="array" ref="D383">IFerror(INDEX(Papers!F$2:F$998,MATCH($A383, Papers!$A$2:$A$998,0)),"")</f>
        <v>2016</v>
      </c>
      <c r="E383" s="274">
        <f t="array" ref="E383">IFerror(INDEX(Papers!G$2:G$998,MATCH($A383, Papers!$A$2:$A$998,0)),"")</f>
        <v>2015</v>
      </c>
      <c r="F383" s="274" t="s">
        <v>243</v>
      </c>
      <c r="G383" s="275" t="s">
        <v>9</v>
      </c>
      <c r="H383" s="277" t="s">
        <v>293</v>
      </c>
      <c r="I383" s="276" t="s">
        <v>510</v>
      </c>
      <c r="J383" s="278" t="s">
        <v>447</v>
      </c>
      <c r="K383" s="307"/>
      <c r="L383" s="288">
        <v>0.18</v>
      </c>
      <c r="M383" s="288">
        <v>0.21</v>
      </c>
      <c r="N383" s="281" t="str">
        <f t="shared" si="44"/>
        <v/>
      </c>
      <c r="O383" s="281">
        <f t="shared" si="21"/>
        <v>-0.03</v>
      </c>
    </row>
    <row r="384">
      <c r="A384" s="263">
        <v>27.0</v>
      </c>
      <c r="B384" s="264" t="str">
        <f t="array" ref="B384">IFerror(INDEX(Papers!C$2:C$998,MATCH($A384, Papers!$A$2:$A$998,0)),"")</f>
        <v>Practical Considerations with Using Mobile Phone Survey Incentives: Experiences in Ghana and Tanzania</v>
      </c>
      <c r="C384" s="264" t="str">
        <f t="array" ref="C384">IFerror(INDEX(Papers!D$2:D$998,MATCH($A384, Papers!$A$2:$A$998,0)),"")</f>
        <v>Brian Leo and Robert Morello</v>
      </c>
      <c r="D384" s="265">
        <f t="array" ref="D384">IFerror(INDEX(Papers!F$2:F$998,MATCH($A384, Papers!$A$2:$A$998,0)),"")</f>
        <v>2016</v>
      </c>
      <c r="E384" s="265">
        <f t="array" ref="E384">IFerror(INDEX(Papers!G$2:G$998,MATCH($A384, Papers!$A$2:$A$998,0)),"")</f>
        <v>2015</v>
      </c>
      <c r="F384" s="265" t="s">
        <v>243</v>
      </c>
      <c r="G384" s="266" t="s">
        <v>9</v>
      </c>
      <c r="H384" s="282" t="s">
        <v>293</v>
      </c>
      <c r="I384" s="282" t="s">
        <v>511</v>
      </c>
      <c r="J384" s="268" t="s">
        <v>447</v>
      </c>
      <c r="K384" s="289"/>
      <c r="L384" s="285">
        <v>0.18</v>
      </c>
      <c r="M384" s="285">
        <v>0.18</v>
      </c>
      <c r="N384" s="271" t="str">
        <f t="shared" si="44"/>
        <v/>
      </c>
      <c r="O384" s="271">
        <f t="shared" si="21"/>
        <v>0</v>
      </c>
    </row>
    <row r="385">
      <c r="A385" s="272">
        <v>27.0</v>
      </c>
      <c r="B385" s="273" t="str">
        <f t="array" ref="B385">IFerror(INDEX(Papers!C$2:C$998,MATCH($A385, Papers!$A$2:$A$998,0)),"")</f>
        <v>Practical Considerations with Using Mobile Phone Survey Incentives: Experiences in Ghana and Tanzania</v>
      </c>
      <c r="C385" s="273" t="str">
        <f t="array" ref="C385">IFerror(INDEX(Papers!D$2:D$998,MATCH($A385, Papers!$A$2:$A$998,0)),"")</f>
        <v>Brian Leo and Robert Morello</v>
      </c>
      <c r="D385" s="274">
        <f t="array" ref="D385">IFerror(INDEX(Papers!F$2:F$998,MATCH($A385, Papers!$A$2:$A$998,0)),"")</f>
        <v>2016</v>
      </c>
      <c r="E385" s="274">
        <f t="array" ref="E385">IFerror(INDEX(Papers!G$2:G$998,MATCH($A385, Papers!$A$2:$A$998,0)),"")</f>
        <v>2015</v>
      </c>
      <c r="F385" s="274" t="s">
        <v>257</v>
      </c>
      <c r="G385" s="275" t="s">
        <v>9</v>
      </c>
      <c r="H385" s="277" t="s">
        <v>293</v>
      </c>
      <c r="I385" s="277" t="s">
        <v>514</v>
      </c>
      <c r="J385" s="278" t="s">
        <v>447</v>
      </c>
      <c r="K385" s="307"/>
      <c r="L385" s="288">
        <v>0.14</v>
      </c>
      <c r="M385" s="288">
        <v>0.12</v>
      </c>
      <c r="N385" s="281" t="str">
        <f t="shared" si="44"/>
        <v/>
      </c>
      <c r="O385" s="281">
        <f t="shared" si="21"/>
        <v>0.02</v>
      </c>
    </row>
    <row r="386">
      <c r="A386" s="263">
        <v>27.0</v>
      </c>
      <c r="B386" s="264" t="str">
        <f t="array" ref="B386">IFerror(INDEX(Papers!C$2:C$998,MATCH($A386, Papers!$A$2:$A$998,0)),"")</f>
        <v>Practical Considerations with Using Mobile Phone Survey Incentives: Experiences in Ghana and Tanzania</v>
      </c>
      <c r="C386" s="264" t="str">
        <f t="array" ref="C386">IFerror(INDEX(Papers!D$2:D$998,MATCH($A386, Papers!$A$2:$A$998,0)),"")</f>
        <v>Brian Leo and Robert Morello</v>
      </c>
      <c r="D386" s="265">
        <f t="array" ref="D386">IFerror(INDEX(Papers!F$2:F$998,MATCH($A386, Papers!$A$2:$A$998,0)),"")</f>
        <v>2016</v>
      </c>
      <c r="E386" s="265">
        <f t="array" ref="E386">IFerror(INDEX(Papers!G$2:G$998,MATCH($A386, Papers!$A$2:$A$998,0)),"")</f>
        <v>2015</v>
      </c>
      <c r="F386" s="265" t="s">
        <v>257</v>
      </c>
      <c r="G386" s="266" t="s">
        <v>9</v>
      </c>
      <c r="H386" s="282" t="s">
        <v>293</v>
      </c>
      <c r="I386" s="282" t="s">
        <v>509</v>
      </c>
      <c r="J386" s="268" t="s">
        <v>447</v>
      </c>
      <c r="K386" s="289"/>
      <c r="L386" s="285">
        <v>0.14</v>
      </c>
      <c r="M386" s="285">
        <v>0.11</v>
      </c>
      <c r="N386" s="271" t="str">
        <f t="shared" si="44"/>
        <v/>
      </c>
      <c r="O386" s="271">
        <f t="shared" si="21"/>
        <v>0.03</v>
      </c>
    </row>
    <row r="387">
      <c r="A387" s="272">
        <v>27.0</v>
      </c>
      <c r="B387" s="273" t="str">
        <f t="array" ref="B387">IFerror(INDEX(Papers!C$2:C$998,MATCH($A387, Papers!$A$2:$A$998,0)),"")</f>
        <v>Practical Considerations with Using Mobile Phone Survey Incentives: Experiences in Ghana and Tanzania</v>
      </c>
      <c r="C387" s="273" t="str">
        <f t="array" ref="C387">IFerror(INDEX(Papers!D$2:D$998,MATCH($A387, Papers!$A$2:$A$998,0)),"")</f>
        <v>Brian Leo and Robert Morello</v>
      </c>
      <c r="D387" s="274">
        <f t="array" ref="D387">IFerror(INDEX(Papers!F$2:F$998,MATCH($A387, Papers!$A$2:$A$998,0)),"")</f>
        <v>2016</v>
      </c>
      <c r="E387" s="274">
        <f t="array" ref="E387">IFerror(INDEX(Papers!G$2:G$998,MATCH($A387, Papers!$A$2:$A$998,0)),"")</f>
        <v>2015</v>
      </c>
      <c r="F387" s="274" t="s">
        <v>257</v>
      </c>
      <c r="G387" s="275" t="s">
        <v>9</v>
      </c>
      <c r="H387" s="277" t="s">
        <v>293</v>
      </c>
      <c r="I387" s="277" t="s">
        <v>513</v>
      </c>
      <c r="J387" s="278" t="s">
        <v>447</v>
      </c>
      <c r="K387" s="307"/>
      <c r="L387" s="288">
        <v>0.14</v>
      </c>
      <c r="M387" s="288">
        <v>0.11</v>
      </c>
      <c r="N387" s="281" t="str">
        <f t="shared" si="44"/>
        <v/>
      </c>
      <c r="O387" s="281">
        <f t="shared" si="21"/>
        <v>0.03</v>
      </c>
    </row>
    <row r="388">
      <c r="A388" s="263">
        <v>27.0</v>
      </c>
      <c r="B388" s="264" t="str">
        <f t="array" ref="B388">IFerror(INDEX(Papers!C$2:C$998,MATCH($A388, Papers!$A$2:$A$998,0)),"")</f>
        <v>Practical Considerations with Using Mobile Phone Survey Incentives: Experiences in Ghana and Tanzania</v>
      </c>
      <c r="C388" s="264" t="str">
        <f t="array" ref="C388">IFerror(INDEX(Papers!D$2:D$998,MATCH($A388, Papers!$A$2:$A$998,0)),"")</f>
        <v>Brian Leo and Robert Morello</v>
      </c>
      <c r="D388" s="265">
        <f t="array" ref="D388">IFerror(INDEX(Papers!F$2:F$998,MATCH($A388, Papers!$A$2:$A$998,0)),"")</f>
        <v>2016</v>
      </c>
      <c r="E388" s="265">
        <f t="array" ref="E388">IFerror(INDEX(Papers!G$2:G$998,MATCH($A388, Papers!$A$2:$A$998,0)),"")</f>
        <v>2015</v>
      </c>
      <c r="F388" s="265" t="s">
        <v>257</v>
      </c>
      <c r="G388" s="266" t="s">
        <v>9</v>
      </c>
      <c r="H388" s="282" t="s">
        <v>293</v>
      </c>
      <c r="I388" s="282" t="s">
        <v>509</v>
      </c>
      <c r="J388" s="268" t="s">
        <v>517</v>
      </c>
      <c r="K388" s="289"/>
      <c r="L388" s="285">
        <v>0.19</v>
      </c>
      <c r="M388" s="285">
        <v>0.22</v>
      </c>
      <c r="N388" s="271" t="str">
        <f t="shared" si="44"/>
        <v/>
      </c>
      <c r="O388" s="271">
        <f t="shared" si="21"/>
        <v>-0.03</v>
      </c>
    </row>
    <row r="389">
      <c r="A389" s="272">
        <v>27.0</v>
      </c>
      <c r="B389" s="273" t="str">
        <f t="array" ref="B389">IFerror(INDEX(Papers!C$2:C$998,MATCH($A389, Papers!$A$2:$A$998,0)),"")</f>
        <v>Practical Considerations with Using Mobile Phone Survey Incentives: Experiences in Ghana and Tanzania</v>
      </c>
      <c r="C389" s="273" t="str">
        <f t="array" ref="C389">IFerror(INDEX(Papers!D$2:D$998,MATCH($A389, Papers!$A$2:$A$998,0)),"")</f>
        <v>Brian Leo and Robert Morello</v>
      </c>
      <c r="D389" s="274">
        <f t="array" ref="D389">IFerror(INDEX(Papers!F$2:F$998,MATCH($A389, Papers!$A$2:$A$998,0)),"")</f>
        <v>2016</v>
      </c>
      <c r="E389" s="274">
        <f t="array" ref="E389">IFerror(INDEX(Papers!G$2:G$998,MATCH($A389, Papers!$A$2:$A$998,0)),"")</f>
        <v>2015</v>
      </c>
      <c r="F389" s="274" t="s">
        <v>257</v>
      </c>
      <c r="G389" s="275" t="s">
        <v>9</v>
      </c>
      <c r="H389" s="277" t="s">
        <v>293</v>
      </c>
      <c r="I389" s="276" t="s">
        <v>510</v>
      </c>
      <c r="J389" s="278" t="s">
        <v>517</v>
      </c>
      <c r="K389" s="307"/>
      <c r="L389" s="288">
        <v>0.19</v>
      </c>
      <c r="M389" s="288">
        <v>0.2</v>
      </c>
      <c r="N389" s="281" t="str">
        <f t="shared" si="44"/>
        <v/>
      </c>
      <c r="O389" s="281">
        <f t="shared" si="21"/>
        <v>-0.01</v>
      </c>
    </row>
    <row r="390">
      <c r="A390" s="263">
        <v>27.0</v>
      </c>
      <c r="B390" s="264" t="str">
        <f t="array" ref="B390">IFerror(INDEX(Papers!C$2:C$998,MATCH($A390, Papers!$A$2:$A$998,0)),"")</f>
        <v>Practical Considerations with Using Mobile Phone Survey Incentives: Experiences in Ghana and Tanzania</v>
      </c>
      <c r="C390" s="264" t="str">
        <f t="array" ref="C390">IFerror(INDEX(Papers!D$2:D$998,MATCH($A390, Papers!$A$2:$A$998,0)),"")</f>
        <v>Brian Leo and Robert Morello</v>
      </c>
      <c r="D390" s="265">
        <f t="array" ref="D390">IFerror(INDEX(Papers!F$2:F$998,MATCH($A390, Papers!$A$2:$A$998,0)),"")</f>
        <v>2016</v>
      </c>
      <c r="E390" s="265">
        <f t="array" ref="E390">IFerror(INDEX(Papers!G$2:G$998,MATCH($A390, Papers!$A$2:$A$998,0)),"")</f>
        <v>2015</v>
      </c>
      <c r="F390" s="265" t="s">
        <v>243</v>
      </c>
      <c r="G390" s="266" t="s">
        <v>9</v>
      </c>
      <c r="H390" s="282" t="s">
        <v>293</v>
      </c>
      <c r="I390" s="282" t="s">
        <v>511</v>
      </c>
      <c r="J390" s="268" t="s">
        <v>517</v>
      </c>
      <c r="K390" s="289"/>
      <c r="L390" s="285">
        <v>0.22</v>
      </c>
      <c r="M390" s="285">
        <v>0.22</v>
      </c>
      <c r="N390" s="271" t="str">
        <f t="shared" si="44"/>
        <v/>
      </c>
      <c r="O390" s="271">
        <f t="shared" si="21"/>
        <v>0</v>
      </c>
    </row>
    <row r="391">
      <c r="A391" s="272">
        <v>27.0</v>
      </c>
      <c r="B391" s="273" t="str">
        <f t="array" ref="B391">IFerror(INDEX(Papers!C$2:C$998,MATCH($A391, Papers!$A$2:$A$998,0)),"")</f>
        <v>Practical Considerations with Using Mobile Phone Survey Incentives: Experiences in Ghana and Tanzania</v>
      </c>
      <c r="C391" s="273" t="str">
        <f t="array" ref="C391">IFerror(INDEX(Papers!D$2:D$998,MATCH($A391, Papers!$A$2:$A$998,0)),"")</f>
        <v>Brian Leo and Robert Morello</v>
      </c>
      <c r="D391" s="274">
        <f t="array" ref="D391">IFerror(INDEX(Papers!F$2:F$998,MATCH($A391, Papers!$A$2:$A$998,0)),"")</f>
        <v>2016</v>
      </c>
      <c r="E391" s="274">
        <f t="array" ref="E391">IFerror(INDEX(Papers!G$2:G$998,MATCH($A391, Papers!$A$2:$A$998,0)),"")</f>
        <v>2015</v>
      </c>
      <c r="F391" s="274" t="s">
        <v>257</v>
      </c>
      <c r="G391" s="275" t="s">
        <v>9</v>
      </c>
      <c r="H391" s="277" t="s">
        <v>293</v>
      </c>
      <c r="I391" s="277" t="s">
        <v>513</v>
      </c>
      <c r="J391" s="278" t="s">
        <v>517</v>
      </c>
      <c r="K391" s="307"/>
      <c r="L391" s="288">
        <v>0.19</v>
      </c>
      <c r="M391" s="288">
        <v>0.19</v>
      </c>
      <c r="N391" s="281" t="str">
        <f t="shared" si="44"/>
        <v/>
      </c>
      <c r="O391" s="281">
        <f t="shared" si="21"/>
        <v>0</v>
      </c>
    </row>
    <row r="392">
      <c r="A392" s="263">
        <v>27.0</v>
      </c>
      <c r="B392" s="264" t="str">
        <f t="array" ref="B392">IFerror(INDEX(Papers!C$2:C$998,MATCH($A392, Papers!$A$2:$A$998,0)),"")</f>
        <v>Practical Considerations with Using Mobile Phone Survey Incentives: Experiences in Ghana and Tanzania</v>
      </c>
      <c r="C392" s="264" t="str">
        <f t="array" ref="C392">IFerror(INDEX(Papers!D$2:D$998,MATCH($A392, Papers!$A$2:$A$998,0)),"")</f>
        <v>Brian Leo and Robert Morello</v>
      </c>
      <c r="D392" s="265">
        <f t="array" ref="D392">IFerror(INDEX(Papers!F$2:F$998,MATCH($A392, Papers!$A$2:$A$998,0)),"")</f>
        <v>2016</v>
      </c>
      <c r="E392" s="265">
        <f t="array" ref="E392">IFerror(INDEX(Papers!G$2:G$998,MATCH($A392, Papers!$A$2:$A$998,0)),"")</f>
        <v>2015</v>
      </c>
      <c r="F392" s="265" t="s">
        <v>243</v>
      </c>
      <c r="G392" s="266" t="s">
        <v>9</v>
      </c>
      <c r="H392" s="282" t="s">
        <v>293</v>
      </c>
      <c r="I392" s="267" t="s">
        <v>510</v>
      </c>
      <c r="J392" s="268" t="s">
        <v>517</v>
      </c>
      <c r="K392" s="289"/>
      <c r="L392" s="285">
        <v>0.22</v>
      </c>
      <c r="M392" s="285">
        <v>0.21</v>
      </c>
      <c r="N392" s="271" t="str">
        <f t="shared" si="44"/>
        <v/>
      </c>
      <c r="O392" s="271">
        <f t="shared" si="21"/>
        <v>0.01</v>
      </c>
    </row>
    <row r="393">
      <c r="A393" s="272">
        <v>27.0</v>
      </c>
      <c r="B393" s="273" t="str">
        <f t="array" ref="B393">IFerror(INDEX(Papers!C$2:C$998,MATCH($A393, Papers!$A$2:$A$998,0)),"")</f>
        <v>Practical Considerations with Using Mobile Phone Survey Incentives: Experiences in Ghana and Tanzania</v>
      </c>
      <c r="C393" s="273" t="str">
        <f t="array" ref="C393">IFerror(INDEX(Papers!D$2:D$998,MATCH($A393, Papers!$A$2:$A$998,0)),"")</f>
        <v>Brian Leo and Robert Morello</v>
      </c>
      <c r="D393" s="274">
        <f t="array" ref="D393">IFerror(INDEX(Papers!F$2:F$998,MATCH($A393, Papers!$A$2:$A$998,0)),"")</f>
        <v>2016</v>
      </c>
      <c r="E393" s="274">
        <f t="array" ref="E393">IFerror(INDEX(Papers!G$2:G$998,MATCH($A393, Papers!$A$2:$A$998,0)),"")</f>
        <v>2015</v>
      </c>
      <c r="F393" s="274" t="s">
        <v>257</v>
      </c>
      <c r="G393" s="275" t="s">
        <v>9</v>
      </c>
      <c r="H393" s="277" t="s">
        <v>293</v>
      </c>
      <c r="I393" s="277" t="s">
        <v>514</v>
      </c>
      <c r="J393" s="278" t="s">
        <v>517</v>
      </c>
      <c r="K393" s="307"/>
      <c r="L393" s="288">
        <v>0.19</v>
      </c>
      <c r="M393" s="288">
        <v>0.17</v>
      </c>
      <c r="N393" s="281" t="str">
        <f t="shared" si="44"/>
        <v/>
      </c>
      <c r="O393" s="281">
        <f t="shared" si="21"/>
        <v>0.02</v>
      </c>
    </row>
    <row r="394">
      <c r="A394" s="263">
        <v>27.0</v>
      </c>
      <c r="B394" s="264" t="str">
        <f t="array" ref="B394">IFerror(INDEX(Papers!C$2:C$998,MATCH($A394, Papers!$A$2:$A$998,0)),"")</f>
        <v>Practical Considerations with Using Mobile Phone Survey Incentives: Experiences in Ghana and Tanzania</v>
      </c>
      <c r="C394" s="264" t="str">
        <f t="array" ref="C394">IFerror(INDEX(Papers!D$2:D$998,MATCH($A394, Papers!$A$2:$A$998,0)),"")</f>
        <v>Brian Leo and Robert Morello</v>
      </c>
      <c r="D394" s="265">
        <f t="array" ref="D394">IFerror(INDEX(Papers!F$2:F$998,MATCH($A394, Papers!$A$2:$A$998,0)),"")</f>
        <v>2016</v>
      </c>
      <c r="E394" s="265">
        <f t="array" ref="E394">IFerror(INDEX(Papers!G$2:G$998,MATCH($A394, Papers!$A$2:$A$998,0)),"")</f>
        <v>2015</v>
      </c>
      <c r="F394" s="265" t="s">
        <v>243</v>
      </c>
      <c r="G394" s="266" t="s">
        <v>9</v>
      </c>
      <c r="H394" s="282" t="s">
        <v>293</v>
      </c>
      <c r="I394" s="282" t="s">
        <v>515</v>
      </c>
      <c r="J394" s="268" t="s">
        <v>517</v>
      </c>
      <c r="K394" s="289"/>
      <c r="L394" s="285">
        <v>0.22</v>
      </c>
      <c r="M394" s="285">
        <v>0.19</v>
      </c>
      <c r="N394" s="271" t="str">
        <f t="shared" si="44"/>
        <v/>
      </c>
      <c r="O394" s="271">
        <f t="shared" si="21"/>
        <v>0.03</v>
      </c>
    </row>
    <row r="395">
      <c r="A395" s="272">
        <v>27.0</v>
      </c>
      <c r="B395" s="273" t="str">
        <f t="array" ref="B395">IFerror(INDEX(Papers!C$2:C$998,MATCH($A395, Papers!$A$2:$A$998,0)),"")</f>
        <v>Practical Considerations with Using Mobile Phone Survey Incentives: Experiences in Ghana and Tanzania</v>
      </c>
      <c r="C395" s="273" t="str">
        <f t="array" ref="C395">IFerror(INDEX(Papers!D$2:D$998,MATCH($A395, Papers!$A$2:$A$998,0)),"")</f>
        <v>Brian Leo and Robert Morello</v>
      </c>
      <c r="D395" s="274">
        <f t="array" ref="D395">IFerror(INDEX(Papers!F$2:F$998,MATCH($A395, Papers!$A$2:$A$998,0)),"")</f>
        <v>2016</v>
      </c>
      <c r="E395" s="274">
        <f t="array" ref="E395">IFerror(INDEX(Papers!G$2:G$998,MATCH($A395, Papers!$A$2:$A$998,0)),"")</f>
        <v>2015</v>
      </c>
      <c r="F395" s="274" t="s">
        <v>243</v>
      </c>
      <c r="G395" s="275" t="s">
        <v>9</v>
      </c>
      <c r="H395" s="277" t="s">
        <v>293</v>
      </c>
      <c r="I395" s="277" t="s">
        <v>512</v>
      </c>
      <c r="J395" s="278" t="s">
        <v>517</v>
      </c>
      <c r="K395" s="307"/>
      <c r="L395" s="288">
        <v>0.22</v>
      </c>
      <c r="M395" s="288">
        <v>0.16</v>
      </c>
      <c r="N395" s="281" t="str">
        <f t="shared" si="44"/>
        <v/>
      </c>
      <c r="O395" s="281">
        <f t="shared" si="21"/>
        <v>0.06</v>
      </c>
    </row>
    <row r="396">
      <c r="A396" s="263">
        <v>27.0</v>
      </c>
      <c r="B396" s="264" t="str">
        <f t="array" ref="B396">IFerror(INDEX(Papers!C$2:C$998,MATCH($A396, Papers!$A$2:$A$998,0)),"")</f>
        <v>Practical Considerations with Using Mobile Phone Survey Incentives: Experiences in Ghana and Tanzania</v>
      </c>
      <c r="C396" s="264" t="str">
        <f t="array" ref="C396">IFerror(INDEX(Papers!D$2:D$998,MATCH($A396, Papers!$A$2:$A$998,0)),"")</f>
        <v>Brian Leo and Robert Morello</v>
      </c>
      <c r="D396" s="265">
        <f t="array" ref="D396">IFerror(INDEX(Papers!F$2:F$998,MATCH($A396, Papers!$A$2:$A$998,0)),"")</f>
        <v>2016</v>
      </c>
      <c r="E396" s="265">
        <f t="array" ref="E396">IFerror(INDEX(Papers!G$2:G$998,MATCH($A396, Papers!$A$2:$A$998,0)),"")</f>
        <v>2015</v>
      </c>
      <c r="F396" s="265" t="s">
        <v>257</v>
      </c>
      <c r="G396" s="266" t="s">
        <v>9</v>
      </c>
      <c r="H396" s="282" t="s">
        <v>293</v>
      </c>
      <c r="I396" s="282" t="s">
        <v>513</v>
      </c>
      <c r="J396" s="268" t="s">
        <v>485</v>
      </c>
      <c r="K396" s="289"/>
      <c r="L396" s="285">
        <v>0.21</v>
      </c>
      <c r="M396" s="285">
        <v>0.22</v>
      </c>
      <c r="N396" s="271" t="str">
        <f t="shared" si="44"/>
        <v/>
      </c>
      <c r="O396" s="271">
        <f t="shared" si="21"/>
        <v>-0.01</v>
      </c>
    </row>
    <row r="397">
      <c r="A397" s="272">
        <v>27.0</v>
      </c>
      <c r="B397" s="273" t="str">
        <f t="array" ref="B397">IFerror(INDEX(Papers!C$2:C$998,MATCH($A397, Papers!$A$2:$A$998,0)),"")</f>
        <v>Practical Considerations with Using Mobile Phone Survey Incentives: Experiences in Ghana and Tanzania</v>
      </c>
      <c r="C397" s="273" t="str">
        <f t="array" ref="C397">IFerror(INDEX(Papers!D$2:D$998,MATCH($A397, Papers!$A$2:$A$998,0)),"")</f>
        <v>Brian Leo and Robert Morello</v>
      </c>
      <c r="D397" s="274">
        <f t="array" ref="D397">IFerror(INDEX(Papers!F$2:F$998,MATCH($A397, Papers!$A$2:$A$998,0)),"")</f>
        <v>2016</v>
      </c>
      <c r="E397" s="274">
        <f t="array" ref="E397">IFerror(INDEX(Papers!G$2:G$998,MATCH($A397, Papers!$A$2:$A$998,0)),"")</f>
        <v>2015</v>
      </c>
      <c r="F397" s="274" t="s">
        <v>243</v>
      </c>
      <c r="G397" s="275" t="s">
        <v>9</v>
      </c>
      <c r="H397" s="277" t="s">
        <v>293</v>
      </c>
      <c r="I397" s="276" t="s">
        <v>510</v>
      </c>
      <c r="J397" s="278" t="s">
        <v>485</v>
      </c>
      <c r="K397" s="307"/>
      <c r="L397" s="288">
        <v>0.18</v>
      </c>
      <c r="M397" s="288">
        <v>0.17</v>
      </c>
      <c r="N397" s="281" t="str">
        <f t="shared" si="44"/>
        <v/>
      </c>
      <c r="O397" s="281">
        <f t="shared" si="21"/>
        <v>0.01</v>
      </c>
    </row>
    <row r="398">
      <c r="A398" s="263">
        <v>27.0</v>
      </c>
      <c r="B398" s="264" t="str">
        <f t="array" ref="B398">IFerror(INDEX(Papers!C$2:C$998,MATCH($A398, Papers!$A$2:$A$998,0)),"")</f>
        <v>Practical Considerations with Using Mobile Phone Survey Incentives: Experiences in Ghana and Tanzania</v>
      </c>
      <c r="C398" s="264" t="str">
        <f t="array" ref="C398">IFerror(INDEX(Papers!D$2:D$998,MATCH($A398, Papers!$A$2:$A$998,0)),"")</f>
        <v>Brian Leo and Robert Morello</v>
      </c>
      <c r="D398" s="265">
        <f t="array" ref="D398">IFerror(INDEX(Papers!F$2:F$998,MATCH($A398, Papers!$A$2:$A$998,0)),"")</f>
        <v>2016</v>
      </c>
      <c r="E398" s="265">
        <f t="array" ref="E398">IFerror(INDEX(Papers!G$2:G$998,MATCH($A398, Papers!$A$2:$A$998,0)),"")</f>
        <v>2015</v>
      </c>
      <c r="F398" s="265" t="s">
        <v>257</v>
      </c>
      <c r="G398" s="266" t="s">
        <v>9</v>
      </c>
      <c r="H398" s="282" t="s">
        <v>293</v>
      </c>
      <c r="I398" s="282" t="s">
        <v>509</v>
      </c>
      <c r="J398" s="268" t="s">
        <v>485</v>
      </c>
      <c r="K398" s="289"/>
      <c r="L398" s="285">
        <v>0.21</v>
      </c>
      <c r="M398" s="285">
        <v>0.2</v>
      </c>
      <c r="N398" s="271" t="str">
        <f t="shared" si="44"/>
        <v/>
      </c>
      <c r="O398" s="271">
        <f t="shared" si="21"/>
        <v>0.01</v>
      </c>
    </row>
    <row r="399">
      <c r="A399" s="272">
        <v>27.0</v>
      </c>
      <c r="B399" s="273" t="str">
        <f t="array" ref="B399">IFerror(INDEX(Papers!C$2:C$998,MATCH($A399, Papers!$A$2:$A$998,0)),"")</f>
        <v>Practical Considerations with Using Mobile Phone Survey Incentives: Experiences in Ghana and Tanzania</v>
      </c>
      <c r="C399" s="273" t="str">
        <f t="array" ref="C399">IFerror(INDEX(Papers!D$2:D$998,MATCH($A399, Papers!$A$2:$A$998,0)),"")</f>
        <v>Brian Leo and Robert Morello</v>
      </c>
      <c r="D399" s="274">
        <f t="array" ref="D399">IFerror(INDEX(Papers!F$2:F$998,MATCH($A399, Papers!$A$2:$A$998,0)),"")</f>
        <v>2016</v>
      </c>
      <c r="E399" s="274">
        <f t="array" ref="E399">IFerror(INDEX(Papers!G$2:G$998,MATCH($A399, Papers!$A$2:$A$998,0)),"")</f>
        <v>2015</v>
      </c>
      <c r="F399" s="274" t="s">
        <v>243</v>
      </c>
      <c r="G399" s="275" t="s">
        <v>9</v>
      </c>
      <c r="H399" s="277" t="s">
        <v>293</v>
      </c>
      <c r="I399" s="277" t="s">
        <v>511</v>
      </c>
      <c r="J399" s="278" t="s">
        <v>485</v>
      </c>
      <c r="K399" s="307"/>
      <c r="L399" s="288">
        <v>0.18</v>
      </c>
      <c r="M399" s="288">
        <v>0.16</v>
      </c>
      <c r="N399" s="281" t="str">
        <f t="shared" si="44"/>
        <v/>
      </c>
      <c r="O399" s="281">
        <f t="shared" si="21"/>
        <v>0.02</v>
      </c>
    </row>
    <row r="400">
      <c r="A400" s="263">
        <v>27.0</v>
      </c>
      <c r="B400" s="264" t="str">
        <f t="array" ref="B400">IFerror(INDEX(Papers!C$2:C$998,MATCH($A400, Papers!$A$2:$A$998,0)),"")</f>
        <v>Practical Considerations with Using Mobile Phone Survey Incentives: Experiences in Ghana and Tanzania</v>
      </c>
      <c r="C400" s="264" t="str">
        <f t="array" ref="C400">IFerror(INDEX(Papers!D$2:D$998,MATCH($A400, Papers!$A$2:$A$998,0)),"")</f>
        <v>Brian Leo and Robert Morello</v>
      </c>
      <c r="D400" s="265">
        <f t="array" ref="D400">IFerror(INDEX(Papers!F$2:F$998,MATCH($A400, Papers!$A$2:$A$998,0)),"")</f>
        <v>2016</v>
      </c>
      <c r="E400" s="265">
        <f t="array" ref="E400">IFerror(INDEX(Papers!G$2:G$998,MATCH($A400, Papers!$A$2:$A$998,0)),"")</f>
        <v>2015</v>
      </c>
      <c r="F400" s="265" t="s">
        <v>243</v>
      </c>
      <c r="G400" s="266" t="s">
        <v>9</v>
      </c>
      <c r="H400" s="282" t="s">
        <v>293</v>
      </c>
      <c r="I400" s="282" t="s">
        <v>515</v>
      </c>
      <c r="J400" s="268" t="s">
        <v>485</v>
      </c>
      <c r="K400" s="289"/>
      <c r="L400" s="285">
        <v>0.18</v>
      </c>
      <c r="M400" s="285">
        <v>0.16</v>
      </c>
      <c r="N400" s="271" t="str">
        <f t="shared" si="44"/>
        <v/>
      </c>
      <c r="O400" s="271">
        <f t="shared" si="21"/>
        <v>0.02</v>
      </c>
    </row>
    <row r="401">
      <c r="A401" s="272">
        <v>27.0</v>
      </c>
      <c r="B401" s="273" t="str">
        <f t="array" ref="B401">IFerror(INDEX(Papers!C$2:C$998,MATCH($A401, Papers!$A$2:$A$998,0)),"")</f>
        <v>Practical Considerations with Using Mobile Phone Survey Incentives: Experiences in Ghana and Tanzania</v>
      </c>
      <c r="C401" s="273" t="str">
        <f t="array" ref="C401">IFerror(INDEX(Papers!D$2:D$998,MATCH($A401, Papers!$A$2:$A$998,0)),"")</f>
        <v>Brian Leo and Robert Morello</v>
      </c>
      <c r="D401" s="274">
        <f t="array" ref="D401">IFerror(INDEX(Papers!F$2:F$998,MATCH($A401, Papers!$A$2:$A$998,0)),"")</f>
        <v>2016</v>
      </c>
      <c r="E401" s="274">
        <f t="array" ref="E401">IFerror(INDEX(Papers!G$2:G$998,MATCH($A401, Papers!$A$2:$A$998,0)),"")</f>
        <v>2015</v>
      </c>
      <c r="F401" s="274" t="s">
        <v>257</v>
      </c>
      <c r="G401" s="275" t="s">
        <v>9</v>
      </c>
      <c r="H401" s="277" t="s">
        <v>293</v>
      </c>
      <c r="I401" s="277" t="s">
        <v>514</v>
      </c>
      <c r="J401" s="278" t="s">
        <v>485</v>
      </c>
      <c r="K401" s="307"/>
      <c r="L401" s="288">
        <v>0.21</v>
      </c>
      <c r="M401" s="288">
        <v>0.19</v>
      </c>
      <c r="N401" s="281" t="str">
        <f t="shared" si="44"/>
        <v/>
      </c>
      <c r="O401" s="281">
        <f t="shared" si="21"/>
        <v>0.02</v>
      </c>
    </row>
    <row r="402">
      <c r="A402" s="263">
        <v>27.0</v>
      </c>
      <c r="B402" s="264" t="str">
        <f t="array" ref="B402">IFerror(INDEX(Papers!C$2:C$998,MATCH($A402, Papers!$A$2:$A$998,0)),"")</f>
        <v>Practical Considerations with Using Mobile Phone Survey Incentives: Experiences in Ghana and Tanzania</v>
      </c>
      <c r="C402" s="264" t="str">
        <f t="array" ref="C402">IFerror(INDEX(Papers!D$2:D$998,MATCH($A402, Papers!$A$2:$A$998,0)),"")</f>
        <v>Brian Leo and Robert Morello</v>
      </c>
      <c r="D402" s="265">
        <f t="array" ref="D402">IFerror(INDEX(Papers!F$2:F$998,MATCH($A402, Papers!$A$2:$A$998,0)),"")</f>
        <v>2016</v>
      </c>
      <c r="E402" s="265">
        <f t="array" ref="E402">IFerror(INDEX(Papers!G$2:G$998,MATCH($A402, Papers!$A$2:$A$998,0)),"")</f>
        <v>2015</v>
      </c>
      <c r="F402" s="265" t="s">
        <v>257</v>
      </c>
      <c r="G402" s="266" t="s">
        <v>9</v>
      </c>
      <c r="H402" s="282" t="s">
        <v>293</v>
      </c>
      <c r="I402" s="267" t="s">
        <v>510</v>
      </c>
      <c r="J402" s="268" t="s">
        <v>485</v>
      </c>
      <c r="K402" s="289"/>
      <c r="L402" s="285">
        <v>0.22</v>
      </c>
      <c r="M402" s="285">
        <v>0.2</v>
      </c>
      <c r="N402" s="271" t="str">
        <f t="shared" si="44"/>
        <v/>
      </c>
      <c r="O402" s="271">
        <f t="shared" si="21"/>
        <v>0.02</v>
      </c>
    </row>
    <row r="403">
      <c r="A403" s="272">
        <v>27.0</v>
      </c>
      <c r="B403" s="273" t="str">
        <f t="array" ref="B403">IFerror(INDEX(Papers!C$2:C$998,MATCH($A403, Papers!$A$2:$A$998,0)),"")</f>
        <v>Practical Considerations with Using Mobile Phone Survey Incentives: Experiences in Ghana and Tanzania</v>
      </c>
      <c r="C403" s="273" t="str">
        <f t="array" ref="C403">IFerror(INDEX(Papers!D$2:D$998,MATCH($A403, Papers!$A$2:$A$998,0)),"")</f>
        <v>Brian Leo and Robert Morello</v>
      </c>
      <c r="D403" s="274">
        <f t="array" ref="D403">IFerror(INDEX(Papers!F$2:F$998,MATCH($A403, Papers!$A$2:$A$998,0)),"")</f>
        <v>2016</v>
      </c>
      <c r="E403" s="274">
        <f t="array" ref="E403">IFerror(INDEX(Papers!G$2:G$998,MATCH($A403, Papers!$A$2:$A$998,0)),"")</f>
        <v>2015</v>
      </c>
      <c r="F403" s="274" t="s">
        <v>243</v>
      </c>
      <c r="G403" s="275" t="s">
        <v>9</v>
      </c>
      <c r="H403" s="277" t="s">
        <v>293</v>
      </c>
      <c r="I403" s="277" t="s">
        <v>512</v>
      </c>
      <c r="J403" s="278" t="s">
        <v>485</v>
      </c>
      <c r="K403" s="307"/>
      <c r="L403" s="288">
        <v>0.18</v>
      </c>
      <c r="M403" s="288">
        <v>0.15</v>
      </c>
      <c r="N403" s="281" t="str">
        <f t="shared" si="44"/>
        <v/>
      </c>
      <c r="O403" s="281">
        <f t="shared" si="21"/>
        <v>0.03</v>
      </c>
    </row>
    <row r="404">
      <c r="A404" s="263">
        <v>27.0</v>
      </c>
      <c r="B404" s="264" t="str">
        <f t="array" ref="B404">IFerror(INDEX(Papers!C$2:C$998,MATCH($A404, Papers!$A$2:$A$998,0)),"")</f>
        <v>Practical Considerations with Using Mobile Phone Survey Incentives: Experiences in Ghana and Tanzania</v>
      </c>
      <c r="C404" s="264" t="str">
        <f t="array" ref="C404">IFerror(INDEX(Papers!D$2:D$998,MATCH($A404, Papers!$A$2:$A$998,0)),"")</f>
        <v>Brian Leo and Robert Morello</v>
      </c>
      <c r="D404" s="265">
        <f t="array" ref="D404">IFerror(INDEX(Papers!F$2:F$998,MATCH($A404, Papers!$A$2:$A$998,0)),"")</f>
        <v>2016</v>
      </c>
      <c r="E404" s="265">
        <f t="array" ref="E404">IFerror(INDEX(Papers!G$2:G$998,MATCH($A404, Papers!$A$2:$A$998,0)),"")</f>
        <v>2015</v>
      </c>
      <c r="F404" s="265" t="s">
        <v>243</v>
      </c>
      <c r="G404" s="266" t="s">
        <v>9</v>
      </c>
      <c r="H404" s="282" t="s">
        <v>293</v>
      </c>
      <c r="I404" s="282" t="s">
        <v>511</v>
      </c>
      <c r="J404" s="268" t="s">
        <v>424</v>
      </c>
      <c r="K404" s="289"/>
      <c r="L404" s="285">
        <v>0.36</v>
      </c>
      <c r="M404" s="285">
        <v>0.41</v>
      </c>
      <c r="N404" s="271" t="str">
        <f t="shared" si="44"/>
        <v/>
      </c>
      <c r="O404" s="271">
        <f t="shared" si="21"/>
        <v>-0.05</v>
      </c>
    </row>
    <row r="405">
      <c r="A405" s="272">
        <v>27.0</v>
      </c>
      <c r="B405" s="273" t="str">
        <f t="array" ref="B405">IFerror(INDEX(Papers!C$2:C$998,MATCH($A405, Papers!$A$2:$A$998,0)),"")</f>
        <v>Practical Considerations with Using Mobile Phone Survey Incentives: Experiences in Ghana and Tanzania</v>
      </c>
      <c r="C405" s="273" t="str">
        <f t="array" ref="C405">IFerror(INDEX(Papers!D$2:D$998,MATCH($A405, Papers!$A$2:$A$998,0)),"")</f>
        <v>Brian Leo and Robert Morello</v>
      </c>
      <c r="D405" s="274">
        <f t="array" ref="D405">IFerror(INDEX(Papers!F$2:F$998,MATCH($A405, Papers!$A$2:$A$998,0)),"")</f>
        <v>2016</v>
      </c>
      <c r="E405" s="274">
        <f t="array" ref="E405">IFerror(INDEX(Papers!G$2:G$998,MATCH($A405, Papers!$A$2:$A$998,0)),"")</f>
        <v>2015</v>
      </c>
      <c r="F405" s="274" t="s">
        <v>257</v>
      </c>
      <c r="G405" s="275" t="s">
        <v>9</v>
      </c>
      <c r="H405" s="277" t="s">
        <v>293</v>
      </c>
      <c r="I405" s="277" t="s">
        <v>514</v>
      </c>
      <c r="J405" s="278" t="s">
        <v>424</v>
      </c>
      <c r="K405" s="307"/>
      <c r="L405" s="288">
        <v>0.26</v>
      </c>
      <c r="M405" s="288">
        <v>0.28</v>
      </c>
      <c r="N405" s="281" t="str">
        <f t="shared" si="44"/>
        <v/>
      </c>
      <c r="O405" s="281">
        <f t="shared" si="21"/>
        <v>-0.02</v>
      </c>
    </row>
    <row r="406">
      <c r="A406" s="263">
        <v>27.0</v>
      </c>
      <c r="B406" s="264" t="str">
        <f t="array" ref="B406">IFerror(INDEX(Papers!C$2:C$998,MATCH($A406, Papers!$A$2:$A$998,0)),"")</f>
        <v>Practical Considerations with Using Mobile Phone Survey Incentives: Experiences in Ghana and Tanzania</v>
      </c>
      <c r="C406" s="264" t="str">
        <f t="array" ref="C406">IFerror(INDEX(Papers!D$2:D$998,MATCH($A406, Papers!$A$2:$A$998,0)),"")</f>
        <v>Brian Leo and Robert Morello</v>
      </c>
      <c r="D406" s="265">
        <f t="array" ref="D406">IFerror(INDEX(Papers!F$2:F$998,MATCH($A406, Papers!$A$2:$A$998,0)),"")</f>
        <v>2016</v>
      </c>
      <c r="E406" s="265">
        <f t="array" ref="E406">IFerror(INDEX(Papers!G$2:G$998,MATCH($A406, Papers!$A$2:$A$998,0)),"")</f>
        <v>2015</v>
      </c>
      <c r="F406" s="265" t="s">
        <v>243</v>
      </c>
      <c r="G406" s="266" t="s">
        <v>9</v>
      </c>
      <c r="H406" s="282" t="s">
        <v>293</v>
      </c>
      <c r="I406" s="282" t="s">
        <v>512</v>
      </c>
      <c r="J406" s="268" t="s">
        <v>424</v>
      </c>
      <c r="K406" s="289"/>
      <c r="L406" s="285">
        <v>0.36</v>
      </c>
      <c r="M406" s="285">
        <v>0.37</v>
      </c>
      <c r="N406" s="271" t="str">
        <f t="shared" si="44"/>
        <v/>
      </c>
      <c r="O406" s="271">
        <f t="shared" si="21"/>
        <v>-0.01</v>
      </c>
    </row>
    <row r="407">
      <c r="A407" s="272">
        <v>27.0</v>
      </c>
      <c r="B407" s="273" t="str">
        <f t="array" ref="B407">IFerror(INDEX(Papers!C$2:C$998,MATCH($A407, Papers!$A$2:$A$998,0)),"")</f>
        <v>Practical Considerations with Using Mobile Phone Survey Incentives: Experiences in Ghana and Tanzania</v>
      </c>
      <c r="C407" s="273" t="str">
        <f t="array" ref="C407">IFerror(INDEX(Papers!D$2:D$998,MATCH($A407, Papers!$A$2:$A$998,0)),"")</f>
        <v>Brian Leo and Robert Morello</v>
      </c>
      <c r="D407" s="274">
        <f t="array" ref="D407">IFerror(INDEX(Papers!F$2:F$998,MATCH($A407, Papers!$A$2:$A$998,0)),"")</f>
        <v>2016</v>
      </c>
      <c r="E407" s="274">
        <f t="array" ref="E407">IFerror(INDEX(Papers!G$2:G$998,MATCH($A407, Papers!$A$2:$A$998,0)),"")</f>
        <v>2015</v>
      </c>
      <c r="F407" s="274" t="s">
        <v>257</v>
      </c>
      <c r="G407" s="275" t="s">
        <v>9</v>
      </c>
      <c r="H407" s="277" t="s">
        <v>293</v>
      </c>
      <c r="I407" s="277" t="s">
        <v>509</v>
      </c>
      <c r="J407" s="278" t="s">
        <v>424</v>
      </c>
      <c r="K407" s="307"/>
      <c r="L407" s="288">
        <v>0.26</v>
      </c>
      <c r="M407" s="288">
        <v>0.27</v>
      </c>
      <c r="N407" s="281" t="str">
        <f t="shared" si="44"/>
        <v/>
      </c>
      <c r="O407" s="281">
        <f t="shared" si="21"/>
        <v>-0.01</v>
      </c>
    </row>
    <row r="408">
      <c r="A408" s="263">
        <v>27.0</v>
      </c>
      <c r="B408" s="264" t="str">
        <f t="array" ref="B408">IFerror(INDEX(Papers!C$2:C$998,MATCH($A408, Papers!$A$2:$A$998,0)),"")</f>
        <v>Practical Considerations with Using Mobile Phone Survey Incentives: Experiences in Ghana and Tanzania</v>
      </c>
      <c r="C408" s="264" t="str">
        <f t="array" ref="C408">IFerror(INDEX(Papers!D$2:D$998,MATCH($A408, Papers!$A$2:$A$998,0)),"")</f>
        <v>Brian Leo and Robert Morello</v>
      </c>
      <c r="D408" s="265">
        <f t="array" ref="D408">IFerror(INDEX(Papers!F$2:F$998,MATCH($A408, Papers!$A$2:$A$998,0)),"")</f>
        <v>2016</v>
      </c>
      <c r="E408" s="265">
        <f t="array" ref="E408">IFerror(INDEX(Papers!G$2:G$998,MATCH($A408, Papers!$A$2:$A$998,0)),"")</f>
        <v>2015</v>
      </c>
      <c r="F408" s="265" t="s">
        <v>257</v>
      </c>
      <c r="G408" s="266" t="s">
        <v>9</v>
      </c>
      <c r="H408" s="282" t="s">
        <v>293</v>
      </c>
      <c r="I408" s="267" t="s">
        <v>510</v>
      </c>
      <c r="J408" s="268" t="s">
        <v>424</v>
      </c>
      <c r="K408" s="289"/>
      <c r="L408" s="285">
        <v>0.26</v>
      </c>
      <c r="M408" s="285">
        <v>0.27</v>
      </c>
      <c r="N408" s="271" t="str">
        <f t="shared" si="44"/>
        <v/>
      </c>
      <c r="O408" s="271">
        <f t="shared" si="21"/>
        <v>-0.01</v>
      </c>
    </row>
    <row r="409">
      <c r="A409" s="272">
        <v>27.0</v>
      </c>
      <c r="B409" s="273" t="str">
        <f t="array" ref="B409">IFerror(INDEX(Papers!C$2:C$998,MATCH($A409, Papers!$A$2:$A$998,0)),"")</f>
        <v>Practical Considerations with Using Mobile Phone Survey Incentives: Experiences in Ghana and Tanzania</v>
      </c>
      <c r="C409" s="273" t="str">
        <f t="array" ref="C409">IFerror(INDEX(Papers!D$2:D$998,MATCH($A409, Papers!$A$2:$A$998,0)),"")</f>
        <v>Brian Leo and Robert Morello</v>
      </c>
      <c r="D409" s="274">
        <f t="array" ref="D409">IFerror(INDEX(Papers!F$2:F$998,MATCH($A409, Papers!$A$2:$A$998,0)),"")</f>
        <v>2016</v>
      </c>
      <c r="E409" s="274">
        <f t="array" ref="E409">IFerror(INDEX(Papers!G$2:G$998,MATCH($A409, Papers!$A$2:$A$998,0)),"")</f>
        <v>2015</v>
      </c>
      <c r="F409" s="274" t="s">
        <v>243</v>
      </c>
      <c r="G409" s="275" t="s">
        <v>9</v>
      </c>
      <c r="H409" s="277" t="s">
        <v>293</v>
      </c>
      <c r="I409" s="276" t="s">
        <v>510</v>
      </c>
      <c r="J409" s="278" t="s">
        <v>424</v>
      </c>
      <c r="K409" s="307"/>
      <c r="L409" s="288">
        <v>0.36</v>
      </c>
      <c r="M409" s="288">
        <v>0.36</v>
      </c>
      <c r="N409" s="281" t="str">
        <f t="shared" si="44"/>
        <v/>
      </c>
      <c r="O409" s="281">
        <f t="shared" si="21"/>
        <v>0</v>
      </c>
    </row>
    <row r="410">
      <c r="A410" s="263">
        <v>27.0</v>
      </c>
      <c r="B410" s="264" t="str">
        <f t="array" ref="B410">IFerror(INDEX(Papers!C$2:C$998,MATCH($A410, Papers!$A$2:$A$998,0)),"")</f>
        <v>Practical Considerations with Using Mobile Phone Survey Incentives: Experiences in Ghana and Tanzania</v>
      </c>
      <c r="C410" s="264" t="str">
        <f t="array" ref="C410">IFerror(INDEX(Papers!D$2:D$998,MATCH($A410, Papers!$A$2:$A$998,0)),"")</f>
        <v>Brian Leo and Robert Morello</v>
      </c>
      <c r="D410" s="265">
        <f t="array" ref="D410">IFerror(INDEX(Papers!F$2:F$998,MATCH($A410, Papers!$A$2:$A$998,0)),"")</f>
        <v>2016</v>
      </c>
      <c r="E410" s="265">
        <f t="array" ref="E410">IFerror(INDEX(Papers!G$2:G$998,MATCH($A410, Papers!$A$2:$A$998,0)),"")</f>
        <v>2015</v>
      </c>
      <c r="F410" s="265" t="s">
        <v>257</v>
      </c>
      <c r="G410" s="266" t="s">
        <v>9</v>
      </c>
      <c r="H410" s="282" t="s">
        <v>293</v>
      </c>
      <c r="I410" s="282" t="s">
        <v>513</v>
      </c>
      <c r="J410" s="268" t="s">
        <v>424</v>
      </c>
      <c r="K410" s="289"/>
      <c r="L410" s="285">
        <v>0.26</v>
      </c>
      <c r="M410" s="285">
        <v>0.25</v>
      </c>
      <c r="N410" s="271" t="str">
        <f t="shared" si="44"/>
        <v/>
      </c>
      <c r="O410" s="271">
        <f t="shared" si="21"/>
        <v>0.01</v>
      </c>
    </row>
    <row r="411">
      <c r="A411" s="272">
        <v>27.0</v>
      </c>
      <c r="B411" s="273" t="str">
        <f t="array" ref="B411">IFerror(INDEX(Papers!C$2:C$998,MATCH($A411, Papers!$A$2:$A$998,0)),"")</f>
        <v>Practical Considerations with Using Mobile Phone Survey Incentives: Experiences in Ghana and Tanzania</v>
      </c>
      <c r="C411" s="273" t="str">
        <f t="array" ref="C411">IFerror(INDEX(Papers!D$2:D$998,MATCH($A411, Papers!$A$2:$A$998,0)),"")</f>
        <v>Brian Leo and Robert Morello</v>
      </c>
      <c r="D411" s="274">
        <f t="array" ref="D411">IFerror(INDEX(Papers!F$2:F$998,MATCH($A411, Papers!$A$2:$A$998,0)),"")</f>
        <v>2016</v>
      </c>
      <c r="E411" s="274">
        <f t="array" ref="E411">IFerror(INDEX(Papers!G$2:G$998,MATCH($A411, Papers!$A$2:$A$998,0)),"")</f>
        <v>2015</v>
      </c>
      <c r="F411" s="274" t="s">
        <v>243</v>
      </c>
      <c r="G411" s="275" t="s">
        <v>9</v>
      </c>
      <c r="H411" s="277" t="s">
        <v>293</v>
      </c>
      <c r="I411" s="277" t="s">
        <v>515</v>
      </c>
      <c r="J411" s="278" t="s">
        <v>424</v>
      </c>
      <c r="K411" s="307"/>
      <c r="L411" s="288">
        <v>0.36</v>
      </c>
      <c r="M411" s="288">
        <v>0.34</v>
      </c>
      <c r="N411" s="281" t="str">
        <f t="shared" si="44"/>
        <v/>
      </c>
      <c r="O411" s="281">
        <f t="shared" si="21"/>
        <v>0.02</v>
      </c>
    </row>
    <row r="412">
      <c r="A412" s="263">
        <v>27.0</v>
      </c>
      <c r="B412" s="264" t="str">
        <f t="array" ref="B412">IFerror(INDEX(Papers!C$2:C$998,MATCH($A412, Papers!$A$2:$A$998,0)),"")</f>
        <v>Practical Considerations with Using Mobile Phone Survey Incentives: Experiences in Ghana and Tanzania</v>
      </c>
      <c r="C412" s="264" t="str">
        <f t="array" ref="C412">IFerror(INDEX(Papers!D$2:D$998,MATCH($A412, Papers!$A$2:$A$998,0)),"")</f>
        <v>Brian Leo and Robert Morello</v>
      </c>
      <c r="D412" s="265">
        <f t="array" ref="D412">IFerror(INDEX(Papers!F$2:F$998,MATCH($A412, Papers!$A$2:$A$998,0)),"")</f>
        <v>2016</v>
      </c>
      <c r="E412" s="265">
        <f t="array" ref="E412">IFerror(INDEX(Papers!G$2:G$998,MATCH($A412, Papers!$A$2:$A$998,0)),"")</f>
        <v>2015</v>
      </c>
      <c r="F412" s="265" t="s">
        <v>257</v>
      </c>
      <c r="G412" s="266" t="s">
        <v>9</v>
      </c>
      <c r="H412" s="282" t="s">
        <v>293</v>
      </c>
      <c r="I412" s="267" t="s">
        <v>510</v>
      </c>
      <c r="J412" s="268" t="s">
        <v>427</v>
      </c>
      <c r="K412" s="289"/>
      <c r="L412" s="285">
        <v>0.5</v>
      </c>
      <c r="M412" s="285">
        <v>0.56</v>
      </c>
      <c r="N412" s="271" t="str">
        <f t="shared" si="44"/>
        <v/>
      </c>
      <c r="O412" s="271">
        <f t="shared" si="21"/>
        <v>-0.06</v>
      </c>
    </row>
    <row r="413">
      <c r="A413" s="272">
        <v>27.0</v>
      </c>
      <c r="B413" s="273" t="str">
        <f t="array" ref="B413">IFerror(INDEX(Papers!C$2:C$998,MATCH($A413, Papers!$A$2:$A$998,0)),"")</f>
        <v>Practical Considerations with Using Mobile Phone Survey Incentives: Experiences in Ghana and Tanzania</v>
      </c>
      <c r="C413" s="273" t="str">
        <f t="array" ref="C413">IFerror(INDEX(Papers!D$2:D$998,MATCH($A413, Papers!$A$2:$A$998,0)),"")</f>
        <v>Brian Leo and Robert Morello</v>
      </c>
      <c r="D413" s="274">
        <f t="array" ref="D413">IFerror(INDEX(Papers!F$2:F$998,MATCH($A413, Papers!$A$2:$A$998,0)),"")</f>
        <v>2016</v>
      </c>
      <c r="E413" s="274">
        <f t="array" ref="E413">IFerror(INDEX(Papers!G$2:G$998,MATCH($A413, Papers!$A$2:$A$998,0)),"")</f>
        <v>2015</v>
      </c>
      <c r="F413" s="274" t="s">
        <v>243</v>
      </c>
      <c r="G413" s="275" t="s">
        <v>9</v>
      </c>
      <c r="H413" s="277" t="s">
        <v>293</v>
      </c>
      <c r="I413" s="277" t="s">
        <v>515</v>
      </c>
      <c r="J413" s="278" t="s">
        <v>427</v>
      </c>
      <c r="K413" s="307"/>
      <c r="L413" s="288">
        <v>0.63</v>
      </c>
      <c r="M413" s="288">
        <v>0.68</v>
      </c>
      <c r="N413" s="281" t="str">
        <f t="shared" si="44"/>
        <v/>
      </c>
      <c r="O413" s="281">
        <f t="shared" si="21"/>
        <v>-0.05</v>
      </c>
    </row>
    <row r="414">
      <c r="A414" s="263">
        <v>27.0</v>
      </c>
      <c r="B414" s="264" t="str">
        <f t="array" ref="B414">IFerror(INDEX(Papers!C$2:C$998,MATCH($A414, Papers!$A$2:$A$998,0)),"")</f>
        <v>Practical Considerations with Using Mobile Phone Survey Incentives: Experiences in Ghana and Tanzania</v>
      </c>
      <c r="C414" s="264" t="str">
        <f t="array" ref="C414">IFerror(INDEX(Papers!D$2:D$998,MATCH($A414, Papers!$A$2:$A$998,0)),"")</f>
        <v>Brian Leo and Robert Morello</v>
      </c>
      <c r="D414" s="265">
        <f t="array" ref="D414">IFerror(INDEX(Papers!F$2:F$998,MATCH($A414, Papers!$A$2:$A$998,0)),"")</f>
        <v>2016</v>
      </c>
      <c r="E414" s="265">
        <f t="array" ref="E414">IFerror(INDEX(Papers!G$2:G$998,MATCH($A414, Papers!$A$2:$A$998,0)),"")</f>
        <v>2015</v>
      </c>
      <c r="F414" s="265" t="s">
        <v>257</v>
      </c>
      <c r="G414" s="266" t="s">
        <v>9</v>
      </c>
      <c r="H414" s="282" t="s">
        <v>293</v>
      </c>
      <c r="I414" s="282" t="s">
        <v>509</v>
      </c>
      <c r="J414" s="268" t="s">
        <v>427</v>
      </c>
      <c r="K414" s="289"/>
      <c r="L414" s="285">
        <v>0.53</v>
      </c>
      <c r="M414" s="285">
        <v>0.56</v>
      </c>
      <c r="N414" s="271" t="str">
        <f t="shared" si="44"/>
        <v/>
      </c>
      <c r="O414" s="271">
        <f t="shared" si="21"/>
        <v>-0.03</v>
      </c>
    </row>
    <row r="415">
      <c r="A415" s="272">
        <v>27.0</v>
      </c>
      <c r="B415" s="273" t="str">
        <f t="array" ref="B415">IFerror(INDEX(Papers!C$2:C$998,MATCH($A415, Papers!$A$2:$A$998,0)),"")</f>
        <v>Practical Considerations with Using Mobile Phone Survey Incentives: Experiences in Ghana and Tanzania</v>
      </c>
      <c r="C415" s="273" t="str">
        <f t="array" ref="C415">IFerror(INDEX(Papers!D$2:D$998,MATCH($A415, Papers!$A$2:$A$998,0)),"")</f>
        <v>Brian Leo and Robert Morello</v>
      </c>
      <c r="D415" s="274">
        <f t="array" ref="D415">IFerror(INDEX(Papers!F$2:F$998,MATCH($A415, Papers!$A$2:$A$998,0)),"")</f>
        <v>2016</v>
      </c>
      <c r="E415" s="274">
        <f t="array" ref="E415">IFerror(INDEX(Papers!G$2:G$998,MATCH($A415, Papers!$A$2:$A$998,0)),"")</f>
        <v>2015</v>
      </c>
      <c r="F415" s="274" t="s">
        <v>257</v>
      </c>
      <c r="G415" s="275" t="s">
        <v>9</v>
      </c>
      <c r="H415" s="277" t="s">
        <v>293</v>
      </c>
      <c r="I415" s="277" t="s">
        <v>514</v>
      </c>
      <c r="J415" s="278" t="s">
        <v>427</v>
      </c>
      <c r="K415" s="307"/>
      <c r="L415" s="288">
        <v>0.53</v>
      </c>
      <c r="M415" s="288">
        <v>0.55</v>
      </c>
      <c r="N415" s="281" t="str">
        <f t="shared" si="44"/>
        <v/>
      </c>
      <c r="O415" s="281">
        <f t="shared" si="21"/>
        <v>-0.02</v>
      </c>
    </row>
    <row r="416">
      <c r="A416" s="263">
        <v>27.0</v>
      </c>
      <c r="B416" s="264" t="str">
        <f t="array" ref="B416">IFerror(INDEX(Papers!C$2:C$998,MATCH($A416, Papers!$A$2:$A$998,0)),"")</f>
        <v>Practical Considerations with Using Mobile Phone Survey Incentives: Experiences in Ghana and Tanzania</v>
      </c>
      <c r="C416" s="264" t="str">
        <f t="array" ref="C416">IFerror(INDEX(Papers!D$2:D$998,MATCH($A416, Papers!$A$2:$A$998,0)),"")</f>
        <v>Brian Leo and Robert Morello</v>
      </c>
      <c r="D416" s="265">
        <f t="array" ref="D416">IFerror(INDEX(Papers!F$2:F$998,MATCH($A416, Papers!$A$2:$A$998,0)),"")</f>
        <v>2016</v>
      </c>
      <c r="E416" s="265">
        <f t="array" ref="E416">IFerror(INDEX(Papers!G$2:G$998,MATCH($A416, Papers!$A$2:$A$998,0)),"")</f>
        <v>2015</v>
      </c>
      <c r="F416" s="265" t="s">
        <v>243</v>
      </c>
      <c r="G416" s="266" t="s">
        <v>9</v>
      </c>
      <c r="H416" s="282" t="s">
        <v>293</v>
      </c>
      <c r="I416" s="282" t="s">
        <v>512</v>
      </c>
      <c r="J416" s="268" t="s">
        <v>427</v>
      </c>
      <c r="K416" s="289"/>
      <c r="L416" s="285">
        <v>0.63</v>
      </c>
      <c r="M416" s="285">
        <v>0.64</v>
      </c>
      <c r="N416" s="271" t="str">
        <f t="shared" si="44"/>
        <v/>
      </c>
      <c r="O416" s="271">
        <f t="shared" si="21"/>
        <v>-0.01</v>
      </c>
    </row>
    <row r="417">
      <c r="A417" s="272">
        <v>27.0</v>
      </c>
      <c r="B417" s="273" t="str">
        <f t="array" ref="B417">IFerror(INDEX(Papers!C$2:C$998,MATCH($A417, Papers!$A$2:$A$998,0)),"")</f>
        <v>Practical Considerations with Using Mobile Phone Survey Incentives: Experiences in Ghana and Tanzania</v>
      </c>
      <c r="C417" s="273" t="str">
        <f t="array" ref="C417">IFerror(INDEX(Papers!D$2:D$998,MATCH($A417, Papers!$A$2:$A$998,0)),"")</f>
        <v>Brian Leo and Robert Morello</v>
      </c>
      <c r="D417" s="274">
        <f t="array" ref="D417">IFerror(INDEX(Papers!F$2:F$998,MATCH($A417, Papers!$A$2:$A$998,0)),"")</f>
        <v>2016</v>
      </c>
      <c r="E417" s="274">
        <f t="array" ref="E417">IFerror(INDEX(Papers!G$2:G$998,MATCH($A417, Papers!$A$2:$A$998,0)),"")</f>
        <v>2015</v>
      </c>
      <c r="F417" s="274" t="s">
        <v>257</v>
      </c>
      <c r="G417" s="275" t="s">
        <v>9</v>
      </c>
      <c r="H417" s="277" t="s">
        <v>293</v>
      </c>
      <c r="I417" s="277" t="s">
        <v>513</v>
      </c>
      <c r="J417" s="278" t="s">
        <v>427</v>
      </c>
      <c r="K417" s="307"/>
      <c r="L417" s="288">
        <v>0.53</v>
      </c>
      <c r="M417" s="288">
        <v>0.54</v>
      </c>
      <c r="N417" s="281" t="str">
        <f t="shared" si="44"/>
        <v/>
      </c>
      <c r="O417" s="281">
        <f t="shared" si="21"/>
        <v>-0.01</v>
      </c>
    </row>
    <row r="418">
      <c r="A418" s="263">
        <v>27.0</v>
      </c>
      <c r="B418" s="264" t="str">
        <f t="array" ref="B418">IFerror(INDEX(Papers!C$2:C$998,MATCH($A418, Papers!$A$2:$A$998,0)),"")</f>
        <v>Practical Considerations with Using Mobile Phone Survey Incentives: Experiences in Ghana and Tanzania</v>
      </c>
      <c r="C418" s="264" t="str">
        <f t="array" ref="C418">IFerror(INDEX(Papers!D$2:D$998,MATCH($A418, Papers!$A$2:$A$998,0)),"")</f>
        <v>Brian Leo and Robert Morello</v>
      </c>
      <c r="D418" s="265">
        <f t="array" ref="D418">IFerror(INDEX(Papers!F$2:F$998,MATCH($A418, Papers!$A$2:$A$998,0)),"")</f>
        <v>2016</v>
      </c>
      <c r="E418" s="265">
        <f t="array" ref="E418">IFerror(INDEX(Papers!G$2:G$998,MATCH($A418, Papers!$A$2:$A$998,0)),"")</f>
        <v>2015</v>
      </c>
      <c r="F418" s="265" t="s">
        <v>243</v>
      </c>
      <c r="G418" s="266" t="s">
        <v>9</v>
      </c>
      <c r="H418" s="282" t="s">
        <v>293</v>
      </c>
      <c r="I418" s="282" t="s">
        <v>511</v>
      </c>
      <c r="J418" s="268" t="s">
        <v>427</v>
      </c>
      <c r="K418" s="289"/>
      <c r="L418" s="285">
        <v>0.63</v>
      </c>
      <c r="M418" s="285">
        <v>0.62</v>
      </c>
      <c r="N418" s="271" t="str">
        <f t="shared" si="44"/>
        <v/>
      </c>
      <c r="O418" s="271">
        <f t="shared" si="21"/>
        <v>0.01</v>
      </c>
    </row>
    <row r="419">
      <c r="A419" s="272">
        <v>27.0</v>
      </c>
      <c r="B419" s="273" t="str">
        <f t="array" ref="B419">IFerror(INDEX(Papers!C$2:C$998,MATCH($A419, Papers!$A$2:$A$998,0)),"")</f>
        <v>Practical Considerations with Using Mobile Phone Survey Incentives: Experiences in Ghana and Tanzania</v>
      </c>
      <c r="C419" s="273" t="str">
        <f t="array" ref="C419">IFerror(INDEX(Papers!D$2:D$998,MATCH($A419, Papers!$A$2:$A$998,0)),"")</f>
        <v>Brian Leo and Robert Morello</v>
      </c>
      <c r="D419" s="274">
        <f t="array" ref="D419">IFerror(INDEX(Papers!F$2:F$998,MATCH($A419, Papers!$A$2:$A$998,0)),"")</f>
        <v>2016</v>
      </c>
      <c r="E419" s="274">
        <f t="array" ref="E419">IFerror(INDEX(Papers!G$2:G$998,MATCH($A419, Papers!$A$2:$A$998,0)),"")</f>
        <v>2015</v>
      </c>
      <c r="F419" s="274" t="s">
        <v>243</v>
      </c>
      <c r="G419" s="275" t="s">
        <v>9</v>
      </c>
      <c r="H419" s="277" t="s">
        <v>293</v>
      </c>
      <c r="I419" s="276" t="s">
        <v>510</v>
      </c>
      <c r="J419" s="278" t="s">
        <v>427</v>
      </c>
      <c r="K419" s="307"/>
      <c r="L419" s="288">
        <v>0.63</v>
      </c>
      <c r="M419" s="288">
        <v>0.62</v>
      </c>
      <c r="N419" s="281" t="str">
        <f t="shared" si="44"/>
        <v/>
      </c>
      <c r="O419" s="281">
        <f t="shared" si="21"/>
        <v>0.01</v>
      </c>
    </row>
    <row r="420">
      <c r="A420" s="263">
        <v>27.0</v>
      </c>
      <c r="B420" s="264" t="str">
        <f t="array" ref="B420">IFerror(INDEX(Papers!C$2:C$998,MATCH($A420, Papers!$A$2:$A$998,0)),"")</f>
        <v>Practical Considerations with Using Mobile Phone Survey Incentives: Experiences in Ghana and Tanzania</v>
      </c>
      <c r="C420" s="264" t="str">
        <f t="array" ref="C420">IFerror(INDEX(Papers!D$2:D$998,MATCH($A420, Papers!$A$2:$A$998,0)),"")</f>
        <v>Brian Leo and Robert Morello</v>
      </c>
      <c r="D420" s="265">
        <f t="array" ref="D420">IFerror(INDEX(Papers!F$2:F$998,MATCH($A420, Papers!$A$2:$A$998,0)),"")</f>
        <v>2016</v>
      </c>
      <c r="E420" s="265">
        <f t="array" ref="E420">IFerror(INDEX(Papers!G$2:G$998,MATCH($A420, Papers!$A$2:$A$998,0)),"")</f>
        <v>2015</v>
      </c>
      <c r="F420" s="265" t="s">
        <v>257</v>
      </c>
      <c r="G420" s="266" t="s">
        <v>9</v>
      </c>
      <c r="H420" s="282" t="s">
        <v>293</v>
      </c>
      <c r="I420" s="267" t="s">
        <v>510</v>
      </c>
      <c r="J420" s="301" t="s">
        <v>518</v>
      </c>
      <c r="K420" s="289"/>
      <c r="L420" s="285">
        <v>0.43</v>
      </c>
      <c r="M420" s="285">
        <v>0.48</v>
      </c>
      <c r="N420" s="271" t="str">
        <f t="shared" si="44"/>
        <v/>
      </c>
      <c r="O420" s="271">
        <f t="shared" si="21"/>
        <v>-0.05</v>
      </c>
    </row>
    <row r="421">
      <c r="A421" s="272">
        <v>27.0</v>
      </c>
      <c r="B421" s="273" t="str">
        <f t="array" ref="B421">IFerror(INDEX(Papers!C$2:C$998,MATCH($A421, Papers!$A$2:$A$998,0)),"")</f>
        <v>Practical Considerations with Using Mobile Phone Survey Incentives: Experiences in Ghana and Tanzania</v>
      </c>
      <c r="C421" s="273" t="str">
        <f t="array" ref="C421">IFerror(INDEX(Papers!D$2:D$998,MATCH($A421, Papers!$A$2:$A$998,0)),"")</f>
        <v>Brian Leo and Robert Morello</v>
      </c>
      <c r="D421" s="274">
        <f t="array" ref="D421">IFerror(INDEX(Papers!F$2:F$998,MATCH($A421, Papers!$A$2:$A$998,0)),"")</f>
        <v>2016</v>
      </c>
      <c r="E421" s="274">
        <f t="array" ref="E421">IFerror(INDEX(Papers!G$2:G$998,MATCH($A421, Papers!$A$2:$A$998,0)),"")</f>
        <v>2015</v>
      </c>
      <c r="F421" s="274" t="s">
        <v>257</v>
      </c>
      <c r="G421" s="275" t="s">
        <v>9</v>
      </c>
      <c r="H421" s="277" t="s">
        <v>293</v>
      </c>
      <c r="I421" s="277" t="s">
        <v>509</v>
      </c>
      <c r="J421" s="300" t="s">
        <v>518</v>
      </c>
      <c r="K421" s="307"/>
      <c r="L421" s="288">
        <v>0.49</v>
      </c>
      <c r="M421" s="288">
        <v>0.45</v>
      </c>
      <c r="N421" s="281" t="str">
        <f t="shared" si="44"/>
        <v/>
      </c>
      <c r="O421" s="281">
        <f t="shared" si="21"/>
        <v>0.04</v>
      </c>
    </row>
    <row r="422">
      <c r="A422" s="263">
        <v>27.0</v>
      </c>
      <c r="B422" s="264" t="str">
        <f t="array" ref="B422">IFerror(INDEX(Papers!C$2:C$998,MATCH($A422, Papers!$A$2:$A$998,0)),"")</f>
        <v>Practical Considerations with Using Mobile Phone Survey Incentives: Experiences in Ghana and Tanzania</v>
      </c>
      <c r="C422" s="264" t="str">
        <f t="array" ref="C422">IFerror(INDEX(Papers!D$2:D$998,MATCH($A422, Papers!$A$2:$A$998,0)),"")</f>
        <v>Brian Leo and Robert Morello</v>
      </c>
      <c r="D422" s="265">
        <f t="array" ref="D422">IFerror(INDEX(Papers!F$2:F$998,MATCH($A422, Papers!$A$2:$A$998,0)),"")</f>
        <v>2016</v>
      </c>
      <c r="E422" s="265">
        <f t="array" ref="E422">IFerror(INDEX(Papers!G$2:G$998,MATCH($A422, Papers!$A$2:$A$998,0)),"")</f>
        <v>2015</v>
      </c>
      <c r="F422" s="265" t="s">
        <v>257</v>
      </c>
      <c r="G422" s="266" t="s">
        <v>9</v>
      </c>
      <c r="H422" s="282" t="s">
        <v>293</v>
      </c>
      <c r="I422" s="282" t="s">
        <v>513</v>
      </c>
      <c r="J422" s="301" t="s">
        <v>518</v>
      </c>
      <c r="K422" s="289"/>
      <c r="L422" s="285">
        <v>0.49</v>
      </c>
      <c r="M422" s="285">
        <v>0.42</v>
      </c>
      <c r="N422" s="271" t="str">
        <f t="shared" si="44"/>
        <v/>
      </c>
      <c r="O422" s="271">
        <f t="shared" si="21"/>
        <v>0.07</v>
      </c>
    </row>
    <row r="423">
      <c r="A423" s="272">
        <v>27.0</v>
      </c>
      <c r="B423" s="273" t="str">
        <f t="array" ref="B423">IFerror(INDEX(Papers!C$2:C$998,MATCH($A423, Papers!$A$2:$A$998,0)),"")</f>
        <v>Practical Considerations with Using Mobile Phone Survey Incentives: Experiences in Ghana and Tanzania</v>
      </c>
      <c r="C423" s="273" t="str">
        <f t="array" ref="C423">IFerror(INDEX(Papers!D$2:D$998,MATCH($A423, Papers!$A$2:$A$998,0)),"")</f>
        <v>Brian Leo and Robert Morello</v>
      </c>
      <c r="D423" s="274">
        <f t="array" ref="D423">IFerror(INDEX(Papers!F$2:F$998,MATCH($A423, Papers!$A$2:$A$998,0)),"")</f>
        <v>2016</v>
      </c>
      <c r="E423" s="274">
        <f t="array" ref="E423">IFerror(INDEX(Papers!G$2:G$998,MATCH($A423, Papers!$A$2:$A$998,0)),"")</f>
        <v>2015</v>
      </c>
      <c r="F423" s="274" t="s">
        <v>257</v>
      </c>
      <c r="G423" s="275" t="s">
        <v>9</v>
      </c>
      <c r="H423" s="277" t="s">
        <v>293</v>
      </c>
      <c r="I423" s="277" t="s">
        <v>514</v>
      </c>
      <c r="J423" s="300" t="s">
        <v>518</v>
      </c>
      <c r="K423" s="307"/>
      <c r="L423" s="288">
        <v>0.49</v>
      </c>
      <c r="M423" s="288">
        <v>0.42</v>
      </c>
      <c r="N423" s="281" t="str">
        <f t="shared" si="44"/>
        <v/>
      </c>
      <c r="O423" s="281">
        <f t="shared" si="21"/>
        <v>0.07</v>
      </c>
    </row>
    <row r="424">
      <c r="A424" s="263">
        <v>27.0</v>
      </c>
      <c r="B424" s="264" t="str">
        <f t="array" ref="B424">IFerror(INDEX(Papers!C$2:C$998,MATCH($A424, Papers!$A$2:$A$998,0)),"")</f>
        <v>Practical Considerations with Using Mobile Phone Survey Incentives: Experiences in Ghana and Tanzania</v>
      </c>
      <c r="C424" s="264" t="str">
        <f t="array" ref="C424">IFerror(INDEX(Papers!D$2:D$998,MATCH($A424, Papers!$A$2:$A$998,0)),"")</f>
        <v>Brian Leo and Robert Morello</v>
      </c>
      <c r="D424" s="265">
        <f t="array" ref="D424">IFerror(INDEX(Papers!F$2:F$998,MATCH($A424, Papers!$A$2:$A$998,0)),"")</f>
        <v>2016</v>
      </c>
      <c r="E424" s="265">
        <f t="array" ref="E424">IFerror(INDEX(Papers!G$2:G$998,MATCH($A424, Papers!$A$2:$A$998,0)),"")</f>
        <v>2015</v>
      </c>
      <c r="F424" s="265" t="s">
        <v>243</v>
      </c>
      <c r="G424" s="266" t="s">
        <v>9</v>
      </c>
      <c r="H424" s="282" t="s">
        <v>293</v>
      </c>
      <c r="I424" s="267" t="s">
        <v>510</v>
      </c>
      <c r="J424" s="301" t="s">
        <v>519</v>
      </c>
      <c r="K424" s="289"/>
      <c r="L424" s="285">
        <v>0.72</v>
      </c>
      <c r="M424" s="285">
        <v>0.78</v>
      </c>
      <c r="N424" s="271" t="str">
        <f t="shared" si="44"/>
        <v/>
      </c>
      <c r="O424" s="271">
        <f t="shared" si="21"/>
        <v>-0.06</v>
      </c>
    </row>
    <row r="425">
      <c r="A425" s="272">
        <v>27.0</v>
      </c>
      <c r="B425" s="273" t="str">
        <f t="array" ref="B425">IFerror(INDEX(Papers!C$2:C$998,MATCH($A425, Papers!$A$2:$A$998,0)),"")</f>
        <v>Practical Considerations with Using Mobile Phone Survey Incentives: Experiences in Ghana and Tanzania</v>
      </c>
      <c r="C425" s="273" t="str">
        <f t="array" ref="C425">IFerror(INDEX(Papers!D$2:D$998,MATCH($A425, Papers!$A$2:$A$998,0)),"")</f>
        <v>Brian Leo and Robert Morello</v>
      </c>
      <c r="D425" s="274">
        <f t="array" ref="D425">IFerror(INDEX(Papers!F$2:F$998,MATCH($A425, Papers!$A$2:$A$998,0)),"")</f>
        <v>2016</v>
      </c>
      <c r="E425" s="274">
        <f t="array" ref="E425">IFerror(INDEX(Papers!G$2:G$998,MATCH($A425, Papers!$A$2:$A$998,0)),"")</f>
        <v>2015</v>
      </c>
      <c r="F425" s="274" t="s">
        <v>257</v>
      </c>
      <c r="G425" s="275" t="s">
        <v>9</v>
      </c>
      <c r="H425" s="277" t="s">
        <v>293</v>
      </c>
      <c r="I425" s="276" t="s">
        <v>510</v>
      </c>
      <c r="J425" s="300" t="s">
        <v>519</v>
      </c>
      <c r="K425" s="307"/>
      <c r="L425" s="288">
        <v>0.66</v>
      </c>
      <c r="M425" s="288">
        <v>0.7</v>
      </c>
      <c r="N425" s="281" t="str">
        <f t="shared" si="44"/>
        <v/>
      </c>
      <c r="O425" s="281">
        <f t="shared" si="21"/>
        <v>-0.04</v>
      </c>
    </row>
    <row r="426">
      <c r="A426" s="263">
        <v>27.0</v>
      </c>
      <c r="B426" s="264" t="str">
        <f t="array" ref="B426">IFerror(INDEX(Papers!C$2:C$998,MATCH($A426, Papers!$A$2:$A$998,0)),"")</f>
        <v>Practical Considerations with Using Mobile Phone Survey Incentives: Experiences in Ghana and Tanzania</v>
      </c>
      <c r="C426" s="264" t="str">
        <f t="array" ref="C426">IFerror(INDEX(Papers!D$2:D$998,MATCH($A426, Papers!$A$2:$A$998,0)),"")</f>
        <v>Brian Leo and Robert Morello</v>
      </c>
      <c r="D426" s="265">
        <f t="array" ref="D426">IFerror(INDEX(Papers!F$2:F$998,MATCH($A426, Papers!$A$2:$A$998,0)),"")</f>
        <v>2016</v>
      </c>
      <c r="E426" s="265">
        <f t="array" ref="E426">IFerror(INDEX(Papers!G$2:G$998,MATCH($A426, Papers!$A$2:$A$998,0)),"")</f>
        <v>2015</v>
      </c>
      <c r="F426" s="265" t="s">
        <v>243</v>
      </c>
      <c r="G426" s="266" t="s">
        <v>9</v>
      </c>
      <c r="H426" s="282" t="s">
        <v>293</v>
      </c>
      <c r="I426" s="282" t="s">
        <v>515</v>
      </c>
      <c r="J426" s="301" t="s">
        <v>519</v>
      </c>
      <c r="K426" s="289"/>
      <c r="L426" s="285">
        <v>0.75</v>
      </c>
      <c r="M426" s="285">
        <v>0.78</v>
      </c>
      <c r="N426" s="271" t="str">
        <f t="shared" si="44"/>
        <v/>
      </c>
      <c r="O426" s="271">
        <f t="shared" si="21"/>
        <v>-0.03</v>
      </c>
    </row>
    <row r="427">
      <c r="A427" s="272">
        <v>27.0</v>
      </c>
      <c r="B427" s="273" t="str">
        <f t="array" ref="B427">IFerror(INDEX(Papers!C$2:C$998,MATCH($A427, Papers!$A$2:$A$998,0)),"")</f>
        <v>Practical Considerations with Using Mobile Phone Survey Incentives: Experiences in Ghana and Tanzania</v>
      </c>
      <c r="C427" s="273" t="str">
        <f t="array" ref="C427">IFerror(INDEX(Papers!D$2:D$998,MATCH($A427, Papers!$A$2:$A$998,0)),"")</f>
        <v>Brian Leo and Robert Morello</v>
      </c>
      <c r="D427" s="274">
        <f t="array" ref="D427">IFerror(INDEX(Papers!F$2:F$998,MATCH($A427, Papers!$A$2:$A$998,0)),"")</f>
        <v>2016</v>
      </c>
      <c r="E427" s="274">
        <f t="array" ref="E427">IFerror(INDEX(Papers!G$2:G$998,MATCH($A427, Papers!$A$2:$A$998,0)),"")</f>
        <v>2015</v>
      </c>
      <c r="F427" s="274" t="s">
        <v>243</v>
      </c>
      <c r="G427" s="275" t="s">
        <v>9</v>
      </c>
      <c r="H427" s="277" t="s">
        <v>293</v>
      </c>
      <c r="I427" s="277" t="s">
        <v>512</v>
      </c>
      <c r="J427" s="300" t="s">
        <v>519</v>
      </c>
      <c r="K427" s="307"/>
      <c r="L427" s="288">
        <v>0.75</v>
      </c>
      <c r="M427" s="288">
        <v>0.77</v>
      </c>
      <c r="N427" s="281" t="str">
        <f t="shared" si="44"/>
        <v/>
      </c>
      <c r="O427" s="281">
        <f t="shared" si="21"/>
        <v>-0.02</v>
      </c>
    </row>
    <row r="428">
      <c r="A428" s="263">
        <v>27.0</v>
      </c>
      <c r="B428" s="264" t="str">
        <f t="array" ref="B428">IFerror(INDEX(Papers!C$2:C$998,MATCH($A428, Papers!$A$2:$A$998,0)),"")</f>
        <v>Practical Considerations with Using Mobile Phone Survey Incentives: Experiences in Ghana and Tanzania</v>
      </c>
      <c r="C428" s="264" t="str">
        <f t="array" ref="C428">IFerror(INDEX(Papers!D$2:D$998,MATCH($A428, Papers!$A$2:$A$998,0)),"")</f>
        <v>Brian Leo and Robert Morello</v>
      </c>
      <c r="D428" s="265">
        <f t="array" ref="D428">IFerror(INDEX(Papers!F$2:F$998,MATCH($A428, Papers!$A$2:$A$998,0)),"")</f>
        <v>2016</v>
      </c>
      <c r="E428" s="265">
        <f t="array" ref="E428">IFerror(INDEX(Papers!G$2:G$998,MATCH($A428, Papers!$A$2:$A$998,0)),"")</f>
        <v>2015</v>
      </c>
      <c r="F428" s="265" t="s">
        <v>257</v>
      </c>
      <c r="G428" s="266" t="s">
        <v>9</v>
      </c>
      <c r="H428" s="282" t="s">
        <v>293</v>
      </c>
      <c r="I428" s="282" t="s">
        <v>509</v>
      </c>
      <c r="J428" s="301" t="s">
        <v>519</v>
      </c>
      <c r="K428" s="289"/>
      <c r="L428" s="285">
        <v>0.69</v>
      </c>
      <c r="M428" s="285">
        <v>0.71</v>
      </c>
      <c r="N428" s="271" t="str">
        <f t="shared" si="44"/>
        <v/>
      </c>
      <c r="O428" s="271">
        <f t="shared" si="21"/>
        <v>-0.02</v>
      </c>
    </row>
    <row r="429">
      <c r="A429" s="272">
        <v>27.0</v>
      </c>
      <c r="B429" s="273" t="str">
        <f t="array" ref="B429">IFerror(INDEX(Papers!C$2:C$998,MATCH($A429, Papers!$A$2:$A$998,0)),"")</f>
        <v>Practical Considerations with Using Mobile Phone Survey Incentives: Experiences in Ghana and Tanzania</v>
      </c>
      <c r="C429" s="273" t="str">
        <f t="array" ref="C429">IFerror(INDEX(Papers!D$2:D$998,MATCH($A429, Papers!$A$2:$A$998,0)),"")</f>
        <v>Brian Leo and Robert Morello</v>
      </c>
      <c r="D429" s="274">
        <f t="array" ref="D429">IFerror(INDEX(Papers!F$2:F$998,MATCH($A429, Papers!$A$2:$A$998,0)),"")</f>
        <v>2016</v>
      </c>
      <c r="E429" s="274">
        <f t="array" ref="E429">IFerror(INDEX(Papers!G$2:G$998,MATCH($A429, Papers!$A$2:$A$998,0)),"")</f>
        <v>2015</v>
      </c>
      <c r="F429" s="274" t="s">
        <v>243</v>
      </c>
      <c r="G429" s="275" t="s">
        <v>9</v>
      </c>
      <c r="H429" s="277" t="s">
        <v>293</v>
      </c>
      <c r="I429" s="277" t="s">
        <v>511</v>
      </c>
      <c r="J429" s="300" t="s">
        <v>519</v>
      </c>
      <c r="K429" s="307"/>
      <c r="L429" s="288">
        <v>0.75</v>
      </c>
      <c r="M429" s="288">
        <v>0.76</v>
      </c>
      <c r="N429" s="281" t="str">
        <f t="shared" si="44"/>
        <v/>
      </c>
      <c r="O429" s="281">
        <f t="shared" si="21"/>
        <v>-0.01</v>
      </c>
    </row>
    <row r="430">
      <c r="A430" s="263">
        <v>27.0</v>
      </c>
      <c r="B430" s="264" t="str">
        <f t="array" ref="B430">IFerror(INDEX(Papers!C$2:C$998,MATCH($A430, Papers!$A$2:$A$998,0)),"")</f>
        <v>Practical Considerations with Using Mobile Phone Survey Incentives: Experiences in Ghana and Tanzania</v>
      </c>
      <c r="C430" s="264" t="str">
        <f t="array" ref="C430">IFerror(INDEX(Papers!D$2:D$998,MATCH($A430, Papers!$A$2:$A$998,0)),"")</f>
        <v>Brian Leo and Robert Morello</v>
      </c>
      <c r="D430" s="265">
        <f t="array" ref="D430">IFerror(INDEX(Papers!F$2:F$998,MATCH($A430, Papers!$A$2:$A$998,0)),"")</f>
        <v>2016</v>
      </c>
      <c r="E430" s="265">
        <f t="array" ref="E430">IFerror(INDEX(Papers!G$2:G$998,MATCH($A430, Papers!$A$2:$A$998,0)),"")</f>
        <v>2015</v>
      </c>
      <c r="F430" s="265" t="s">
        <v>257</v>
      </c>
      <c r="G430" s="266" t="s">
        <v>9</v>
      </c>
      <c r="H430" s="282" t="s">
        <v>293</v>
      </c>
      <c r="I430" s="282" t="s">
        <v>513</v>
      </c>
      <c r="J430" s="301" t="s">
        <v>519</v>
      </c>
      <c r="K430" s="289"/>
      <c r="L430" s="285">
        <v>0.69</v>
      </c>
      <c r="M430" s="285">
        <v>0.7</v>
      </c>
      <c r="N430" s="271" t="str">
        <f t="shared" si="44"/>
        <v/>
      </c>
      <c r="O430" s="271">
        <f t="shared" si="21"/>
        <v>-0.01</v>
      </c>
    </row>
    <row r="431">
      <c r="A431" s="272">
        <v>27.0</v>
      </c>
      <c r="B431" s="273" t="str">
        <f t="array" ref="B431">IFerror(INDEX(Papers!C$2:C$998,MATCH($A431, Papers!$A$2:$A$998,0)),"")</f>
        <v>Practical Considerations with Using Mobile Phone Survey Incentives: Experiences in Ghana and Tanzania</v>
      </c>
      <c r="C431" s="273" t="str">
        <f t="array" ref="C431">IFerror(INDEX(Papers!D$2:D$998,MATCH($A431, Papers!$A$2:$A$998,0)),"")</f>
        <v>Brian Leo and Robert Morello</v>
      </c>
      <c r="D431" s="274">
        <f t="array" ref="D431">IFerror(INDEX(Papers!F$2:F$998,MATCH($A431, Papers!$A$2:$A$998,0)),"")</f>
        <v>2016</v>
      </c>
      <c r="E431" s="274">
        <f t="array" ref="E431">IFerror(INDEX(Papers!G$2:G$998,MATCH($A431, Papers!$A$2:$A$998,0)),"")</f>
        <v>2015</v>
      </c>
      <c r="F431" s="274" t="s">
        <v>257</v>
      </c>
      <c r="G431" s="275" t="s">
        <v>9</v>
      </c>
      <c r="H431" s="277" t="s">
        <v>293</v>
      </c>
      <c r="I431" s="277" t="s">
        <v>514</v>
      </c>
      <c r="J431" s="300" t="s">
        <v>519</v>
      </c>
      <c r="K431" s="307"/>
      <c r="L431" s="288">
        <v>0.69</v>
      </c>
      <c r="M431" s="288">
        <v>0.64</v>
      </c>
      <c r="N431" s="281" t="str">
        <f t="shared" si="44"/>
        <v/>
      </c>
      <c r="O431" s="281">
        <f t="shared" si="21"/>
        <v>0.05</v>
      </c>
    </row>
    <row r="432">
      <c r="A432" s="263">
        <v>27.0</v>
      </c>
      <c r="B432" s="264" t="str">
        <f t="array" ref="B432">IFerror(INDEX(Papers!C$2:C$998,MATCH($A432, Papers!$A$2:$A$998,0)),"")</f>
        <v>Practical Considerations with Using Mobile Phone Survey Incentives: Experiences in Ghana and Tanzania</v>
      </c>
      <c r="C432" s="264" t="str">
        <f t="array" ref="C432">IFerror(INDEX(Papers!D$2:D$998,MATCH($A432, Papers!$A$2:$A$998,0)),"")</f>
        <v>Brian Leo and Robert Morello</v>
      </c>
      <c r="D432" s="265">
        <f t="array" ref="D432">IFerror(INDEX(Papers!F$2:F$998,MATCH($A432, Papers!$A$2:$A$998,0)),"")</f>
        <v>2016</v>
      </c>
      <c r="E432" s="265">
        <f t="array" ref="E432">IFerror(INDEX(Papers!G$2:G$998,MATCH($A432, Papers!$A$2:$A$998,0)),"")</f>
        <v>2015</v>
      </c>
      <c r="F432" s="265" t="s">
        <v>243</v>
      </c>
      <c r="G432" s="266" t="s">
        <v>9</v>
      </c>
      <c r="H432" s="282" t="s">
        <v>293</v>
      </c>
      <c r="I432" s="282" t="s">
        <v>515</v>
      </c>
      <c r="J432" s="301" t="s">
        <v>520</v>
      </c>
      <c r="K432" s="289"/>
      <c r="L432" s="285">
        <v>0.76</v>
      </c>
      <c r="M432" s="285">
        <v>0.82</v>
      </c>
      <c r="N432" s="271" t="str">
        <f t="shared" si="44"/>
        <v/>
      </c>
      <c r="O432" s="271">
        <f t="shared" si="21"/>
        <v>-0.06</v>
      </c>
    </row>
    <row r="433">
      <c r="A433" s="272">
        <v>27.0</v>
      </c>
      <c r="B433" s="273" t="str">
        <f t="array" ref="B433">IFerror(INDEX(Papers!C$2:C$998,MATCH($A433, Papers!$A$2:$A$998,0)),"")</f>
        <v>Practical Considerations with Using Mobile Phone Survey Incentives: Experiences in Ghana and Tanzania</v>
      </c>
      <c r="C433" s="273" t="str">
        <f t="array" ref="C433">IFerror(INDEX(Papers!D$2:D$998,MATCH($A433, Papers!$A$2:$A$998,0)),"")</f>
        <v>Brian Leo and Robert Morello</v>
      </c>
      <c r="D433" s="274">
        <f t="array" ref="D433">IFerror(INDEX(Papers!F$2:F$998,MATCH($A433, Papers!$A$2:$A$998,0)),"")</f>
        <v>2016</v>
      </c>
      <c r="E433" s="274">
        <f t="array" ref="E433">IFerror(INDEX(Papers!G$2:G$998,MATCH($A433, Papers!$A$2:$A$998,0)),"")</f>
        <v>2015</v>
      </c>
      <c r="F433" s="274" t="s">
        <v>243</v>
      </c>
      <c r="G433" s="275" t="s">
        <v>9</v>
      </c>
      <c r="H433" s="277" t="s">
        <v>293</v>
      </c>
      <c r="I433" s="276" t="s">
        <v>510</v>
      </c>
      <c r="J433" s="300" t="s">
        <v>520</v>
      </c>
      <c r="K433" s="307"/>
      <c r="L433" s="288">
        <v>0.76</v>
      </c>
      <c r="M433" s="288">
        <v>0.78</v>
      </c>
      <c r="N433" s="281" t="str">
        <f t="shared" si="44"/>
        <v/>
      </c>
      <c r="O433" s="281">
        <f t="shared" si="21"/>
        <v>-0.02</v>
      </c>
    </row>
    <row r="434">
      <c r="A434" s="263">
        <v>27.0</v>
      </c>
      <c r="B434" s="264" t="str">
        <f t="array" ref="B434">IFerror(INDEX(Papers!C$2:C$998,MATCH($A434, Papers!$A$2:$A$998,0)),"")</f>
        <v>Practical Considerations with Using Mobile Phone Survey Incentives: Experiences in Ghana and Tanzania</v>
      </c>
      <c r="C434" s="264" t="str">
        <f t="array" ref="C434">IFerror(INDEX(Papers!D$2:D$998,MATCH($A434, Papers!$A$2:$A$998,0)),"")</f>
        <v>Brian Leo and Robert Morello</v>
      </c>
      <c r="D434" s="265">
        <f t="array" ref="D434">IFerror(INDEX(Papers!F$2:F$998,MATCH($A434, Papers!$A$2:$A$998,0)),"")</f>
        <v>2016</v>
      </c>
      <c r="E434" s="265">
        <f t="array" ref="E434">IFerror(INDEX(Papers!G$2:G$998,MATCH($A434, Papers!$A$2:$A$998,0)),"")</f>
        <v>2015</v>
      </c>
      <c r="F434" s="265" t="s">
        <v>243</v>
      </c>
      <c r="G434" s="266" t="s">
        <v>9</v>
      </c>
      <c r="H434" s="282" t="s">
        <v>293</v>
      </c>
      <c r="I434" s="282" t="s">
        <v>511</v>
      </c>
      <c r="J434" s="301" t="s">
        <v>520</v>
      </c>
      <c r="K434" s="289"/>
      <c r="L434" s="285">
        <v>0.76</v>
      </c>
      <c r="M434" s="285">
        <v>0.77</v>
      </c>
      <c r="N434" s="271" t="str">
        <f t="shared" si="44"/>
        <v/>
      </c>
      <c r="O434" s="271">
        <f t="shared" si="21"/>
        <v>-0.01</v>
      </c>
    </row>
    <row r="435">
      <c r="A435" s="272">
        <v>27.0</v>
      </c>
      <c r="B435" s="273" t="str">
        <f t="array" ref="B435">IFerror(INDEX(Papers!C$2:C$998,MATCH($A435, Papers!$A$2:$A$998,0)),"")</f>
        <v>Practical Considerations with Using Mobile Phone Survey Incentives: Experiences in Ghana and Tanzania</v>
      </c>
      <c r="C435" s="273" t="str">
        <f t="array" ref="C435">IFerror(INDEX(Papers!D$2:D$998,MATCH($A435, Papers!$A$2:$A$998,0)),"")</f>
        <v>Brian Leo and Robert Morello</v>
      </c>
      <c r="D435" s="274">
        <f t="array" ref="D435">IFerror(INDEX(Papers!F$2:F$998,MATCH($A435, Papers!$A$2:$A$998,0)),"")</f>
        <v>2016</v>
      </c>
      <c r="E435" s="274">
        <f t="array" ref="E435">IFerror(INDEX(Papers!G$2:G$998,MATCH($A435, Papers!$A$2:$A$998,0)),"")</f>
        <v>2015</v>
      </c>
      <c r="F435" s="274" t="s">
        <v>243</v>
      </c>
      <c r="G435" s="275" t="s">
        <v>9</v>
      </c>
      <c r="H435" s="277" t="s">
        <v>293</v>
      </c>
      <c r="I435" s="277" t="s">
        <v>512</v>
      </c>
      <c r="J435" s="300" t="s">
        <v>520</v>
      </c>
      <c r="K435" s="307"/>
      <c r="L435" s="288">
        <v>0.76</v>
      </c>
      <c r="M435" s="288">
        <v>0.77</v>
      </c>
      <c r="N435" s="281" t="str">
        <f t="shared" si="44"/>
        <v/>
      </c>
      <c r="O435" s="281">
        <f t="shared" si="21"/>
        <v>-0.01</v>
      </c>
    </row>
    <row r="436">
      <c r="A436" s="263">
        <v>44.0</v>
      </c>
      <c r="B436" s="264" t="str">
        <f t="array" ref="B436">IFerror(INDEX(Papers!C$2:C$998,MATCH($A436, Papers!$A$2:$A$998,0)),"")</f>
        <v>NCD Mobile Phone Survey in the Philippines</v>
      </c>
      <c r="C436" s="264" t="str">
        <f t="array" ref="C436">IFerror(INDEX(Papers!D$2:D$998,MATCH($A436, Papers!$A$2:$A$998,0)),"")</f>
        <v>Bloomberg Philanthropies Data for Health Initiative: NCD Mobile Phone Survey</v>
      </c>
      <c r="D436" s="265">
        <f t="array" ref="D436">IFerror(INDEX(Papers!F$2:F$998,MATCH($A436, Papers!$A$2:$A$998,0)),"")</f>
        <v>2020</v>
      </c>
      <c r="E436" s="265">
        <f t="array" ref="E436">IFerror(INDEX(Papers!G$2:G$998,MATCH($A436, Papers!$A$2:$A$998,0)),"")</f>
        <v>2018</v>
      </c>
      <c r="F436" s="265" t="s">
        <v>254</v>
      </c>
      <c r="G436" s="266" t="s">
        <v>10</v>
      </c>
      <c r="H436" s="282" t="s">
        <v>521</v>
      </c>
      <c r="I436" s="282" t="s">
        <v>10</v>
      </c>
      <c r="J436" s="268" t="s">
        <v>428</v>
      </c>
      <c r="K436" s="285">
        <v>0.349</v>
      </c>
      <c r="L436" s="285"/>
      <c r="M436" s="285">
        <v>0.434</v>
      </c>
      <c r="N436" s="271">
        <f t="shared" si="44"/>
        <v>-0.085</v>
      </c>
      <c r="O436" s="271" t="str">
        <f t="shared" si="21"/>
        <v/>
      </c>
    </row>
    <row r="437">
      <c r="A437" s="272">
        <v>44.0</v>
      </c>
      <c r="B437" s="273" t="str">
        <f t="array" ref="B437">IFerror(INDEX(Papers!C$2:C$998,MATCH($A437, Papers!$A$2:$A$998,0)),"")</f>
        <v>NCD Mobile Phone Survey in the Philippines</v>
      </c>
      <c r="C437" s="273" t="str">
        <f t="array" ref="C437">IFerror(INDEX(Papers!D$2:D$998,MATCH($A437, Papers!$A$2:$A$998,0)),"")</f>
        <v>Bloomberg Philanthropies Data for Health Initiative: NCD Mobile Phone Survey</v>
      </c>
      <c r="D437" s="274">
        <f t="array" ref="D437">IFerror(INDEX(Papers!F$2:F$998,MATCH($A437, Papers!$A$2:$A$998,0)),"")</f>
        <v>2020</v>
      </c>
      <c r="E437" s="274">
        <f t="array" ref="E437">IFerror(INDEX(Papers!G$2:G$998,MATCH($A437, Papers!$A$2:$A$998,0)),"")</f>
        <v>2018</v>
      </c>
      <c r="F437" s="274" t="s">
        <v>254</v>
      </c>
      <c r="G437" s="275" t="s">
        <v>10</v>
      </c>
      <c r="H437" s="277" t="s">
        <v>521</v>
      </c>
      <c r="I437" s="277" t="s">
        <v>10</v>
      </c>
      <c r="J437" s="278" t="s">
        <v>522</v>
      </c>
      <c r="K437" s="288">
        <v>0.316</v>
      </c>
      <c r="L437" s="281"/>
      <c r="M437" s="281">
        <v>0.359</v>
      </c>
      <c r="N437" s="281">
        <f t="shared" si="44"/>
        <v>-0.043</v>
      </c>
      <c r="O437" s="281" t="str">
        <f t="shared" si="21"/>
        <v/>
      </c>
    </row>
    <row r="438">
      <c r="A438" s="263">
        <v>44.0</v>
      </c>
      <c r="B438" s="264" t="str">
        <f t="array" ref="B438">IFerror(INDEX(Papers!C$2:C$998,MATCH($A438, Papers!$A$2:$A$998,0)),"")</f>
        <v>NCD Mobile Phone Survey in the Philippines</v>
      </c>
      <c r="C438" s="264" t="str">
        <f t="array" ref="C438">IFerror(INDEX(Papers!D$2:D$998,MATCH($A438, Papers!$A$2:$A$998,0)),"")</f>
        <v>Bloomberg Philanthropies Data for Health Initiative: NCD Mobile Phone Survey</v>
      </c>
      <c r="D438" s="265">
        <f t="array" ref="D438">IFerror(INDEX(Papers!F$2:F$998,MATCH($A438, Papers!$A$2:$A$998,0)),"")</f>
        <v>2020</v>
      </c>
      <c r="E438" s="265">
        <f t="array" ref="E438">IFerror(INDEX(Papers!G$2:G$998,MATCH($A438, Papers!$A$2:$A$998,0)),"")</f>
        <v>2018</v>
      </c>
      <c r="F438" s="265" t="s">
        <v>254</v>
      </c>
      <c r="G438" s="266" t="s">
        <v>10</v>
      </c>
      <c r="H438" s="282" t="s">
        <v>521</v>
      </c>
      <c r="I438" s="282" t="s">
        <v>10</v>
      </c>
      <c r="J438" s="268" t="s">
        <v>523</v>
      </c>
      <c r="K438" s="285">
        <v>0.336</v>
      </c>
      <c r="L438" s="285"/>
      <c r="M438" s="285">
        <v>0.207</v>
      </c>
      <c r="N438" s="271">
        <f t="shared" si="44"/>
        <v>0.129</v>
      </c>
      <c r="O438" s="271" t="str">
        <f t="shared" si="21"/>
        <v/>
      </c>
    </row>
    <row r="439">
      <c r="A439" s="272">
        <v>44.0</v>
      </c>
      <c r="B439" s="273" t="str">
        <f t="array" ref="B439">IFerror(INDEX(Papers!C$2:C$998,MATCH($A439, Papers!$A$2:$A$998,0)),"")</f>
        <v>NCD Mobile Phone Survey in the Philippines</v>
      </c>
      <c r="C439" s="273" t="str">
        <f t="array" ref="C439">IFerror(INDEX(Papers!D$2:D$998,MATCH($A439, Papers!$A$2:$A$998,0)),"")</f>
        <v>Bloomberg Philanthropies Data for Health Initiative: NCD Mobile Phone Survey</v>
      </c>
      <c r="D439" s="274">
        <f t="array" ref="D439">IFerror(INDEX(Papers!F$2:F$998,MATCH($A439, Papers!$A$2:$A$998,0)),"")</f>
        <v>2020</v>
      </c>
      <c r="E439" s="274">
        <f t="array" ref="E439">IFerror(INDEX(Papers!G$2:G$998,MATCH($A439, Papers!$A$2:$A$998,0)),"")</f>
        <v>2018</v>
      </c>
      <c r="F439" s="274" t="s">
        <v>254</v>
      </c>
      <c r="G439" s="275" t="s">
        <v>10</v>
      </c>
      <c r="H439" s="277" t="s">
        <v>521</v>
      </c>
      <c r="I439" s="277" t="s">
        <v>10</v>
      </c>
      <c r="J439" s="278" t="s">
        <v>424</v>
      </c>
      <c r="K439" s="288">
        <v>0.501</v>
      </c>
      <c r="L439" s="281"/>
      <c r="M439" s="281">
        <v>0.517</v>
      </c>
      <c r="N439" s="281">
        <f t="shared" si="44"/>
        <v>-0.016</v>
      </c>
      <c r="O439" s="281" t="str">
        <f t="shared" si="21"/>
        <v/>
      </c>
    </row>
    <row r="440">
      <c r="A440" s="263">
        <v>44.0</v>
      </c>
      <c r="B440" s="264" t="str">
        <f t="array" ref="B440">IFerror(INDEX(Papers!C$2:C$998,MATCH($A440, Papers!$A$2:$A$998,0)),"")</f>
        <v>NCD Mobile Phone Survey in the Philippines</v>
      </c>
      <c r="C440" s="264" t="str">
        <f t="array" ref="C440">IFerror(INDEX(Papers!D$2:D$998,MATCH($A440, Papers!$A$2:$A$998,0)),"")</f>
        <v>Bloomberg Philanthropies Data for Health Initiative: NCD Mobile Phone Survey</v>
      </c>
      <c r="D440" s="265">
        <f t="array" ref="D440">IFerror(INDEX(Papers!F$2:F$998,MATCH($A440, Papers!$A$2:$A$998,0)),"")</f>
        <v>2020</v>
      </c>
      <c r="E440" s="265">
        <f t="array" ref="E440">IFerror(INDEX(Papers!G$2:G$998,MATCH($A440, Papers!$A$2:$A$998,0)),"")</f>
        <v>2018</v>
      </c>
      <c r="F440" s="265" t="s">
        <v>254</v>
      </c>
      <c r="G440" s="266" t="s">
        <v>10</v>
      </c>
      <c r="H440" s="282" t="s">
        <v>521</v>
      </c>
      <c r="I440" s="282" t="s">
        <v>10</v>
      </c>
      <c r="J440" s="301" t="s">
        <v>436</v>
      </c>
      <c r="K440" s="304">
        <v>0.5</v>
      </c>
      <c r="L440" s="271"/>
      <c r="M440" s="305">
        <v>0.48</v>
      </c>
      <c r="N440" s="271">
        <f t="shared" si="44"/>
        <v>0.02</v>
      </c>
      <c r="O440" s="271"/>
    </row>
    <row r="441">
      <c r="A441" s="272">
        <v>48.0</v>
      </c>
      <c r="B441" s="273" t="str">
        <f t="array" ref="B441">IFerror(INDEX(Papers!C$2:C$998,MATCH($A441, Papers!$A$2:$A$998,0)),"")</f>
        <v>Pre-Survey Text Messages (SMS) Improve Participation Rate in an Australian Mobile Telephone Survey: An Experimental Study.</v>
      </c>
      <c r="C441" s="273" t="str">
        <f t="array" ref="C441">IFerror(INDEX(Papers!D$2:D$998,MATCH($A441, Papers!$A$2:$A$998,0)),"")</f>
        <v>Eleanora Dal Grande, Catherine Chittleborough, Stefano Campostrini, Maureen Dollard, and Anne Taylor</v>
      </c>
      <c r="D441" s="274">
        <f t="array" ref="D441">IFerror(INDEX(Papers!F$2:F$998,MATCH($A441, Papers!$A$2:$A$998,0)),"")</f>
        <v>2016</v>
      </c>
      <c r="E441" s="274">
        <f t="array" ref="E441">IFerror(INDEX(Papers!G$2:G$998,MATCH($A441, Papers!$A$2:$A$998,0)),"")</f>
        <v>2014</v>
      </c>
      <c r="F441" s="274" t="s">
        <v>261</v>
      </c>
      <c r="G441" s="275" t="s">
        <v>9</v>
      </c>
      <c r="H441" s="277" t="s">
        <v>293</v>
      </c>
      <c r="I441" s="277" t="s">
        <v>387</v>
      </c>
      <c r="J441" s="300" t="s">
        <v>476</v>
      </c>
      <c r="K441" s="288">
        <v>0.15</v>
      </c>
      <c r="L441" s="288">
        <v>0.159</v>
      </c>
      <c r="M441" s="288">
        <v>0.129</v>
      </c>
      <c r="N441" s="281">
        <f t="shared" si="44"/>
        <v>0.021</v>
      </c>
      <c r="O441" s="281">
        <f t="shared" ref="O441:O456" si="46">if(AND(L441&lt;&gt;0,M441&lt;&gt;0),L441-M441,"")</f>
        <v>0.03</v>
      </c>
    </row>
    <row r="442">
      <c r="A442" s="263">
        <v>48.0</v>
      </c>
      <c r="B442" s="264" t="str">
        <f t="array" ref="B442">IFerror(INDEX(Papers!C$2:C$998,MATCH($A442, Papers!$A$2:$A$998,0)),"")</f>
        <v>Pre-Survey Text Messages (SMS) Improve Participation Rate in an Australian Mobile Telephone Survey: An Experimental Study.</v>
      </c>
      <c r="C442" s="264" t="str">
        <f t="array" ref="C442">IFerror(INDEX(Papers!D$2:D$998,MATCH($A442, Papers!$A$2:$A$998,0)),"")</f>
        <v>Eleanora Dal Grande, Catherine Chittleborough, Stefano Campostrini, Maureen Dollard, and Anne Taylor</v>
      </c>
      <c r="D442" s="265">
        <f t="array" ref="D442">IFerror(INDEX(Papers!F$2:F$998,MATCH($A442, Papers!$A$2:$A$998,0)),"")</f>
        <v>2016</v>
      </c>
      <c r="E442" s="265">
        <f t="array" ref="E442">IFerror(INDEX(Papers!G$2:G$998,MATCH($A442, Papers!$A$2:$A$998,0)),"")</f>
        <v>2014</v>
      </c>
      <c r="F442" s="265" t="s">
        <v>261</v>
      </c>
      <c r="G442" s="266" t="s">
        <v>9</v>
      </c>
      <c r="H442" s="282" t="s">
        <v>293</v>
      </c>
      <c r="I442" s="282" t="s">
        <v>387</v>
      </c>
      <c r="J442" s="301" t="s">
        <v>440</v>
      </c>
      <c r="K442" s="285">
        <v>0.24</v>
      </c>
      <c r="L442" s="285">
        <v>0.204</v>
      </c>
      <c r="M442" s="285">
        <v>0.256</v>
      </c>
      <c r="N442" s="271">
        <f t="shared" si="44"/>
        <v>-0.016</v>
      </c>
      <c r="O442" s="271">
        <f t="shared" si="46"/>
        <v>-0.052</v>
      </c>
    </row>
    <row r="443">
      <c r="A443" s="272">
        <v>48.0</v>
      </c>
      <c r="B443" s="273" t="str">
        <f t="array" ref="B443">IFerror(INDEX(Papers!C$2:C$998,MATCH($A443, Papers!$A$2:$A$998,0)),"")</f>
        <v>Pre-Survey Text Messages (SMS) Improve Participation Rate in an Australian Mobile Telephone Survey: An Experimental Study.</v>
      </c>
      <c r="C443" s="273" t="str">
        <f t="array" ref="C443">IFerror(INDEX(Papers!D$2:D$998,MATCH($A443, Papers!$A$2:$A$998,0)),"")</f>
        <v>Eleanora Dal Grande, Catherine Chittleborough, Stefano Campostrini, Maureen Dollard, and Anne Taylor</v>
      </c>
      <c r="D443" s="274">
        <f t="array" ref="D443">IFerror(INDEX(Papers!F$2:F$998,MATCH($A443, Papers!$A$2:$A$998,0)),"")</f>
        <v>2016</v>
      </c>
      <c r="E443" s="274">
        <f t="array" ref="E443">IFerror(INDEX(Papers!G$2:G$998,MATCH($A443, Papers!$A$2:$A$998,0)),"")</f>
        <v>2014</v>
      </c>
      <c r="F443" s="274" t="s">
        <v>261</v>
      </c>
      <c r="G443" s="275" t="s">
        <v>9</v>
      </c>
      <c r="H443" s="277" t="s">
        <v>293</v>
      </c>
      <c r="I443" s="277" t="s">
        <v>387</v>
      </c>
      <c r="J443" s="300" t="s">
        <v>478</v>
      </c>
      <c r="K443" s="288">
        <v>0.23</v>
      </c>
      <c r="L443" s="288">
        <v>0.234</v>
      </c>
      <c r="M443" s="288">
        <v>0.18</v>
      </c>
      <c r="N443" s="281">
        <f t="shared" si="44"/>
        <v>0.05</v>
      </c>
      <c r="O443" s="281">
        <f t="shared" si="46"/>
        <v>0.054</v>
      </c>
    </row>
    <row r="444">
      <c r="A444" s="263">
        <v>48.0</v>
      </c>
      <c r="B444" s="264" t="str">
        <f t="array" ref="B444">IFerror(INDEX(Papers!C$2:C$998,MATCH($A444, Papers!$A$2:$A$998,0)),"")</f>
        <v>Pre-Survey Text Messages (SMS) Improve Participation Rate in an Australian Mobile Telephone Survey: An Experimental Study.</v>
      </c>
      <c r="C444" s="264" t="str">
        <f t="array" ref="C444">IFerror(INDEX(Papers!D$2:D$998,MATCH($A444, Papers!$A$2:$A$998,0)),"")</f>
        <v>Eleanora Dal Grande, Catherine Chittleborough, Stefano Campostrini, Maureen Dollard, and Anne Taylor</v>
      </c>
      <c r="D444" s="265">
        <f t="array" ref="D444">IFerror(INDEX(Papers!F$2:F$998,MATCH($A444, Papers!$A$2:$A$998,0)),"")</f>
        <v>2016</v>
      </c>
      <c r="E444" s="265">
        <f t="array" ref="E444">IFerror(INDEX(Papers!G$2:G$998,MATCH($A444, Papers!$A$2:$A$998,0)),"")</f>
        <v>2014</v>
      </c>
      <c r="F444" s="265" t="s">
        <v>261</v>
      </c>
      <c r="G444" s="266" t="s">
        <v>9</v>
      </c>
      <c r="H444" s="282" t="s">
        <v>293</v>
      </c>
      <c r="I444" s="282" t="s">
        <v>387</v>
      </c>
      <c r="J444" s="301" t="s">
        <v>524</v>
      </c>
      <c r="K444" s="285">
        <v>0.22</v>
      </c>
      <c r="L444" s="285">
        <v>0.264</v>
      </c>
      <c r="M444" s="285">
        <v>0.249</v>
      </c>
      <c r="N444" s="271">
        <f t="shared" si="44"/>
        <v>-0.029</v>
      </c>
      <c r="O444" s="271">
        <f t="shared" si="46"/>
        <v>0.015</v>
      </c>
    </row>
    <row r="445">
      <c r="A445" s="272">
        <v>48.0</v>
      </c>
      <c r="B445" s="273" t="str">
        <f t="array" ref="B445">IFerror(INDEX(Papers!C$2:C$998,MATCH($A445, Papers!$A$2:$A$998,0)),"")</f>
        <v>Pre-Survey Text Messages (SMS) Improve Participation Rate in an Australian Mobile Telephone Survey: An Experimental Study.</v>
      </c>
      <c r="C445" s="273" t="str">
        <f t="array" ref="C445">IFerror(INDEX(Papers!D$2:D$998,MATCH($A445, Papers!$A$2:$A$998,0)),"")</f>
        <v>Eleanora Dal Grande, Catherine Chittleborough, Stefano Campostrini, Maureen Dollard, and Anne Taylor</v>
      </c>
      <c r="D445" s="274">
        <f t="array" ref="D445">IFerror(INDEX(Papers!F$2:F$998,MATCH($A445, Papers!$A$2:$A$998,0)),"")</f>
        <v>2016</v>
      </c>
      <c r="E445" s="274">
        <f t="array" ref="E445">IFerror(INDEX(Papers!G$2:G$998,MATCH($A445, Papers!$A$2:$A$998,0)),"")</f>
        <v>2014</v>
      </c>
      <c r="F445" s="274" t="s">
        <v>261</v>
      </c>
      <c r="G445" s="275" t="s">
        <v>9</v>
      </c>
      <c r="H445" s="277" t="s">
        <v>293</v>
      </c>
      <c r="I445" s="277" t="s">
        <v>387</v>
      </c>
      <c r="J445" s="300" t="s">
        <v>525</v>
      </c>
      <c r="K445" s="288">
        <v>0.13</v>
      </c>
      <c r="L445" s="288">
        <v>0.095</v>
      </c>
      <c r="M445" s="288">
        <v>0.148</v>
      </c>
      <c r="N445" s="281">
        <f t="shared" si="44"/>
        <v>-0.018</v>
      </c>
      <c r="O445" s="281">
        <f t="shared" si="46"/>
        <v>-0.053</v>
      </c>
    </row>
    <row r="446">
      <c r="A446" s="263">
        <v>48.0</v>
      </c>
      <c r="B446" s="264" t="str">
        <f t="array" ref="B446">IFerror(INDEX(Papers!C$2:C$998,MATCH($A446, Papers!$A$2:$A$998,0)),"")</f>
        <v>Pre-Survey Text Messages (SMS) Improve Participation Rate in an Australian Mobile Telephone Survey: An Experimental Study.</v>
      </c>
      <c r="C446" s="264" t="str">
        <f t="array" ref="C446">IFerror(INDEX(Papers!D$2:D$998,MATCH($A446, Papers!$A$2:$A$998,0)),"")</f>
        <v>Eleanora Dal Grande, Catherine Chittleborough, Stefano Campostrini, Maureen Dollard, and Anne Taylor</v>
      </c>
      <c r="D446" s="265">
        <f t="array" ref="D446">IFerror(INDEX(Papers!F$2:F$998,MATCH($A446, Papers!$A$2:$A$998,0)),"")</f>
        <v>2016</v>
      </c>
      <c r="E446" s="265">
        <f t="array" ref="E446">IFerror(INDEX(Papers!G$2:G$998,MATCH($A446, Papers!$A$2:$A$998,0)),"")</f>
        <v>2014</v>
      </c>
      <c r="F446" s="265" t="s">
        <v>261</v>
      </c>
      <c r="G446" s="266" t="s">
        <v>9</v>
      </c>
      <c r="H446" s="282" t="s">
        <v>293</v>
      </c>
      <c r="I446" s="282" t="s">
        <v>387</v>
      </c>
      <c r="J446" s="301" t="s">
        <v>526</v>
      </c>
      <c r="K446" s="285">
        <v>0.021</v>
      </c>
      <c r="L446" s="285">
        <v>0.045</v>
      </c>
      <c r="M446" s="285">
        <v>0.038</v>
      </c>
      <c r="N446" s="271">
        <f t="shared" si="44"/>
        <v>-0.017</v>
      </c>
      <c r="O446" s="271">
        <f t="shared" si="46"/>
        <v>0.007</v>
      </c>
    </row>
    <row r="447">
      <c r="A447" s="272">
        <v>48.0</v>
      </c>
      <c r="B447" s="273" t="str">
        <f t="array" ref="B447">IFerror(INDEX(Papers!C$2:C$998,MATCH($A447, Papers!$A$2:$A$998,0)),"")</f>
        <v>Pre-Survey Text Messages (SMS) Improve Participation Rate in an Australian Mobile Telephone Survey: An Experimental Study.</v>
      </c>
      <c r="C447" s="273" t="str">
        <f t="array" ref="C447">IFerror(INDEX(Papers!D$2:D$998,MATCH($A447, Papers!$A$2:$A$998,0)),"")</f>
        <v>Eleanora Dal Grande, Catherine Chittleborough, Stefano Campostrini, Maureen Dollard, and Anne Taylor</v>
      </c>
      <c r="D447" s="274">
        <f t="array" ref="D447">IFerror(INDEX(Papers!F$2:F$998,MATCH($A447, Papers!$A$2:$A$998,0)),"")</f>
        <v>2016</v>
      </c>
      <c r="E447" s="274">
        <f t="array" ref="E447">IFerror(INDEX(Papers!G$2:G$998,MATCH($A447, Papers!$A$2:$A$998,0)),"")</f>
        <v>2014</v>
      </c>
      <c r="F447" s="274" t="s">
        <v>261</v>
      </c>
      <c r="G447" s="275" t="s">
        <v>9</v>
      </c>
      <c r="H447" s="277" t="s">
        <v>293</v>
      </c>
      <c r="I447" s="277" t="s">
        <v>387</v>
      </c>
      <c r="J447" s="300" t="s">
        <v>527</v>
      </c>
      <c r="K447" s="288">
        <v>0.24</v>
      </c>
      <c r="L447" s="288">
        <v>0.409</v>
      </c>
      <c r="M447" s="288">
        <v>0.363</v>
      </c>
      <c r="N447" s="281">
        <f t="shared" si="44"/>
        <v>-0.123</v>
      </c>
      <c r="O447" s="281">
        <f t="shared" si="46"/>
        <v>0.046</v>
      </c>
    </row>
    <row r="448">
      <c r="A448" s="263">
        <v>48.0</v>
      </c>
      <c r="B448" s="264" t="str">
        <f t="array" ref="B448">IFerror(INDEX(Papers!C$2:C$998,MATCH($A448, Papers!$A$2:$A$998,0)),"")</f>
        <v>Pre-Survey Text Messages (SMS) Improve Participation Rate in an Australian Mobile Telephone Survey: An Experimental Study.</v>
      </c>
      <c r="C448" s="264" t="str">
        <f t="array" ref="C448">IFerror(INDEX(Papers!D$2:D$998,MATCH($A448, Papers!$A$2:$A$998,0)),"")</f>
        <v>Eleanora Dal Grande, Catherine Chittleborough, Stefano Campostrini, Maureen Dollard, and Anne Taylor</v>
      </c>
      <c r="D448" s="265">
        <f t="array" ref="D448">IFerror(INDEX(Papers!F$2:F$998,MATCH($A448, Papers!$A$2:$A$998,0)),"")</f>
        <v>2016</v>
      </c>
      <c r="E448" s="265">
        <f t="array" ref="E448">IFerror(INDEX(Papers!G$2:G$998,MATCH($A448, Papers!$A$2:$A$998,0)),"")</f>
        <v>2014</v>
      </c>
      <c r="F448" s="265" t="s">
        <v>261</v>
      </c>
      <c r="G448" s="266" t="s">
        <v>9</v>
      </c>
      <c r="H448" s="282" t="s">
        <v>293</v>
      </c>
      <c r="I448" s="282" t="s">
        <v>387</v>
      </c>
      <c r="J448" s="301" t="s">
        <v>528</v>
      </c>
      <c r="K448" s="285">
        <v>0.76</v>
      </c>
      <c r="L448" s="285">
        <v>0.591</v>
      </c>
      <c r="M448" s="285">
        <v>0.637</v>
      </c>
      <c r="N448" s="271">
        <f t="shared" si="44"/>
        <v>0.123</v>
      </c>
      <c r="O448" s="271">
        <f t="shared" si="46"/>
        <v>-0.046</v>
      </c>
    </row>
    <row r="449">
      <c r="A449" s="272">
        <v>48.0</v>
      </c>
      <c r="B449" s="273" t="str">
        <f t="array" ref="B449">IFerror(INDEX(Papers!C$2:C$998,MATCH($A449, Papers!$A$2:$A$998,0)),"")</f>
        <v>Pre-Survey Text Messages (SMS) Improve Participation Rate in an Australian Mobile Telephone Survey: An Experimental Study.</v>
      </c>
      <c r="C449" s="273" t="str">
        <f t="array" ref="C449">IFerror(INDEX(Papers!D$2:D$998,MATCH($A449, Papers!$A$2:$A$998,0)),"")</f>
        <v>Eleanora Dal Grande, Catherine Chittleborough, Stefano Campostrini, Maureen Dollard, and Anne Taylor</v>
      </c>
      <c r="D449" s="274">
        <f t="array" ref="D449">IFerror(INDEX(Papers!F$2:F$998,MATCH($A449, Papers!$A$2:$A$998,0)),"")</f>
        <v>2016</v>
      </c>
      <c r="E449" s="274">
        <f t="array" ref="E449">IFerror(INDEX(Papers!G$2:G$998,MATCH($A449, Papers!$A$2:$A$998,0)),"")</f>
        <v>2014</v>
      </c>
      <c r="F449" s="274" t="s">
        <v>261</v>
      </c>
      <c r="G449" s="275" t="s">
        <v>9</v>
      </c>
      <c r="H449" s="277" t="s">
        <v>293</v>
      </c>
      <c r="I449" s="277" t="s">
        <v>387</v>
      </c>
      <c r="J449" s="278" t="s">
        <v>424</v>
      </c>
      <c r="K449" s="288">
        <v>0.5</v>
      </c>
      <c r="L449" s="288">
        <v>0.488</v>
      </c>
      <c r="M449" s="288">
        <v>0.495</v>
      </c>
      <c r="N449" s="281">
        <f t="shared" si="44"/>
        <v>0.005</v>
      </c>
      <c r="O449" s="281">
        <f t="shared" si="46"/>
        <v>-0.007</v>
      </c>
    </row>
    <row r="450">
      <c r="A450" s="263">
        <v>48.0</v>
      </c>
      <c r="B450" s="264" t="str">
        <f t="array" ref="B450">IFerror(INDEX(Papers!C$2:C$998,MATCH($A450, Papers!$A$2:$A$998,0)),"")</f>
        <v>Pre-Survey Text Messages (SMS) Improve Participation Rate in an Australian Mobile Telephone Survey: An Experimental Study.</v>
      </c>
      <c r="C450" s="264" t="str">
        <f t="array" ref="C450">IFerror(INDEX(Papers!D$2:D$998,MATCH($A450, Papers!$A$2:$A$998,0)),"")</f>
        <v>Eleanora Dal Grande, Catherine Chittleborough, Stefano Campostrini, Maureen Dollard, and Anne Taylor</v>
      </c>
      <c r="D450" s="265">
        <f t="array" ref="D450">IFerror(INDEX(Papers!F$2:F$998,MATCH($A450, Papers!$A$2:$A$998,0)),"")</f>
        <v>2016</v>
      </c>
      <c r="E450" s="265">
        <f t="array" ref="E450">IFerror(INDEX(Papers!G$2:G$998,MATCH($A450, Papers!$A$2:$A$998,0)),"")</f>
        <v>2014</v>
      </c>
      <c r="F450" s="265" t="s">
        <v>261</v>
      </c>
      <c r="G450" s="266" t="s">
        <v>9</v>
      </c>
      <c r="H450" s="282" t="s">
        <v>293</v>
      </c>
      <c r="I450" s="282" t="s">
        <v>387</v>
      </c>
      <c r="J450" s="268" t="s">
        <v>436</v>
      </c>
      <c r="K450" s="285">
        <v>0.5</v>
      </c>
      <c r="L450" s="285">
        <v>0.512</v>
      </c>
      <c r="M450" s="285">
        <v>0.505</v>
      </c>
      <c r="N450" s="271">
        <f t="shared" si="44"/>
        <v>-0.005</v>
      </c>
      <c r="O450" s="271">
        <f t="shared" si="46"/>
        <v>0.007</v>
      </c>
    </row>
    <row r="451">
      <c r="A451" s="272">
        <v>48.0</v>
      </c>
      <c r="B451" s="273" t="str">
        <f t="array" ref="B451">IFerror(INDEX(Papers!C$2:C$998,MATCH($A451, Papers!$A$2:$A$998,0)),"")</f>
        <v>Pre-Survey Text Messages (SMS) Improve Participation Rate in an Australian Mobile Telephone Survey: An Experimental Study.</v>
      </c>
      <c r="C451" s="273" t="str">
        <f t="array" ref="C451">IFerror(INDEX(Papers!D$2:D$998,MATCH($A451, Papers!$A$2:$A$998,0)),"")</f>
        <v>Eleanora Dal Grande, Catherine Chittleborough, Stefano Campostrini, Maureen Dollard, and Anne Taylor</v>
      </c>
      <c r="D451" s="274">
        <f t="array" ref="D451">IFerror(INDEX(Papers!F$2:F$998,MATCH($A451, Papers!$A$2:$A$998,0)),"")</f>
        <v>2016</v>
      </c>
      <c r="E451" s="274">
        <f t="array" ref="E451">IFerror(INDEX(Papers!G$2:G$998,MATCH($A451, Papers!$A$2:$A$998,0)),"")</f>
        <v>2014</v>
      </c>
      <c r="F451" s="274" t="s">
        <v>261</v>
      </c>
      <c r="G451" s="275" t="s">
        <v>9</v>
      </c>
      <c r="H451" s="277" t="s">
        <v>293</v>
      </c>
      <c r="I451" s="277" t="s">
        <v>387</v>
      </c>
      <c r="J451" s="278" t="s">
        <v>529</v>
      </c>
      <c r="K451" s="288">
        <v>0.7</v>
      </c>
      <c r="L451" s="288">
        <v>0.609</v>
      </c>
      <c r="M451" s="288">
        <v>0.707</v>
      </c>
      <c r="N451" s="281">
        <f t="shared" si="44"/>
        <v>-0.007</v>
      </c>
      <c r="O451" s="281">
        <f t="shared" si="46"/>
        <v>-0.098</v>
      </c>
    </row>
    <row r="452">
      <c r="A452" s="263">
        <v>48.0</v>
      </c>
      <c r="B452" s="264" t="str">
        <f t="array" ref="B452">IFerror(INDEX(Papers!C$2:C$998,MATCH($A452, Papers!$A$2:$A$998,0)),"")</f>
        <v>Pre-Survey Text Messages (SMS) Improve Participation Rate in an Australian Mobile Telephone Survey: An Experimental Study.</v>
      </c>
      <c r="C452" s="264" t="str">
        <f t="array" ref="C452">IFerror(INDEX(Papers!D$2:D$998,MATCH($A452, Papers!$A$2:$A$998,0)),"")</f>
        <v>Eleanora Dal Grande, Catherine Chittleborough, Stefano Campostrini, Maureen Dollard, and Anne Taylor</v>
      </c>
      <c r="D452" s="265">
        <f t="array" ref="D452">IFerror(INDEX(Papers!F$2:F$998,MATCH($A452, Papers!$A$2:$A$998,0)),"")</f>
        <v>2016</v>
      </c>
      <c r="E452" s="265">
        <f t="array" ref="E452">IFerror(INDEX(Papers!G$2:G$998,MATCH($A452, Papers!$A$2:$A$998,0)),"")</f>
        <v>2014</v>
      </c>
      <c r="F452" s="265" t="s">
        <v>261</v>
      </c>
      <c r="G452" s="266" t="s">
        <v>9</v>
      </c>
      <c r="H452" s="282" t="s">
        <v>293</v>
      </c>
      <c r="I452" s="282" t="s">
        <v>387</v>
      </c>
      <c r="J452" s="268" t="s">
        <v>530</v>
      </c>
      <c r="K452" s="285">
        <v>0.3</v>
      </c>
      <c r="L452" s="285">
        <v>0.391</v>
      </c>
      <c r="M452" s="285">
        <v>0.293</v>
      </c>
      <c r="N452" s="271">
        <f t="shared" si="44"/>
        <v>0.007</v>
      </c>
      <c r="O452" s="271">
        <f t="shared" si="46"/>
        <v>0.098</v>
      </c>
    </row>
    <row r="453">
      <c r="A453" s="272">
        <v>51.0</v>
      </c>
      <c r="B453" s="273" t="str">
        <f t="array" ref="B453">IFerror(INDEX(Papers!C$2:C$998,MATCH($A453, Papers!$A$2:$A$998,0)),"")</f>
        <v>Executive Summary: Zambia NCD Mobile Phone Survey 2017</v>
      </c>
      <c r="C453" s="273" t="str">
        <f t="array" ref="C453">IFerror(INDEX(Papers!D$2:D$998,MATCH($A453, Papers!$A$2:$A$998,0)),"")</f>
        <v>Bloomberg Philanthropies Data for Health Initiative: NCD Mobile Phone Survey</v>
      </c>
      <c r="D453" s="274">
        <f t="array" ref="D453">IFerror(INDEX(Papers!F$2:F$998,MATCH($A453, Papers!$A$2:$A$998,0)),"")</f>
        <v>2020</v>
      </c>
      <c r="E453" s="274">
        <f t="array" ref="E453">IFerror(INDEX(Papers!G$2:G$998,MATCH($A453, Papers!$A$2:$A$998,0)),"")</f>
        <v>2017</v>
      </c>
      <c r="F453" s="274" t="s">
        <v>259</v>
      </c>
      <c r="G453" s="275" t="s">
        <v>11</v>
      </c>
      <c r="H453" s="276" t="s">
        <v>521</v>
      </c>
      <c r="I453" s="276" t="s">
        <v>531</v>
      </c>
      <c r="J453" s="278" t="s">
        <v>428</v>
      </c>
      <c r="K453" s="288">
        <v>0.467</v>
      </c>
      <c r="L453" s="281"/>
      <c r="M453" s="281">
        <v>0.491</v>
      </c>
      <c r="N453" s="281">
        <f t="shared" si="44"/>
        <v>-0.024</v>
      </c>
      <c r="O453" s="281" t="str">
        <f t="shared" si="46"/>
        <v/>
      </c>
    </row>
    <row r="454">
      <c r="A454" s="263">
        <v>51.0</v>
      </c>
      <c r="B454" s="264" t="str">
        <f t="array" ref="B454">IFerror(INDEX(Papers!C$2:C$998,MATCH($A454, Papers!$A$2:$A$998,0)),"")</f>
        <v>Executive Summary: Zambia NCD Mobile Phone Survey 2017</v>
      </c>
      <c r="C454" s="264" t="str">
        <f t="array" ref="C454">IFerror(INDEX(Papers!D$2:D$998,MATCH($A454, Papers!$A$2:$A$998,0)),"")</f>
        <v>Bloomberg Philanthropies Data for Health Initiative: NCD Mobile Phone Survey</v>
      </c>
      <c r="D454" s="265">
        <f t="array" ref="D454">IFerror(INDEX(Papers!F$2:F$998,MATCH($A454, Papers!$A$2:$A$998,0)),"")</f>
        <v>2020</v>
      </c>
      <c r="E454" s="265">
        <f t="array" ref="E454">IFerror(INDEX(Papers!G$2:G$998,MATCH($A454, Papers!$A$2:$A$998,0)),"")</f>
        <v>2017</v>
      </c>
      <c r="F454" s="265" t="s">
        <v>259</v>
      </c>
      <c r="G454" s="266" t="s">
        <v>11</v>
      </c>
      <c r="H454" s="267" t="s">
        <v>521</v>
      </c>
      <c r="I454" s="267" t="s">
        <v>531</v>
      </c>
      <c r="J454" s="268" t="s">
        <v>522</v>
      </c>
      <c r="K454" s="285">
        <v>0.344</v>
      </c>
      <c r="L454" s="271"/>
      <c r="M454" s="271">
        <v>0.337</v>
      </c>
      <c r="N454" s="271">
        <f t="shared" si="44"/>
        <v>0.007</v>
      </c>
      <c r="O454" s="271" t="str">
        <f t="shared" si="46"/>
        <v/>
      </c>
    </row>
    <row r="455">
      <c r="A455" s="272">
        <v>51.0</v>
      </c>
      <c r="B455" s="273" t="str">
        <f t="array" ref="B455">IFerror(INDEX(Papers!C$2:C$998,MATCH($A455, Papers!$A$2:$A$998,0)),"")</f>
        <v>Executive Summary: Zambia NCD Mobile Phone Survey 2017</v>
      </c>
      <c r="C455" s="273" t="str">
        <f t="array" ref="C455">IFerror(INDEX(Papers!D$2:D$998,MATCH($A455, Papers!$A$2:$A$998,0)),"")</f>
        <v>Bloomberg Philanthropies Data for Health Initiative: NCD Mobile Phone Survey</v>
      </c>
      <c r="D455" s="274">
        <f t="array" ref="D455">IFerror(INDEX(Papers!F$2:F$998,MATCH($A455, Papers!$A$2:$A$998,0)),"")</f>
        <v>2020</v>
      </c>
      <c r="E455" s="274">
        <f t="array" ref="E455">IFerror(INDEX(Papers!G$2:G$998,MATCH($A455, Papers!$A$2:$A$998,0)),"")</f>
        <v>2017</v>
      </c>
      <c r="F455" s="274" t="s">
        <v>259</v>
      </c>
      <c r="G455" s="275" t="s">
        <v>11</v>
      </c>
      <c r="H455" s="276" t="s">
        <v>521</v>
      </c>
      <c r="I455" s="276" t="s">
        <v>531</v>
      </c>
      <c r="J455" s="278" t="s">
        <v>523</v>
      </c>
      <c r="K455" s="288">
        <v>0.189</v>
      </c>
      <c r="L455" s="281"/>
      <c r="M455" s="281">
        <v>0.172</v>
      </c>
      <c r="N455" s="281">
        <f t="shared" si="44"/>
        <v>0.017</v>
      </c>
      <c r="O455" s="281" t="str">
        <f t="shared" si="46"/>
        <v/>
      </c>
    </row>
    <row r="456">
      <c r="A456" s="263">
        <v>51.0</v>
      </c>
      <c r="B456" s="264" t="str">
        <f t="array" ref="B456">IFerror(INDEX(Papers!C$2:C$998,MATCH($A456, Papers!$A$2:$A$998,0)),"")</f>
        <v>Executive Summary: Zambia NCD Mobile Phone Survey 2017</v>
      </c>
      <c r="C456" s="264" t="str">
        <f t="array" ref="C456">IFerror(INDEX(Papers!D$2:D$998,MATCH($A456, Papers!$A$2:$A$998,0)),"")</f>
        <v>Bloomberg Philanthropies Data for Health Initiative: NCD Mobile Phone Survey</v>
      </c>
      <c r="D456" s="265">
        <f t="array" ref="D456">IFerror(INDEX(Papers!F$2:F$998,MATCH($A456, Papers!$A$2:$A$998,0)),"")</f>
        <v>2020</v>
      </c>
      <c r="E456" s="265">
        <f t="array" ref="E456">IFerror(INDEX(Papers!G$2:G$998,MATCH($A456, Papers!$A$2:$A$998,0)),"")</f>
        <v>2017</v>
      </c>
      <c r="F456" s="265" t="s">
        <v>259</v>
      </c>
      <c r="G456" s="266" t="s">
        <v>11</v>
      </c>
      <c r="H456" s="267" t="s">
        <v>521</v>
      </c>
      <c r="I456" s="267" t="s">
        <v>531</v>
      </c>
      <c r="J456" s="268" t="s">
        <v>424</v>
      </c>
      <c r="K456" s="285">
        <v>0.509</v>
      </c>
      <c r="L456" s="271"/>
      <c r="M456" s="271">
        <v>0.448</v>
      </c>
      <c r="N456" s="271">
        <f t="shared" si="44"/>
        <v>0.061</v>
      </c>
      <c r="O456" s="271" t="str">
        <f t="shared" si="46"/>
        <v/>
      </c>
    </row>
    <row r="457">
      <c r="A457" s="272">
        <v>51.0</v>
      </c>
      <c r="B457" s="273" t="str">
        <f t="array" ref="B457">IFerror(INDEX(Papers!C$2:C$998,MATCH($A457, Papers!$A$2:$A$998,0)),"")</f>
        <v>Executive Summary: Zambia NCD Mobile Phone Survey 2017</v>
      </c>
      <c r="C457" s="273" t="str">
        <f t="array" ref="C457">IFerror(INDEX(Papers!D$2:D$998,MATCH($A457, Papers!$A$2:$A$998,0)),"")</f>
        <v>Bloomberg Philanthropies Data for Health Initiative: NCD Mobile Phone Survey</v>
      </c>
      <c r="D457" s="274">
        <f t="array" ref="D457">IFerror(INDEX(Papers!F$2:F$998,MATCH($A457, Papers!$A$2:$A$998,0)),"")</f>
        <v>2020</v>
      </c>
      <c r="E457" s="274">
        <f t="array" ref="E457">IFerror(INDEX(Papers!G$2:G$998,MATCH($A457, Papers!$A$2:$A$998,0)),"")</f>
        <v>2017</v>
      </c>
      <c r="F457" s="274" t="s">
        <v>259</v>
      </c>
      <c r="G457" s="275" t="s">
        <v>11</v>
      </c>
      <c r="H457" s="276" t="s">
        <v>521</v>
      </c>
      <c r="I457" s="276" t="s">
        <v>531</v>
      </c>
      <c r="J457" s="300" t="s">
        <v>436</v>
      </c>
      <c r="K457" s="302">
        <v>0.491</v>
      </c>
      <c r="L457" s="281"/>
      <c r="M457" s="303">
        <v>0.552</v>
      </c>
      <c r="N457" s="281">
        <f t="shared" si="44"/>
        <v>-0.061</v>
      </c>
      <c r="O457" s="281"/>
    </row>
    <row r="458">
      <c r="A458" s="263">
        <v>53.0</v>
      </c>
      <c r="B458" s="264" t="str">
        <f t="array" ref="B458">IFerror(INDEX(Papers!C$2:C$998,MATCH($A458, Papers!$A$2:$A$998,0)),"")</f>
        <v>Mozambique Mobile Access and Usage Study Computer-Assisted Telephone Interview (CATI) Survey Results</v>
      </c>
      <c r="C458" s="264" t="str">
        <f t="array" ref="C458">IFerror(INDEX(Papers!D$2:D$998,MATCH($A458, Papers!$A$2:$A$998,0)),"")</f>
        <v>Daan Velthausz, Rotafina Donco, Hannah Skelly and Marga Eichleay</v>
      </c>
      <c r="D458" s="265">
        <f t="array" ref="D458">IFerror(INDEX(Papers!F$2:F$998,MATCH($A458, Papers!$A$2:$A$998,0)),"")</f>
        <v>2016</v>
      </c>
      <c r="E458" s="265">
        <f t="array" ref="E458">IFerror(INDEX(Papers!G$2:G$998,MATCH($A458, Papers!$A$2:$A$998,0)),"")</f>
        <v>2016</v>
      </c>
      <c r="F458" s="265" t="s">
        <v>267</v>
      </c>
      <c r="G458" s="266" t="s">
        <v>9</v>
      </c>
      <c r="H458" s="282" t="s">
        <v>532</v>
      </c>
      <c r="I458" s="282" t="s">
        <v>533</v>
      </c>
      <c r="J458" s="268" t="s">
        <v>418</v>
      </c>
      <c r="K458" s="289"/>
      <c r="L458" s="270">
        <v>33.4</v>
      </c>
      <c r="M458" s="269">
        <v>34.27</v>
      </c>
      <c r="N458" s="310" t="str">
        <f t="shared" si="44"/>
        <v/>
      </c>
      <c r="O458" s="271">
        <f t="shared" ref="O458:O510" si="47">if(AND(L458&lt;&gt;0,M458&lt;&gt;0),L458-M458,"")</f>
        <v>-0.87</v>
      </c>
    </row>
    <row r="459">
      <c r="A459" s="272">
        <v>53.0</v>
      </c>
      <c r="B459" s="273" t="str">
        <f t="array" ref="B459">IFerror(INDEX(Papers!C$2:C$998,MATCH($A459, Papers!$A$2:$A$998,0)),"")</f>
        <v>Mozambique Mobile Access and Usage Study Computer-Assisted Telephone Interview (CATI) Survey Results</v>
      </c>
      <c r="C459" s="273" t="str">
        <f t="array" ref="C459">IFerror(INDEX(Papers!D$2:D$998,MATCH($A459, Papers!$A$2:$A$998,0)),"")</f>
        <v>Daan Velthausz, Rotafina Donco, Hannah Skelly and Marga Eichleay</v>
      </c>
      <c r="D459" s="274">
        <f t="array" ref="D459">IFerror(INDEX(Papers!F$2:F$998,MATCH($A459, Papers!$A$2:$A$998,0)),"")</f>
        <v>2016</v>
      </c>
      <c r="E459" s="274">
        <f t="array" ref="E459">IFerror(INDEX(Papers!G$2:G$998,MATCH($A459, Papers!$A$2:$A$998,0)),"")</f>
        <v>2016</v>
      </c>
      <c r="F459" s="274" t="s">
        <v>267</v>
      </c>
      <c r="G459" s="275" t="s">
        <v>9</v>
      </c>
      <c r="H459" s="277" t="s">
        <v>532</v>
      </c>
      <c r="I459" s="277" t="s">
        <v>534</v>
      </c>
      <c r="J459" s="278" t="s">
        <v>418</v>
      </c>
      <c r="K459" s="307"/>
      <c r="L459" s="280">
        <v>33.4</v>
      </c>
      <c r="M459" s="279">
        <v>32.84</v>
      </c>
      <c r="N459" s="313" t="str">
        <f t="shared" si="44"/>
        <v/>
      </c>
      <c r="O459" s="281">
        <f t="shared" si="47"/>
        <v>0.56</v>
      </c>
    </row>
    <row r="460">
      <c r="A460" s="263">
        <v>53.0</v>
      </c>
      <c r="B460" s="264" t="str">
        <f t="array" ref="B460">IFerror(INDEX(Papers!C$2:C$998,MATCH($A460, Papers!$A$2:$A$998,0)),"")</f>
        <v>Mozambique Mobile Access and Usage Study Computer-Assisted Telephone Interview (CATI) Survey Results</v>
      </c>
      <c r="C460" s="264" t="str">
        <f t="array" ref="C460">IFerror(INDEX(Papers!D$2:D$998,MATCH($A460, Papers!$A$2:$A$998,0)),"")</f>
        <v>Daan Velthausz, Rotafina Donco, Hannah Skelly and Marga Eichleay</v>
      </c>
      <c r="D460" s="265">
        <f t="array" ref="D460">IFerror(INDEX(Papers!F$2:F$998,MATCH($A460, Papers!$A$2:$A$998,0)),"")</f>
        <v>2016</v>
      </c>
      <c r="E460" s="265">
        <f t="array" ref="E460">IFerror(INDEX(Papers!G$2:G$998,MATCH($A460, Papers!$A$2:$A$998,0)),"")</f>
        <v>2016</v>
      </c>
      <c r="F460" s="265" t="s">
        <v>267</v>
      </c>
      <c r="G460" s="266" t="s">
        <v>9</v>
      </c>
      <c r="H460" s="282" t="s">
        <v>532</v>
      </c>
      <c r="I460" s="282" t="s">
        <v>533</v>
      </c>
      <c r="J460" s="268" t="s">
        <v>535</v>
      </c>
      <c r="K460" s="289"/>
      <c r="L460" s="285">
        <v>0.04</v>
      </c>
      <c r="M460" s="285">
        <v>0.14</v>
      </c>
      <c r="N460" s="310" t="str">
        <f t="shared" si="44"/>
        <v/>
      </c>
      <c r="O460" s="271">
        <f t="shared" si="47"/>
        <v>-0.1</v>
      </c>
    </row>
    <row r="461">
      <c r="A461" s="272">
        <v>53.0</v>
      </c>
      <c r="B461" s="273" t="str">
        <f t="array" ref="B461">IFerror(INDEX(Papers!C$2:C$998,MATCH($A461, Papers!$A$2:$A$998,0)),"")</f>
        <v>Mozambique Mobile Access and Usage Study Computer-Assisted Telephone Interview (CATI) Survey Results</v>
      </c>
      <c r="C461" s="273" t="str">
        <f t="array" ref="C461">IFerror(INDEX(Papers!D$2:D$998,MATCH($A461, Papers!$A$2:$A$998,0)),"")</f>
        <v>Daan Velthausz, Rotafina Donco, Hannah Skelly and Marga Eichleay</v>
      </c>
      <c r="D461" s="274">
        <f t="array" ref="D461">IFerror(INDEX(Papers!F$2:F$998,MATCH($A461, Papers!$A$2:$A$998,0)),"")</f>
        <v>2016</v>
      </c>
      <c r="E461" s="274">
        <f t="array" ref="E461">IFerror(INDEX(Papers!G$2:G$998,MATCH($A461, Papers!$A$2:$A$998,0)),"")</f>
        <v>2016</v>
      </c>
      <c r="F461" s="274" t="s">
        <v>267</v>
      </c>
      <c r="G461" s="275" t="s">
        <v>9</v>
      </c>
      <c r="H461" s="277" t="s">
        <v>532</v>
      </c>
      <c r="I461" s="277" t="s">
        <v>534</v>
      </c>
      <c r="J461" s="278" t="s">
        <v>535</v>
      </c>
      <c r="K461" s="307"/>
      <c r="L461" s="288">
        <v>0.04</v>
      </c>
      <c r="M461" s="288">
        <v>0.11</v>
      </c>
      <c r="N461" s="313" t="str">
        <f t="shared" si="44"/>
        <v/>
      </c>
      <c r="O461" s="281">
        <f t="shared" si="47"/>
        <v>-0.07</v>
      </c>
    </row>
    <row r="462">
      <c r="A462" s="263">
        <v>53.0</v>
      </c>
      <c r="B462" s="264" t="str">
        <f t="array" ref="B462">IFerror(INDEX(Papers!C$2:C$998,MATCH($A462, Papers!$A$2:$A$998,0)),"")</f>
        <v>Mozambique Mobile Access and Usage Study Computer-Assisted Telephone Interview (CATI) Survey Results</v>
      </c>
      <c r="C462" s="264" t="str">
        <f t="array" ref="C462">IFerror(INDEX(Papers!D$2:D$998,MATCH($A462, Papers!$A$2:$A$998,0)),"")</f>
        <v>Daan Velthausz, Rotafina Donco, Hannah Skelly and Marga Eichleay</v>
      </c>
      <c r="D462" s="265">
        <f t="array" ref="D462">IFerror(INDEX(Papers!F$2:F$998,MATCH($A462, Papers!$A$2:$A$998,0)),"")</f>
        <v>2016</v>
      </c>
      <c r="E462" s="265">
        <f t="array" ref="E462">IFerror(INDEX(Papers!G$2:G$998,MATCH($A462, Papers!$A$2:$A$998,0)),"")</f>
        <v>2016</v>
      </c>
      <c r="F462" s="265" t="s">
        <v>267</v>
      </c>
      <c r="G462" s="266" t="s">
        <v>9</v>
      </c>
      <c r="H462" s="282" t="s">
        <v>532</v>
      </c>
      <c r="I462" s="282" t="s">
        <v>533</v>
      </c>
      <c r="J462" s="268" t="s">
        <v>536</v>
      </c>
      <c r="K462" s="289"/>
      <c r="L462" s="285">
        <v>0.13</v>
      </c>
      <c r="M462" s="285">
        <v>0.17</v>
      </c>
      <c r="N462" s="310" t="str">
        <f t="shared" si="44"/>
        <v/>
      </c>
      <c r="O462" s="271">
        <f t="shared" si="47"/>
        <v>-0.04</v>
      </c>
    </row>
    <row r="463">
      <c r="A463" s="272">
        <v>53.0</v>
      </c>
      <c r="B463" s="273" t="str">
        <f t="array" ref="B463">IFerror(INDEX(Papers!C$2:C$998,MATCH($A463, Papers!$A$2:$A$998,0)),"")</f>
        <v>Mozambique Mobile Access and Usage Study Computer-Assisted Telephone Interview (CATI) Survey Results</v>
      </c>
      <c r="C463" s="273" t="str">
        <f t="array" ref="C463">IFerror(INDEX(Papers!D$2:D$998,MATCH($A463, Papers!$A$2:$A$998,0)),"")</f>
        <v>Daan Velthausz, Rotafina Donco, Hannah Skelly and Marga Eichleay</v>
      </c>
      <c r="D463" s="274">
        <f t="array" ref="D463">IFerror(INDEX(Papers!F$2:F$998,MATCH($A463, Papers!$A$2:$A$998,0)),"")</f>
        <v>2016</v>
      </c>
      <c r="E463" s="274">
        <f t="array" ref="E463">IFerror(INDEX(Papers!G$2:G$998,MATCH($A463, Papers!$A$2:$A$998,0)),"")</f>
        <v>2016</v>
      </c>
      <c r="F463" s="274" t="s">
        <v>267</v>
      </c>
      <c r="G463" s="275" t="s">
        <v>9</v>
      </c>
      <c r="H463" s="277" t="s">
        <v>532</v>
      </c>
      <c r="I463" s="277" t="s">
        <v>534</v>
      </c>
      <c r="J463" s="278" t="s">
        <v>536</v>
      </c>
      <c r="K463" s="307"/>
      <c r="L463" s="288">
        <v>0.13</v>
      </c>
      <c r="M463" s="288">
        <v>0.1</v>
      </c>
      <c r="N463" s="313" t="str">
        <f t="shared" si="44"/>
        <v/>
      </c>
      <c r="O463" s="281">
        <f t="shared" si="47"/>
        <v>0.03</v>
      </c>
    </row>
    <row r="464">
      <c r="A464" s="263">
        <v>53.0</v>
      </c>
      <c r="B464" s="264" t="str">
        <f t="array" ref="B464">IFerror(INDEX(Papers!C$2:C$998,MATCH($A464, Papers!$A$2:$A$998,0)),"")</f>
        <v>Mozambique Mobile Access and Usage Study Computer-Assisted Telephone Interview (CATI) Survey Results</v>
      </c>
      <c r="C464" s="264" t="str">
        <f t="array" ref="C464">IFerror(INDEX(Papers!D$2:D$998,MATCH($A464, Papers!$A$2:$A$998,0)),"")</f>
        <v>Daan Velthausz, Rotafina Donco, Hannah Skelly and Marga Eichleay</v>
      </c>
      <c r="D464" s="265">
        <f t="array" ref="D464">IFerror(INDEX(Papers!F$2:F$998,MATCH($A464, Papers!$A$2:$A$998,0)),"")</f>
        <v>2016</v>
      </c>
      <c r="E464" s="265">
        <f t="array" ref="E464">IFerror(INDEX(Papers!G$2:G$998,MATCH($A464, Papers!$A$2:$A$998,0)),"")</f>
        <v>2016</v>
      </c>
      <c r="F464" s="265" t="s">
        <v>267</v>
      </c>
      <c r="G464" s="266" t="s">
        <v>9</v>
      </c>
      <c r="H464" s="282" t="s">
        <v>532</v>
      </c>
      <c r="I464" s="282" t="s">
        <v>533</v>
      </c>
      <c r="J464" s="268" t="s">
        <v>537</v>
      </c>
      <c r="K464" s="289"/>
      <c r="L464" s="285">
        <v>0.22</v>
      </c>
      <c r="M464" s="285">
        <v>0.11</v>
      </c>
      <c r="N464" s="310" t="str">
        <f t="shared" si="44"/>
        <v/>
      </c>
      <c r="O464" s="271">
        <f t="shared" si="47"/>
        <v>0.11</v>
      </c>
    </row>
    <row r="465">
      <c r="A465" s="272">
        <v>53.0</v>
      </c>
      <c r="B465" s="273" t="str">
        <f t="array" ref="B465">IFerror(INDEX(Papers!C$2:C$998,MATCH($A465, Papers!$A$2:$A$998,0)),"")</f>
        <v>Mozambique Mobile Access and Usage Study Computer-Assisted Telephone Interview (CATI) Survey Results</v>
      </c>
      <c r="C465" s="273" t="str">
        <f t="array" ref="C465">IFerror(INDEX(Papers!D$2:D$998,MATCH($A465, Papers!$A$2:$A$998,0)),"")</f>
        <v>Daan Velthausz, Rotafina Donco, Hannah Skelly and Marga Eichleay</v>
      </c>
      <c r="D465" s="274">
        <f t="array" ref="D465">IFerror(INDEX(Papers!F$2:F$998,MATCH($A465, Papers!$A$2:$A$998,0)),"")</f>
        <v>2016</v>
      </c>
      <c r="E465" s="274">
        <f t="array" ref="E465">IFerror(INDEX(Papers!G$2:G$998,MATCH($A465, Papers!$A$2:$A$998,0)),"")</f>
        <v>2016</v>
      </c>
      <c r="F465" s="274" t="s">
        <v>267</v>
      </c>
      <c r="G465" s="275" t="s">
        <v>9</v>
      </c>
      <c r="H465" s="277" t="s">
        <v>532</v>
      </c>
      <c r="I465" s="277" t="s">
        <v>534</v>
      </c>
      <c r="J465" s="278" t="s">
        <v>537</v>
      </c>
      <c r="K465" s="307"/>
      <c r="L465" s="288">
        <v>0.22</v>
      </c>
      <c r="M465" s="288">
        <v>0.1</v>
      </c>
      <c r="N465" s="313" t="str">
        <f t="shared" si="44"/>
        <v/>
      </c>
      <c r="O465" s="281">
        <f t="shared" si="47"/>
        <v>0.12</v>
      </c>
    </row>
    <row r="466">
      <c r="A466" s="263">
        <v>53.0</v>
      </c>
      <c r="B466" s="264" t="str">
        <f t="array" ref="B466">IFerror(INDEX(Papers!C$2:C$998,MATCH($A466, Papers!$A$2:$A$998,0)),"")</f>
        <v>Mozambique Mobile Access and Usage Study Computer-Assisted Telephone Interview (CATI) Survey Results</v>
      </c>
      <c r="C466" s="264" t="str">
        <f t="array" ref="C466">IFerror(INDEX(Papers!D$2:D$998,MATCH($A466, Papers!$A$2:$A$998,0)),"")</f>
        <v>Daan Velthausz, Rotafina Donco, Hannah Skelly and Marga Eichleay</v>
      </c>
      <c r="D466" s="265">
        <f t="array" ref="D466">IFerror(INDEX(Papers!F$2:F$998,MATCH($A466, Papers!$A$2:$A$998,0)),"")</f>
        <v>2016</v>
      </c>
      <c r="E466" s="265">
        <f t="array" ref="E466">IFerror(INDEX(Papers!G$2:G$998,MATCH($A466, Papers!$A$2:$A$998,0)),"")</f>
        <v>2016</v>
      </c>
      <c r="F466" s="265" t="s">
        <v>267</v>
      </c>
      <c r="G466" s="266" t="s">
        <v>9</v>
      </c>
      <c r="H466" s="282" t="s">
        <v>532</v>
      </c>
      <c r="I466" s="282" t="s">
        <v>534</v>
      </c>
      <c r="J466" s="268" t="s">
        <v>538</v>
      </c>
      <c r="K466" s="289"/>
      <c r="L466" s="285">
        <v>0.27</v>
      </c>
      <c r="M466" s="285">
        <v>0.15</v>
      </c>
      <c r="N466" s="310" t="str">
        <f t="shared" si="44"/>
        <v/>
      </c>
      <c r="O466" s="271">
        <f t="shared" si="47"/>
        <v>0.12</v>
      </c>
    </row>
    <row r="467">
      <c r="A467" s="272">
        <v>53.0</v>
      </c>
      <c r="B467" s="273" t="str">
        <f t="array" ref="B467">IFerror(INDEX(Papers!C$2:C$998,MATCH($A467, Papers!$A$2:$A$998,0)),"")</f>
        <v>Mozambique Mobile Access and Usage Study Computer-Assisted Telephone Interview (CATI) Survey Results</v>
      </c>
      <c r="C467" s="273" t="str">
        <f t="array" ref="C467">IFerror(INDEX(Papers!D$2:D$998,MATCH($A467, Papers!$A$2:$A$998,0)),"")</f>
        <v>Daan Velthausz, Rotafina Donco, Hannah Skelly and Marga Eichleay</v>
      </c>
      <c r="D467" s="274">
        <f t="array" ref="D467">IFerror(INDEX(Papers!F$2:F$998,MATCH($A467, Papers!$A$2:$A$998,0)),"")</f>
        <v>2016</v>
      </c>
      <c r="E467" s="274">
        <f t="array" ref="E467">IFerror(INDEX(Papers!G$2:G$998,MATCH($A467, Papers!$A$2:$A$998,0)),"")</f>
        <v>2016</v>
      </c>
      <c r="F467" s="274" t="s">
        <v>267</v>
      </c>
      <c r="G467" s="275" t="s">
        <v>9</v>
      </c>
      <c r="H467" s="277" t="s">
        <v>532</v>
      </c>
      <c r="I467" s="277" t="s">
        <v>533</v>
      </c>
      <c r="J467" s="278" t="s">
        <v>538</v>
      </c>
      <c r="K467" s="307"/>
      <c r="L467" s="288">
        <v>0.27</v>
      </c>
      <c r="M467" s="288">
        <v>0.15</v>
      </c>
      <c r="N467" s="313" t="str">
        <f t="shared" si="44"/>
        <v/>
      </c>
      <c r="O467" s="281">
        <f t="shared" si="47"/>
        <v>0.12</v>
      </c>
    </row>
    <row r="468">
      <c r="A468" s="263">
        <v>53.0</v>
      </c>
      <c r="B468" s="264" t="str">
        <f t="array" ref="B468">IFerror(INDEX(Papers!C$2:C$998,MATCH($A468, Papers!$A$2:$A$998,0)),"")</f>
        <v>Mozambique Mobile Access and Usage Study Computer-Assisted Telephone Interview (CATI) Survey Results</v>
      </c>
      <c r="C468" s="264" t="str">
        <f t="array" ref="C468">IFerror(INDEX(Papers!D$2:D$998,MATCH($A468, Papers!$A$2:$A$998,0)),"")</f>
        <v>Daan Velthausz, Rotafina Donco, Hannah Skelly and Marga Eichleay</v>
      </c>
      <c r="D468" s="265">
        <f t="array" ref="D468">IFerror(INDEX(Papers!F$2:F$998,MATCH($A468, Papers!$A$2:$A$998,0)),"")</f>
        <v>2016</v>
      </c>
      <c r="E468" s="265">
        <f t="array" ref="E468">IFerror(INDEX(Papers!G$2:G$998,MATCH($A468, Papers!$A$2:$A$998,0)),"")</f>
        <v>2016</v>
      </c>
      <c r="F468" s="265" t="s">
        <v>267</v>
      </c>
      <c r="G468" s="266" t="s">
        <v>9</v>
      </c>
      <c r="H468" s="282" t="s">
        <v>532</v>
      </c>
      <c r="I468" s="282" t="s">
        <v>534</v>
      </c>
      <c r="J468" s="268" t="s">
        <v>539</v>
      </c>
      <c r="K468" s="289"/>
      <c r="L468" s="285">
        <v>0.21</v>
      </c>
      <c r="M468" s="285">
        <v>0.27</v>
      </c>
      <c r="N468" s="310" t="str">
        <f t="shared" si="44"/>
        <v/>
      </c>
      <c r="O468" s="271">
        <f t="shared" si="47"/>
        <v>-0.06</v>
      </c>
    </row>
    <row r="469">
      <c r="A469" s="272">
        <v>53.0</v>
      </c>
      <c r="B469" s="273" t="str">
        <f t="array" ref="B469">IFerror(INDEX(Papers!C$2:C$998,MATCH($A469, Papers!$A$2:$A$998,0)),"")</f>
        <v>Mozambique Mobile Access and Usage Study Computer-Assisted Telephone Interview (CATI) Survey Results</v>
      </c>
      <c r="C469" s="273" t="str">
        <f t="array" ref="C469">IFerror(INDEX(Papers!D$2:D$998,MATCH($A469, Papers!$A$2:$A$998,0)),"")</f>
        <v>Daan Velthausz, Rotafina Donco, Hannah Skelly and Marga Eichleay</v>
      </c>
      <c r="D469" s="274">
        <f t="array" ref="D469">IFerror(INDEX(Papers!F$2:F$998,MATCH($A469, Papers!$A$2:$A$998,0)),"")</f>
        <v>2016</v>
      </c>
      <c r="E469" s="274">
        <f t="array" ref="E469">IFerror(INDEX(Papers!G$2:G$998,MATCH($A469, Papers!$A$2:$A$998,0)),"")</f>
        <v>2016</v>
      </c>
      <c r="F469" s="274" t="s">
        <v>267</v>
      </c>
      <c r="G469" s="275" t="s">
        <v>9</v>
      </c>
      <c r="H469" s="277" t="s">
        <v>532</v>
      </c>
      <c r="I469" s="277" t="s">
        <v>533</v>
      </c>
      <c r="J469" s="278" t="s">
        <v>539</v>
      </c>
      <c r="K469" s="307"/>
      <c r="L469" s="288">
        <v>0.21</v>
      </c>
      <c r="M469" s="288">
        <v>0.22</v>
      </c>
      <c r="N469" s="313" t="str">
        <f t="shared" si="44"/>
        <v/>
      </c>
      <c r="O469" s="281">
        <f t="shared" si="47"/>
        <v>-0.01</v>
      </c>
    </row>
    <row r="470">
      <c r="A470" s="263">
        <v>53.0</v>
      </c>
      <c r="B470" s="264" t="str">
        <f t="array" ref="B470">IFerror(INDEX(Papers!C$2:C$998,MATCH($A470, Papers!$A$2:$A$998,0)),"")</f>
        <v>Mozambique Mobile Access and Usage Study Computer-Assisted Telephone Interview (CATI) Survey Results</v>
      </c>
      <c r="C470" s="264" t="str">
        <f t="array" ref="C470">IFerror(INDEX(Papers!D$2:D$998,MATCH($A470, Papers!$A$2:$A$998,0)),"")</f>
        <v>Daan Velthausz, Rotafina Donco, Hannah Skelly and Marga Eichleay</v>
      </c>
      <c r="D470" s="265">
        <f t="array" ref="D470">IFerror(INDEX(Papers!F$2:F$998,MATCH($A470, Papers!$A$2:$A$998,0)),"")</f>
        <v>2016</v>
      </c>
      <c r="E470" s="265">
        <f t="array" ref="E470">IFerror(INDEX(Papers!G$2:G$998,MATCH($A470, Papers!$A$2:$A$998,0)),"")</f>
        <v>2016</v>
      </c>
      <c r="F470" s="265" t="s">
        <v>267</v>
      </c>
      <c r="G470" s="266" t="s">
        <v>9</v>
      </c>
      <c r="H470" s="282" t="s">
        <v>532</v>
      </c>
      <c r="I470" s="282" t="s">
        <v>533</v>
      </c>
      <c r="J470" s="268" t="s">
        <v>540</v>
      </c>
      <c r="K470" s="289"/>
      <c r="L470" s="285">
        <v>0.13</v>
      </c>
      <c r="M470" s="285">
        <v>0.31</v>
      </c>
      <c r="N470" s="310" t="str">
        <f t="shared" si="44"/>
        <v/>
      </c>
      <c r="O470" s="271">
        <f t="shared" si="47"/>
        <v>-0.18</v>
      </c>
    </row>
    <row r="471">
      <c r="A471" s="272">
        <v>53.0</v>
      </c>
      <c r="B471" s="273" t="str">
        <f t="array" ref="B471">IFerror(INDEX(Papers!C$2:C$998,MATCH($A471, Papers!$A$2:$A$998,0)),"")</f>
        <v>Mozambique Mobile Access and Usage Study Computer-Assisted Telephone Interview (CATI) Survey Results</v>
      </c>
      <c r="C471" s="273" t="str">
        <f t="array" ref="C471">IFerror(INDEX(Papers!D$2:D$998,MATCH($A471, Papers!$A$2:$A$998,0)),"")</f>
        <v>Daan Velthausz, Rotafina Donco, Hannah Skelly and Marga Eichleay</v>
      </c>
      <c r="D471" s="274">
        <f t="array" ref="D471">IFerror(INDEX(Papers!F$2:F$998,MATCH($A471, Papers!$A$2:$A$998,0)),"")</f>
        <v>2016</v>
      </c>
      <c r="E471" s="274">
        <f t="array" ref="E471">IFerror(INDEX(Papers!G$2:G$998,MATCH($A471, Papers!$A$2:$A$998,0)),"")</f>
        <v>2016</v>
      </c>
      <c r="F471" s="274" t="s">
        <v>267</v>
      </c>
      <c r="G471" s="275" t="s">
        <v>9</v>
      </c>
      <c r="H471" s="277" t="s">
        <v>532</v>
      </c>
      <c r="I471" s="277" t="s">
        <v>534</v>
      </c>
      <c r="J471" s="278" t="s">
        <v>540</v>
      </c>
      <c r="K471" s="307"/>
      <c r="L471" s="288">
        <v>0.13</v>
      </c>
      <c r="M471" s="288">
        <v>0.28</v>
      </c>
      <c r="N471" s="313" t="str">
        <f t="shared" si="44"/>
        <v/>
      </c>
      <c r="O471" s="281">
        <f t="shared" si="47"/>
        <v>-0.15</v>
      </c>
    </row>
    <row r="472">
      <c r="A472" s="263">
        <v>53.0</v>
      </c>
      <c r="B472" s="264" t="str">
        <f t="array" ref="B472">IFerror(INDEX(Papers!C$2:C$998,MATCH($A472, Papers!$A$2:$A$998,0)),"")</f>
        <v>Mozambique Mobile Access and Usage Study Computer-Assisted Telephone Interview (CATI) Survey Results</v>
      </c>
      <c r="C472" s="264" t="str">
        <f t="array" ref="C472">IFerror(INDEX(Papers!D$2:D$998,MATCH($A472, Papers!$A$2:$A$998,0)),"")</f>
        <v>Daan Velthausz, Rotafina Donco, Hannah Skelly and Marga Eichleay</v>
      </c>
      <c r="D472" s="265">
        <f t="array" ref="D472">IFerror(INDEX(Papers!F$2:F$998,MATCH($A472, Papers!$A$2:$A$998,0)),"")</f>
        <v>2016</v>
      </c>
      <c r="E472" s="265">
        <f t="array" ref="E472">IFerror(INDEX(Papers!G$2:G$998,MATCH($A472, Papers!$A$2:$A$998,0)),"")</f>
        <v>2016</v>
      </c>
      <c r="F472" s="265" t="s">
        <v>267</v>
      </c>
      <c r="G472" s="266" t="s">
        <v>9</v>
      </c>
      <c r="H472" s="282" t="s">
        <v>532</v>
      </c>
      <c r="I472" s="282" t="s">
        <v>534</v>
      </c>
      <c r="J472" s="268" t="s">
        <v>424</v>
      </c>
      <c r="K472" s="289"/>
      <c r="L472" s="285">
        <v>0.45</v>
      </c>
      <c r="M472" s="285">
        <f t="shared" ref="M472:M473" si="48">1-0.67</f>
        <v>0.33</v>
      </c>
      <c r="N472" s="310" t="str">
        <f t="shared" si="44"/>
        <v/>
      </c>
      <c r="O472" s="271">
        <f t="shared" si="47"/>
        <v>0.12</v>
      </c>
    </row>
    <row r="473">
      <c r="A473" s="272">
        <v>53.0</v>
      </c>
      <c r="B473" s="273" t="str">
        <f t="array" ref="B473">IFerror(INDEX(Papers!C$2:C$998,MATCH($A473, Papers!$A$2:$A$998,0)),"")</f>
        <v>Mozambique Mobile Access and Usage Study Computer-Assisted Telephone Interview (CATI) Survey Results</v>
      </c>
      <c r="C473" s="273" t="str">
        <f t="array" ref="C473">IFerror(INDEX(Papers!D$2:D$998,MATCH($A473, Papers!$A$2:$A$998,0)),"")</f>
        <v>Daan Velthausz, Rotafina Donco, Hannah Skelly and Marga Eichleay</v>
      </c>
      <c r="D473" s="274">
        <f t="array" ref="D473">IFerror(INDEX(Papers!F$2:F$998,MATCH($A473, Papers!$A$2:$A$998,0)),"")</f>
        <v>2016</v>
      </c>
      <c r="E473" s="274">
        <f t="array" ref="E473">IFerror(INDEX(Papers!G$2:G$998,MATCH($A473, Papers!$A$2:$A$998,0)),"")</f>
        <v>2016</v>
      </c>
      <c r="F473" s="274" t="s">
        <v>267</v>
      </c>
      <c r="G473" s="275" t="s">
        <v>9</v>
      </c>
      <c r="H473" s="277" t="s">
        <v>532</v>
      </c>
      <c r="I473" s="277" t="s">
        <v>533</v>
      </c>
      <c r="J473" s="278" t="s">
        <v>424</v>
      </c>
      <c r="K473" s="307"/>
      <c r="L473" s="288">
        <v>0.45</v>
      </c>
      <c r="M473" s="288">
        <f t="shared" si="48"/>
        <v>0.33</v>
      </c>
      <c r="N473" s="313" t="str">
        <f t="shared" si="44"/>
        <v/>
      </c>
      <c r="O473" s="281">
        <f t="shared" si="47"/>
        <v>0.12</v>
      </c>
    </row>
    <row r="474">
      <c r="A474" s="263">
        <v>53.0</v>
      </c>
      <c r="B474" s="264" t="str">
        <f t="array" ref="B474">IFerror(INDEX(Papers!C$2:C$998,MATCH($A474, Papers!$A$2:$A$998,0)),"")</f>
        <v>Mozambique Mobile Access and Usage Study Computer-Assisted Telephone Interview (CATI) Survey Results</v>
      </c>
      <c r="C474" s="264" t="str">
        <f t="array" ref="C474">IFerror(INDEX(Papers!D$2:D$998,MATCH($A474, Papers!$A$2:$A$998,0)),"")</f>
        <v>Daan Velthausz, Rotafina Donco, Hannah Skelly and Marga Eichleay</v>
      </c>
      <c r="D474" s="265">
        <f t="array" ref="D474">IFerror(INDEX(Papers!F$2:F$998,MATCH($A474, Papers!$A$2:$A$998,0)),"")</f>
        <v>2016</v>
      </c>
      <c r="E474" s="265">
        <f t="array" ref="E474">IFerror(INDEX(Papers!G$2:G$998,MATCH($A474, Papers!$A$2:$A$998,0)),"")</f>
        <v>2016</v>
      </c>
      <c r="F474" s="265" t="s">
        <v>267</v>
      </c>
      <c r="G474" s="266" t="s">
        <v>9</v>
      </c>
      <c r="H474" s="282" t="s">
        <v>532</v>
      </c>
      <c r="I474" s="282" t="s">
        <v>534</v>
      </c>
      <c r="J474" s="301" t="s">
        <v>541</v>
      </c>
      <c r="K474" s="289"/>
      <c r="L474" s="285">
        <v>0.37</v>
      </c>
      <c r="M474" s="285">
        <v>0.18</v>
      </c>
      <c r="N474" s="310" t="str">
        <f t="shared" si="44"/>
        <v/>
      </c>
      <c r="O474" s="271">
        <f t="shared" si="47"/>
        <v>0.19</v>
      </c>
    </row>
    <row r="475">
      <c r="A475" s="272">
        <v>53.0</v>
      </c>
      <c r="B475" s="273" t="str">
        <f t="array" ref="B475">IFerror(INDEX(Papers!C$2:C$998,MATCH($A475, Papers!$A$2:$A$998,0)),"")</f>
        <v>Mozambique Mobile Access and Usage Study Computer-Assisted Telephone Interview (CATI) Survey Results</v>
      </c>
      <c r="C475" s="273" t="str">
        <f t="array" ref="C475">IFerror(INDEX(Papers!D$2:D$998,MATCH($A475, Papers!$A$2:$A$998,0)),"")</f>
        <v>Daan Velthausz, Rotafina Donco, Hannah Skelly and Marga Eichleay</v>
      </c>
      <c r="D475" s="274">
        <f t="array" ref="D475">IFerror(INDEX(Papers!F$2:F$998,MATCH($A475, Papers!$A$2:$A$998,0)),"")</f>
        <v>2016</v>
      </c>
      <c r="E475" s="274">
        <f t="array" ref="E475">IFerror(INDEX(Papers!G$2:G$998,MATCH($A475, Papers!$A$2:$A$998,0)),"")</f>
        <v>2016</v>
      </c>
      <c r="F475" s="274" t="s">
        <v>267</v>
      </c>
      <c r="G475" s="275" t="s">
        <v>9</v>
      </c>
      <c r="H475" s="277" t="s">
        <v>532</v>
      </c>
      <c r="I475" s="277" t="s">
        <v>533</v>
      </c>
      <c r="J475" s="300" t="s">
        <v>541</v>
      </c>
      <c r="K475" s="307"/>
      <c r="L475" s="288">
        <v>0.37</v>
      </c>
      <c r="M475" s="288">
        <v>0.17</v>
      </c>
      <c r="N475" s="313" t="str">
        <f t="shared" si="44"/>
        <v/>
      </c>
      <c r="O475" s="281">
        <f t="shared" si="47"/>
        <v>0.2</v>
      </c>
    </row>
    <row r="476">
      <c r="A476" s="263">
        <v>53.0</v>
      </c>
      <c r="B476" s="264" t="str">
        <f t="array" ref="B476">IFerror(INDEX(Papers!C$2:C$998,MATCH($A476, Papers!$A$2:$A$998,0)),"")</f>
        <v>Mozambique Mobile Access and Usage Study Computer-Assisted Telephone Interview (CATI) Survey Results</v>
      </c>
      <c r="C476" s="264" t="str">
        <f t="array" ref="C476">IFerror(INDEX(Papers!D$2:D$998,MATCH($A476, Papers!$A$2:$A$998,0)),"")</f>
        <v>Daan Velthausz, Rotafina Donco, Hannah Skelly and Marga Eichleay</v>
      </c>
      <c r="D476" s="265">
        <f t="array" ref="D476">IFerror(INDEX(Papers!F$2:F$998,MATCH($A476, Papers!$A$2:$A$998,0)),"")</f>
        <v>2016</v>
      </c>
      <c r="E476" s="265">
        <f t="array" ref="E476">IFerror(INDEX(Papers!G$2:G$998,MATCH($A476, Papers!$A$2:$A$998,0)),"")</f>
        <v>2016</v>
      </c>
      <c r="F476" s="265" t="s">
        <v>267</v>
      </c>
      <c r="G476" s="266" t="s">
        <v>9</v>
      </c>
      <c r="H476" s="282" t="s">
        <v>532</v>
      </c>
      <c r="I476" s="282" t="s">
        <v>533</v>
      </c>
      <c r="J476" s="301" t="s">
        <v>487</v>
      </c>
      <c r="K476" s="289"/>
      <c r="L476" s="285">
        <v>0.1</v>
      </c>
      <c r="M476" s="285">
        <v>0.1</v>
      </c>
      <c r="N476" s="310" t="str">
        <f t="shared" si="44"/>
        <v/>
      </c>
      <c r="O476" s="271">
        <f t="shared" si="47"/>
        <v>0</v>
      </c>
    </row>
    <row r="477">
      <c r="A477" s="272">
        <v>53.0</v>
      </c>
      <c r="B477" s="273" t="str">
        <f t="array" ref="B477">IFerror(INDEX(Papers!C$2:C$998,MATCH($A477, Papers!$A$2:$A$998,0)),"")</f>
        <v>Mozambique Mobile Access and Usage Study Computer-Assisted Telephone Interview (CATI) Survey Results</v>
      </c>
      <c r="C477" s="273" t="str">
        <f t="array" ref="C477">IFerror(INDEX(Papers!D$2:D$998,MATCH($A477, Papers!$A$2:$A$998,0)),"")</f>
        <v>Daan Velthausz, Rotafina Donco, Hannah Skelly and Marga Eichleay</v>
      </c>
      <c r="D477" s="274">
        <f t="array" ref="D477">IFerror(INDEX(Papers!F$2:F$998,MATCH($A477, Papers!$A$2:$A$998,0)),"")</f>
        <v>2016</v>
      </c>
      <c r="E477" s="274">
        <f t="array" ref="E477">IFerror(INDEX(Papers!G$2:G$998,MATCH($A477, Papers!$A$2:$A$998,0)),"")</f>
        <v>2016</v>
      </c>
      <c r="F477" s="274" t="s">
        <v>267</v>
      </c>
      <c r="G477" s="275" t="s">
        <v>9</v>
      </c>
      <c r="H477" s="277" t="s">
        <v>532</v>
      </c>
      <c r="I477" s="277" t="s">
        <v>534</v>
      </c>
      <c r="J477" s="300" t="s">
        <v>487</v>
      </c>
      <c r="K477" s="307"/>
      <c r="L477" s="288">
        <v>0.1</v>
      </c>
      <c r="M477" s="288">
        <v>0.06</v>
      </c>
      <c r="N477" s="313" t="str">
        <f t="shared" si="44"/>
        <v/>
      </c>
      <c r="O477" s="281">
        <f t="shared" si="47"/>
        <v>0.04</v>
      </c>
    </row>
    <row r="478">
      <c r="A478" s="263">
        <v>53.0</v>
      </c>
      <c r="B478" s="264" t="str">
        <f t="array" ref="B478">IFerror(INDEX(Papers!C$2:C$998,MATCH($A478, Papers!$A$2:$A$998,0)),"")</f>
        <v>Mozambique Mobile Access and Usage Study Computer-Assisted Telephone Interview (CATI) Survey Results</v>
      </c>
      <c r="C478" s="264" t="str">
        <f t="array" ref="C478">IFerror(INDEX(Papers!D$2:D$998,MATCH($A478, Papers!$A$2:$A$998,0)),"")</f>
        <v>Daan Velthausz, Rotafina Donco, Hannah Skelly and Marga Eichleay</v>
      </c>
      <c r="D478" s="265">
        <f t="array" ref="D478">IFerror(INDEX(Papers!F$2:F$998,MATCH($A478, Papers!$A$2:$A$998,0)),"")</f>
        <v>2016</v>
      </c>
      <c r="E478" s="265">
        <f t="array" ref="E478">IFerror(INDEX(Papers!G$2:G$998,MATCH($A478, Papers!$A$2:$A$998,0)),"")</f>
        <v>2016</v>
      </c>
      <c r="F478" s="265" t="s">
        <v>267</v>
      </c>
      <c r="G478" s="266" t="s">
        <v>9</v>
      </c>
      <c r="H478" s="282" t="s">
        <v>532</v>
      </c>
      <c r="I478" s="282" t="s">
        <v>533</v>
      </c>
      <c r="J478" s="301" t="s">
        <v>542</v>
      </c>
      <c r="K478" s="289"/>
      <c r="L478" s="310">
        <v>0.13</v>
      </c>
      <c r="M478" s="285">
        <v>0.2</v>
      </c>
      <c r="N478" s="310" t="str">
        <f t="shared" si="44"/>
        <v/>
      </c>
      <c r="O478" s="271">
        <f t="shared" si="47"/>
        <v>-0.07</v>
      </c>
    </row>
    <row r="479">
      <c r="A479" s="272">
        <v>53.0</v>
      </c>
      <c r="B479" s="273" t="str">
        <f t="array" ref="B479">IFerror(INDEX(Papers!C$2:C$998,MATCH($A479, Papers!$A$2:$A$998,0)),"")</f>
        <v>Mozambique Mobile Access and Usage Study Computer-Assisted Telephone Interview (CATI) Survey Results</v>
      </c>
      <c r="C479" s="273" t="str">
        <f t="array" ref="C479">IFerror(INDEX(Papers!D$2:D$998,MATCH($A479, Papers!$A$2:$A$998,0)),"")</f>
        <v>Daan Velthausz, Rotafina Donco, Hannah Skelly and Marga Eichleay</v>
      </c>
      <c r="D479" s="274">
        <f t="array" ref="D479">IFerror(INDEX(Papers!F$2:F$998,MATCH($A479, Papers!$A$2:$A$998,0)),"")</f>
        <v>2016</v>
      </c>
      <c r="E479" s="274">
        <f t="array" ref="E479">IFerror(INDEX(Papers!G$2:G$998,MATCH($A479, Papers!$A$2:$A$998,0)),"")</f>
        <v>2016</v>
      </c>
      <c r="F479" s="274" t="s">
        <v>267</v>
      </c>
      <c r="G479" s="275" t="s">
        <v>9</v>
      </c>
      <c r="H479" s="277" t="s">
        <v>532</v>
      </c>
      <c r="I479" s="277" t="s">
        <v>534</v>
      </c>
      <c r="J479" s="300" t="s">
        <v>542</v>
      </c>
      <c r="K479" s="307"/>
      <c r="L479" s="313">
        <v>0.13</v>
      </c>
      <c r="M479" s="288">
        <v>0.17</v>
      </c>
      <c r="N479" s="313" t="str">
        <f t="shared" si="44"/>
        <v/>
      </c>
      <c r="O479" s="281">
        <f t="shared" si="47"/>
        <v>-0.04</v>
      </c>
    </row>
    <row r="480">
      <c r="A480" s="263">
        <v>53.0</v>
      </c>
      <c r="B480" s="264" t="str">
        <f t="array" ref="B480">IFerror(INDEX(Papers!C$2:C$998,MATCH($A480, Papers!$A$2:$A$998,0)),"")</f>
        <v>Mozambique Mobile Access and Usage Study Computer-Assisted Telephone Interview (CATI) Survey Results</v>
      </c>
      <c r="C480" s="264" t="str">
        <f t="array" ref="C480">IFerror(INDEX(Papers!D$2:D$998,MATCH($A480, Papers!$A$2:$A$998,0)),"")</f>
        <v>Daan Velthausz, Rotafina Donco, Hannah Skelly and Marga Eichleay</v>
      </c>
      <c r="D480" s="265">
        <f t="array" ref="D480">IFerror(INDEX(Papers!F$2:F$998,MATCH($A480, Papers!$A$2:$A$998,0)),"")</f>
        <v>2016</v>
      </c>
      <c r="E480" s="265">
        <f t="array" ref="E480">IFerror(INDEX(Papers!G$2:G$998,MATCH($A480, Papers!$A$2:$A$998,0)),"")</f>
        <v>2016</v>
      </c>
      <c r="F480" s="265" t="s">
        <v>267</v>
      </c>
      <c r="G480" s="266" t="s">
        <v>9</v>
      </c>
      <c r="H480" s="282" t="s">
        <v>532</v>
      </c>
      <c r="I480" s="282" t="s">
        <v>533</v>
      </c>
      <c r="J480" s="301" t="s">
        <v>543</v>
      </c>
      <c r="K480" s="289"/>
      <c r="L480" s="310">
        <v>0.02</v>
      </c>
      <c r="M480" s="285">
        <v>0.7</v>
      </c>
      <c r="N480" s="310" t="str">
        <f t="shared" si="44"/>
        <v/>
      </c>
      <c r="O480" s="271">
        <f t="shared" si="47"/>
        <v>-0.68</v>
      </c>
    </row>
    <row r="481">
      <c r="A481" s="272">
        <v>53.0</v>
      </c>
      <c r="B481" s="273" t="str">
        <f t="array" ref="B481">IFerror(INDEX(Papers!C$2:C$998,MATCH($A481, Papers!$A$2:$A$998,0)),"")</f>
        <v>Mozambique Mobile Access and Usage Study Computer-Assisted Telephone Interview (CATI) Survey Results</v>
      </c>
      <c r="C481" s="273" t="str">
        <f t="array" ref="C481">IFerror(INDEX(Papers!D$2:D$998,MATCH($A481, Papers!$A$2:$A$998,0)),"")</f>
        <v>Daan Velthausz, Rotafina Donco, Hannah Skelly and Marga Eichleay</v>
      </c>
      <c r="D481" s="274">
        <f t="array" ref="D481">IFerror(INDEX(Papers!F$2:F$998,MATCH($A481, Papers!$A$2:$A$998,0)),"")</f>
        <v>2016</v>
      </c>
      <c r="E481" s="274">
        <f t="array" ref="E481">IFerror(INDEX(Papers!G$2:G$998,MATCH($A481, Papers!$A$2:$A$998,0)),"")</f>
        <v>2016</v>
      </c>
      <c r="F481" s="274" t="s">
        <v>267</v>
      </c>
      <c r="G481" s="275" t="s">
        <v>9</v>
      </c>
      <c r="H481" s="277" t="s">
        <v>532</v>
      </c>
      <c r="I481" s="277" t="s">
        <v>534</v>
      </c>
      <c r="J481" s="300" t="s">
        <v>543</v>
      </c>
      <c r="K481" s="307"/>
      <c r="L481" s="313">
        <v>0.02</v>
      </c>
      <c r="M481" s="288">
        <v>0.06</v>
      </c>
      <c r="N481" s="313" t="str">
        <f t="shared" si="44"/>
        <v/>
      </c>
      <c r="O481" s="281">
        <f t="shared" si="47"/>
        <v>-0.04</v>
      </c>
    </row>
    <row r="482">
      <c r="A482" s="263">
        <v>53.0</v>
      </c>
      <c r="B482" s="264" t="str">
        <f t="array" ref="B482">IFerror(INDEX(Papers!C$2:C$998,MATCH($A482, Papers!$A$2:$A$998,0)),"")</f>
        <v>Mozambique Mobile Access and Usage Study Computer-Assisted Telephone Interview (CATI) Survey Results</v>
      </c>
      <c r="C482" s="264" t="str">
        <f t="array" ref="C482">IFerror(INDEX(Papers!D$2:D$998,MATCH($A482, Papers!$A$2:$A$998,0)),"")</f>
        <v>Daan Velthausz, Rotafina Donco, Hannah Skelly and Marga Eichleay</v>
      </c>
      <c r="D482" s="265">
        <f t="array" ref="D482">IFerror(INDEX(Papers!F$2:F$998,MATCH($A482, Papers!$A$2:$A$998,0)),"")</f>
        <v>2016</v>
      </c>
      <c r="E482" s="265">
        <f t="array" ref="E482">IFerror(INDEX(Papers!G$2:G$998,MATCH($A482, Papers!$A$2:$A$998,0)),"")</f>
        <v>2016</v>
      </c>
      <c r="F482" s="265" t="s">
        <v>267</v>
      </c>
      <c r="G482" s="266" t="s">
        <v>9</v>
      </c>
      <c r="H482" s="282" t="s">
        <v>532</v>
      </c>
      <c r="I482" s="282" t="s">
        <v>533</v>
      </c>
      <c r="J482" s="301" t="s">
        <v>544</v>
      </c>
      <c r="K482" s="289"/>
      <c r="L482" s="310">
        <v>0.13</v>
      </c>
      <c r="M482" s="285">
        <v>0.19</v>
      </c>
      <c r="N482" s="310" t="str">
        <f t="shared" si="44"/>
        <v/>
      </c>
      <c r="O482" s="271">
        <f t="shared" si="47"/>
        <v>-0.06</v>
      </c>
    </row>
    <row r="483">
      <c r="A483" s="272">
        <v>53.0</v>
      </c>
      <c r="B483" s="273" t="str">
        <f t="array" ref="B483">IFerror(INDEX(Papers!C$2:C$998,MATCH($A483, Papers!$A$2:$A$998,0)),"")</f>
        <v>Mozambique Mobile Access and Usage Study Computer-Assisted Telephone Interview (CATI) Survey Results</v>
      </c>
      <c r="C483" s="273" t="str">
        <f t="array" ref="C483">IFerror(INDEX(Papers!D$2:D$998,MATCH($A483, Papers!$A$2:$A$998,0)),"")</f>
        <v>Daan Velthausz, Rotafina Donco, Hannah Skelly and Marga Eichleay</v>
      </c>
      <c r="D483" s="274">
        <f t="array" ref="D483">IFerror(INDEX(Papers!F$2:F$998,MATCH($A483, Papers!$A$2:$A$998,0)),"")</f>
        <v>2016</v>
      </c>
      <c r="E483" s="274">
        <f t="array" ref="E483">IFerror(INDEX(Papers!G$2:G$998,MATCH($A483, Papers!$A$2:$A$998,0)),"")</f>
        <v>2016</v>
      </c>
      <c r="F483" s="274" t="s">
        <v>267</v>
      </c>
      <c r="G483" s="275" t="s">
        <v>9</v>
      </c>
      <c r="H483" s="277" t="s">
        <v>532</v>
      </c>
      <c r="I483" s="277" t="s">
        <v>534</v>
      </c>
      <c r="J483" s="300" t="s">
        <v>544</v>
      </c>
      <c r="K483" s="307"/>
      <c r="L483" s="313">
        <v>0.13</v>
      </c>
      <c r="M483" s="288">
        <v>0.16</v>
      </c>
      <c r="N483" s="313" t="str">
        <f t="shared" si="44"/>
        <v/>
      </c>
      <c r="O483" s="281">
        <f t="shared" si="47"/>
        <v>-0.03</v>
      </c>
    </row>
    <row r="484">
      <c r="A484" s="263">
        <v>53.0</v>
      </c>
      <c r="B484" s="264" t="str">
        <f t="array" ref="B484">IFerror(INDEX(Papers!C$2:C$998,MATCH($A484, Papers!$A$2:$A$998,0)),"")</f>
        <v>Mozambique Mobile Access and Usage Study Computer-Assisted Telephone Interview (CATI) Survey Results</v>
      </c>
      <c r="C484" s="264" t="str">
        <f t="array" ref="C484">IFerror(INDEX(Papers!D$2:D$998,MATCH($A484, Papers!$A$2:$A$998,0)),"")</f>
        <v>Daan Velthausz, Rotafina Donco, Hannah Skelly and Marga Eichleay</v>
      </c>
      <c r="D484" s="265">
        <f t="array" ref="D484">IFerror(INDEX(Papers!F$2:F$998,MATCH($A484, Papers!$A$2:$A$998,0)),"")</f>
        <v>2016</v>
      </c>
      <c r="E484" s="265">
        <f t="array" ref="E484">IFerror(INDEX(Papers!G$2:G$998,MATCH($A484, Papers!$A$2:$A$998,0)),"")</f>
        <v>2016</v>
      </c>
      <c r="F484" s="265" t="s">
        <v>267</v>
      </c>
      <c r="G484" s="266" t="s">
        <v>9</v>
      </c>
      <c r="H484" s="282" t="s">
        <v>532</v>
      </c>
      <c r="I484" s="282" t="s">
        <v>534</v>
      </c>
      <c r="J484" s="301" t="s">
        <v>545</v>
      </c>
      <c r="K484" s="289"/>
      <c r="L484" s="310">
        <v>0.09</v>
      </c>
      <c r="M484" s="285">
        <v>0.15</v>
      </c>
      <c r="N484" s="310" t="str">
        <f t="shared" si="44"/>
        <v/>
      </c>
      <c r="O484" s="271">
        <f t="shared" si="47"/>
        <v>-0.06</v>
      </c>
    </row>
    <row r="485">
      <c r="A485" s="272">
        <v>53.0</v>
      </c>
      <c r="B485" s="273" t="str">
        <f t="array" ref="B485">IFerror(INDEX(Papers!C$2:C$998,MATCH($A485, Papers!$A$2:$A$998,0)),"")</f>
        <v>Mozambique Mobile Access and Usage Study Computer-Assisted Telephone Interview (CATI) Survey Results</v>
      </c>
      <c r="C485" s="273" t="str">
        <f t="array" ref="C485">IFerror(INDEX(Papers!D$2:D$998,MATCH($A485, Papers!$A$2:$A$998,0)),"")</f>
        <v>Daan Velthausz, Rotafina Donco, Hannah Skelly and Marga Eichleay</v>
      </c>
      <c r="D485" s="274">
        <f t="array" ref="D485">IFerror(INDEX(Papers!F$2:F$998,MATCH($A485, Papers!$A$2:$A$998,0)),"")</f>
        <v>2016</v>
      </c>
      <c r="E485" s="274">
        <f t="array" ref="E485">IFerror(INDEX(Papers!G$2:G$998,MATCH($A485, Papers!$A$2:$A$998,0)),"")</f>
        <v>2016</v>
      </c>
      <c r="F485" s="274" t="s">
        <v>267</v>
      </c>
      <c r="G485" s="275" t="s">
        <v>9</v>
      </c>
      <c r="H485" s="277" t="s">
        <v>532</v>
      </c>
      <c r="I485" s="277" t="s">
        <v>533</v>
      </c>
      <c r="J485" s="300" t="s">
        <v>545</v>
      </c>
      <c r="K485" s="307"/>
      <c r="L485" s="313">
        <v>0.09</v>
      </c>
      <c r="M485" s="288">
        <v>0.11</v>
      </c>
      <c r="N485" s="313" t="str">
        <f t="shared" si="44"/>
        <v/>
      </c>
      <c r="O485" s="281">
        <f t="shared" si="47"/>
        <v>-0.02</v>
      </c>
    </row>
    <row r="486">
      <c r="A486" s="263">
        <v>53.0</v>
      </c>
      <c r="B486" s="264" t="str">
        <f t="array" ref="B486">IFerror(INDEX(Papers!C$2:C$998,MATCH($A486, Papers!$A$2:$A$998,0)),"")</f>
        <v>Mozambique Mobile Access and Usage Study Computer-Assisted Telephone Interview (CATI) Survey Results</v>
      </c>
      <c r="C486" s="264" t="str">
        <f t="array" ref="C486">IFerror(INDEX(Papers!D$2:D$998,MATCH($A486, Papers!$A$2:$A$998,0)),"")</f>
        <v>Daan Velthausz, Rotafina Donco, Hannah Skelly and Marga Eichleay</v>
      </c>
      <c r="D486" s="265">
        <f t="array" ref="D486">IFerror(INDEX(Papers!F$2:F$998,MATCH($A486, Papers!$A$2:$A$998,0)),"")</f>
        <v>2016</v>
      </c>
      <c r="E486" s="265">
        <f t="array" ref="E486">IFerror(INDEX(Papers!G$2:G$998,MATCH($A486, Papers!$A$2:$A$998,0)),"")</f>
        <v>2016</v>
      </c>
      <c r="F486" s="265" t="s">
        <v>267</v>
      </c>
      <c r="G486" s="266" t="s">
        <v>9</v>
      </c>
      <c r="H486" s="282" t="s">
        <v>532</v>
      </c>
      <c r="I486" s="282" t="s">
        <v>533</v>
      </c>
      <c r="J486" s="301" t="s">
        <v>546</v>
      </c>
      <c r="K486" s="289"/>
      <c r="L486" s="310">
        <v>0.04</v>
      </c>
      <c r="M486" s="285">
        <v>0.1</v>
      </c>
      <c r="N486" s="310" t="str">
        <f t="shared" si="44"/>
        <v/>
      </c>
      <c r="O486" s="271">
        <f t="shared" si="47"/>
        <v>-0.06</v>
      </c>
    </row>
    <row r="487">
      <c r="A487" s="272">
        <v>53.0</v>
      </c>
      <c r="B487" s="273" t="str">
        <f t="array" ref="B487">IFerror(INDEX(Papers!C$2:C$998,MATCH($A487, Papers!$A$2:$A$998,0)),"")</f>
        <v>Mozambique Mobile Access and Usage Study Computer-Assisted Telephone Interview (CATI) Survey Results</v>
      </c>
      <c r="C487" s="273" t="str">
        <f t="array" ref="C487">IFerror(INDEX(Papers!D$2:D$998,MATCH($A487, Papers!$A$2:$A$998,0)),"")</f>
        <v>Daan Velthausz, Rotafina Donco, Hannah Skelly and Marga Eichleay</v>
      </c>
      <c r="D487" s="274">
        <f t="array" ref="D487">IFerror(INDEX(Papers!F$2:F$998,MATCH($A487, Papers!$A$2:$A$998,0)),"")</f>
        <v>2016</v>
      </c>
      <c r="E487" s="274">
        <f t="array" ref="E487">IFerror(INDEX(Papers!G$2:G$998,MATCH($A487, Papers!$A$2:$A$998,0)),"")</f>
        <v>2016</v>
      </c>
      <c r="F487" s="274" t="s">
        <v>267</v>
      </c>
      <c r="G487" s="275" t="s">
        <v>9</v>
      </c>
      <c r="H487" s="277" t="s">
        <v>532</v>
      </c>
      <c r="I487" s="277" t="s">
        <v>534</v>
      </c>
      <c r="J487" s="300" t="s">
        <v>546</v>
      </c>
      <c r="K487" s="307"/>
      <c r="L487" s="313">
        <v>0.04</v>
      </c>
      <c r="M487" s="288">
        <v>0.07</v>
      </c>
      <c r="N487" s="313" t="str">
        <f t="shared" si="44"/>
        <v/>
      </c>
      <c r="O487" s="281">
        <f t="shared" si="47"/>
        <v>-0.03</v>
      </c>
    </row>
    <row r="488">
      <c r="A488" s="263">
        <v>53.0</v>
      </c>
      <c r="B488" s="264" t="str">
        <f t="array" ref="B488">IFerror(INDEX(Papers!C$2:C$998,MATCH($A488, Papers!$A$2:$A$998,0)),"")</f>
        <v>Mozambique Mobile Access and Usage Study Computer-Assisted Telephone Interview (CATI) Survey Results</v>
      </c>
      <c r="C488" s="264" t="str">
        <f t="array" ref="C488">IFerror(INDEX(Papers!D$2:D$998,MATCH($A488, Papers!$A$2:$A$998,0)),"")</f>
        <v>Daan Velthausz, Rotafina Donco, Hannah Skelly and Marga Eichleay</v>
      </c>
      <c r="D488" s="265">
        <f t="array" ref="D488">IFerror(INDEX(Papers!F$2:F$998,MATCH($A488, Papers!$A$2:$A$998,0)),"")</f>
        <v>2016</v>
      </c>
      <c r="E488" s="265">
        <f t="array" ref="E488">IFerror(INDEX(Papers!G$2:G$998,MATCH($A488, Papers!$A$2:$A$998,0)),"")</f>
        <v>2016</v>
      </c>
      <c r="F488" s="265" t="s">
        <v>267</v>
      </c>
      <c r="G488" s="266" t="s">
        <v>9</v>
      </c>
      <c r="H488" s="282" t="s">
        <v>532</v>
      </c>
      <c r="I488" s="282" t="s">
        <v>534</v>
      </c>
      <c r="J488" s="301" t="s">
        <v>490</v>
      </c>
      <c r="K488" s="289"/>
      <c r="L488" s="285">
        <v>0.1</v>
      </c>
      <c r="M488" s="285">
        <v>0.15</v>
      </c>
      <c r="N488" s="310" t="str">
        <f t="shared" si="44"/>
        <v/>
      </c>
      <c r="O488" s="271">
        <f t="shared" si="47"/>
        <v>-0.05</v>
      </c>
    </row>
    <row r="489">
      <c r="A489" s="272">
        <v>53.0</v>
      </c>
      <c r="B489" s="273" t="str">
        <f t="array" ref="B489">IFerror(INDEX(Papers!C$2:C$998,MATCH($A489, Papers!$A$2:$A$998,0)),"")</f>
        <v>Mozambique Mobile Access and Usage Study Computer-Assisted Telephone Interview (CATI) Survey Results</v>
      </c>
      <c r="C489" s="273" t="str">
        <f t="array" ref="C489">IFerror(INDEX(Papers!D$2:D$998,MATCH($A489, Papers!$A$2:$A$998,0)),"")</f>
        <v>Daan Velthausz, Rotafina Donco, Hannah Skelly and Marga Eichleay</v>
      </c>
      <c r="D489" s="274">
        <f t="array" ref="D489">IFerror(INDEX(Papers!F$2:F$998,MATCH($A489, Papers!$A$2:$A$998,0)),"")</f>
        <v>2016</v>
      </c>
      <c r="E489" s="274">
        <f t="array" ref="E489">IFerror(INDEX(Papers!G$2:G$998,MATCH($A489, Papers!$A$2:$A$998,0)),"")</f>
        <v>2016</v>
      </c>
      <c r="F489" s="274" t="s">
        <v>267</v>
      </c>
      <c r="G489" s="275" t="s">
        <v>9</v>
      </c>
      <c r="H489" s="277" t="s">
        <v>532</v>
      </c>
      <c r="I489" s="277" t="s">
        <v>533</v>
      </c>
      <c r="J489" s="300" t="s">
        <v>490</v>
      </c>
      <c r="K489" s="307"/>
      <c r="L489" s="288">
        <v>0.1</v>
      </c>
      <c r="M489" s="288">
        <v>0.07</v>
      </c>
      <c r="N489" s="313" t="str">
        <f t="shared" si="44"/>
        <v/>
      </c>
      <c r="O489" s="281">
        <f t="shared" si="47"/>
        <v>0.03</v>
      </c>
    </row>
    <row r="490">
      <c r="A490" s="263">
        <v>60.0</v>
      </c>
      <c r="B490" s="264" t="str">
        <f t="array" ref="B490">IFerror(INDEX(Papers!C$2:C$998,MATCH($A490, Papers!$A$2:$A$998,0)),"")</f>
        <v>Not your average job: Measuring farm labor in Tanzania</v>
      </c>
      <c r="C490" s="264" t="str">
        <f t="array" ref="C490">IFerror(INDEX(Papers!D$2:D$998,MATCH($A490, Papers!$A$2:$A$998,0)),"")</f>
        <v>Vellore Arthi, Kathleen Beegle,Joachim De Weerdt, Amparo Palacios-López</v>
      </c>
      <c r="D490" s="265">
        <f t="array" ref="D490">IFerror(INDEX(Papers!F$2:F$998,MATCH($A490, Papers!$A$2:$A$998,0)),"")</f>
        <v>2018</v>
      </c>
      <c r="E490" s="265">
        <f t="array" ref="E490">IFerror(INDEX(Papers!G$2:G$998,MATCH($A490, Papers!$A$2:$A$998,0)),"")</f>
        <v>2014</v>
      </c>
      <c r="F490" s="265" t="s">
        <v>257</v>
      </c>
      <c r="G490" s="266" t="s">
        <v>9</v>
      </c>
      <c r="H490" s="322" t="s">
        <v>347</v>
      </c>
      <c r="I490" s="282" t="s">
        <v>547</v>
      </c>
      <c r="J490" s="301" t="s">
        <v>418</v>
      </c>
      <c r="K490" s="289"/>
      <c r="L490" s="310">
        <v>20.98</v>
      </c>
      <c r="M490" s="310">
        <v>22.47</v>
      </c>
      <c r="N490" s="310" t="str">
        <f t="shared" si="44"/>
        <v/>
      </c>
      <c r="O490" s="271">
        <f t="shared" si="47"/>
        <v>-1.49</v>
      </c>
    </row>
    <row r="491">
      <c r="A491" s="272">
        <v>60.0</v>
      </c>
      <c r="B491" s="273" t="str">
        <f t="array" ref="B491">IFerror(INDEX(Papers!C$2:C$998,MATCH($A491, Papers!$A$2:$A$998,0)),"")</f>
        <v>Not your average job: Measuring farm labor in Tanzania</v>
      </c>
      <c r="C491" s="273" t="str">
        <f t="array" ref="C491">IFerror(INDEX(Papers!D$2:D$998,MATCH($A491, Papers!$A$2:$A$998,0)),"")</f>
        <v>Vellore Arthi, Kathleen Beegle,Joachim De Weerdt, Amparo Palacios-López</v>
      </c>
      <c r="D491" s="274">
        <f t="array" ref="D491">IFerror(INDEX(Papers!F$2:F$998,MATCH($A491, Papers!$A$2:$A$998,0)),"")</f>
        <v>2018</v>
      </c>
      <c r="E491" s="274">
        <f t="array" ref="E491">IFerror(INDEX(Papers!G$2:G$998,MATCH($A491, Papers!$A$2:$A$998,0)),"")</f>
        <v>2014</v>
      </c>
      <c r="F491" s="274" t="s">
        <v>257</v>
      </c>
      <c r="G491" s="275" t="s">
        <v>9</v>
      </c>
      <c r="H491" s="323" t="s">
        <v>347</v>
      </c>
      <c r="I491" s="277" t="s">
        <v>547</v>
      </c>
      <c r="J491" s="300" t="s">
        <v>548</v>
      </c>
      <c r="K491" s="307"/>
      <c r="L491" s="313">
        <v>0.28</v>
      </c>
      <c r="M491" s="313">
        <v>0.32</v>
      </c>
      <c r="N491" s="313" t="str">
        <f t="shared" si="44"/>
        <v/>
      </c>
      <c r="O491" s="281">
        <f t="shared" si="47"/>
        <v>-0.04</v>
      </c>
    </row>
    <row r="492">
      <c r="A492" s="263">
        <v>60.0</v>
      </c>
      <c r="B492" s="264" t="str">
        <f t="array" ref="B492">IFerror(INDEX(Papers!C$2:C$998,MATCH($A492, Papers!$A$2:$A$998,0)),"")</f>
        <v>Not your average job: Measuring farm labor in Tanzania</v>
      </c>
      <c r="C492" s="264" t="str">
        <f t="array" ref="C492">IFerror(INDEX(Papers!D$2:D$998,MATCH($A492, Papers!$A$2:$A$998,0)),"")</f>
        <v>Vellore Arthi, Kathleen Beegle,Joachim De Weerdt, Amparo Palacios-López</v>
      </c>
      <c r="D492" s="265">
        <f t="array" ref="D492">IFerror(INDEX(Papers!F$2:F$998,MATCH($A492, Papers!$A$2:$A$998,0)),"")</f>
        <v>2018</v>
      </c>
      <c r="E492" s="265">
        <f t="array" ref="E492">IFerror(INDEX(Papers!G$2:G$998,MATCH($A492, Papers!$A$2:$A$998,0)),"")</f>
        <v>2014</v>
      </c>
      <c r="F492" s="265" t="s">
        <v>257</v>
      </c>
      <c r="G492" s="266" t="s">
        <v>9</v>
      </c>
      <c r="H492" s="322" t="s">
        <v>347</v>
      </c>
      <c r="I492" s="282" t="s">
        <v>547</v>
      </c>
      <c r="J492" s="268" t="s">
        <v>549</v>
      </c>
      <c r="K492" s="289"/>
      <c r="L492" s="310">
        <v>0.58</v>
      </c>
      <c r="M492" s="310">
        <v>0.61</v>
      </c>
      <c r="N492" s="310" t="str">
        <f t="shared" si="44"/>
        <v/>
      </c>
      <c r="O492" s="271">
        <f t="shared" si="47"/>
        <v>-0.03</v>
      </c>
    </row>
    <row r="493">
      <c r="A493" s="272">
        <v>60.0</v>
      </c>
      <c r="B493" s="273" t="str">
        <f t="array" ref="B493">IFerror(INDEX(Papers!C$2:C$998,MATCH($A493, Papers!$A$2:$A$998,0)),"")</f>
        <v>Not your average job: Measuring farm labor in Tanzania</v>
      </c>
      <c r="C493" s="273" t="str">
        <f t="array" ref="C493">IFerror(INDEX(Papers!D$2:D$998,MATCH($A493, Papers!$A$2:$A$998,0)),"")</f>
        <v>Vellore Arthi, Kathleen Beegle,Joachim De Weerdt, Amparo Palacios-López</v>
      </c>
      <c r="D493" s="274">
        <f t="array" ref="D493">IFerror(INDEX(Papers!F$2:F$998,MATCH($A493, Papers!$A$2:$A$998,0)),"")</f>
        <v>2018</v>
      </c>
      <c r="E493" s="274">
        <f t="array" ref="E493">IFerror(INDEX(Papers!G$2:G$998,MATCH($A493, Papers!$A$2:$A$998,0)),"")</f>
        <v>2014</v>
      </c>
      <c r="F493" s="274" t="s">
        <v>257</v>
      </c>
      <c r="G493" s="275" t="s">
        <v>9</v>
      </c>
      <c r="H493" s="323" t="s">
        <v>347</v>
      </c>
      <c r="I493" s="277" t="s">
        <v>547</v>
      </c>
      <c r="J493" s="278" t="s">
        <v>436</v>
      </c>
      <c r="K493" s="307"/>
      <c r="L493" s="313">
        <v>0.49</v>
      </c>
      <c r="M493" s="313">
        <v>0.48</v>
      </c>
      <c r="N493" s="313" t="str">
        <f t="shared" si="44"/>
        <v/>
      </c>
      <c r="O493" s="281">
        <f t="shared" si="47"/>
        <v>0.01</v>
      </c>
    </row>
    <row r="494">
      <c r="A494" s="263">
        <v>62.0</v>
      </c>
      <c r="B494" s="264" t="str">
        <f t="array" ref="B494">IFerror(INDEX(Papers!C$2:C$998,MATCH($A494, Papers!$A$2:$A$998,0)),"")</f>
        <v>Cell phone and face-to-face interview responses in population-based surveys: how do they compare? </v>
      </c>
      <c r="C494" s="264" t="str">
        <f t="array" ref="C494">IFerror(INDEX(Papers!D$2:D$998,MATCH($A494, Papers!$A$2:$A$998,0)),"")</f>
        <v>Ziyad Mahfoud, Lilian Ghandour, Blanche Ghandour, Ali Mokdad, and Abla Sibai</v>
      </c>
      <c r="D494" s="265">
        <f t="array" ref="D494">IFerror(INDEX(Papers!F$2:F$998,MATCH($A494, Papers!$A$2:$A$998,0)),"")</f>
        <v>2014</v>
      </c>
      <c r="E494" s="265">
        <f t="array" ref="E494">IFerror(INDEX(Papers!G$2:G$998,MATCH($A494, Papers!$A$2:$A$998,0)),"")</f>
        <v>2010</v>
      </c>
      <c r="F494" s="265" t="s">
        <v>314</v>
      </c>
      <c r="G494" s="266" t="s">
        <v>9</v>
      </c>
      <c r="H494" s="282" t="s">
        <v>550</v>
      </c>
      <c r="I494" s="282" t="s">
        <v>551</v>
      </c>
      <c r="J494" s="301" t="s">
        <v>552</v>
      </c>
      <c r="K494" s="289"/>
      <c r="L494" s="271">
        <f>294/630</f>
        <v>0.4666666667</v>
      </c>
      <c r="M494" s="285">
        <f>298/630</f>
        <v>0.473015873</v>
      </c>
      <c r="N494" s="310" t="str">
        <f t="shared" si="44"/>
        <v/>
      </c>
      <c r="O494" s="271">
        <f t="shared" si="47"/>
        <v>-0.006349206349</v>
      </c>
    </row>
    <row r="495">
      <c r="A495" s="272">
        <v>62.0</v>
      </c>
      <c r="B495" s="273" t="str">
        <f t="array" ref="B495">IFerror(INDEX(Papers!C$2:C$998,MATCH($A495, Papers!$A$2:$A$998,0)),"")</f>
        <v>Cell phone and face-to-face interview responses in population-based surveys: how do they compare? </v>
      </c>
      <c r="C495" s="273" t="str">
        <f t="array" ref="C495">IFerror(INDEX(Papers!D$2:D$998,MATCH($A495, Papers!$A$2:$A$998,0)),"")</f>
        <v>Ziyad Mahfoud, Lilian Ghandour, Blanche Ghandour, Ali Mokdad, and Abla Sibai</v>
      </c>
      <c r="D495" s="274">
        <f t="array" ref="D495">IFerror(INDEX(Papers!F$2:F$998,MATCH($A495, Papers!$A$2:$A$998,0)),"")</f>
        <v>2014</v>
      </c>
      <c r="E495" s="274">
        <f t="array" ref="E495">IFerror(INDEX(Papers!G$2:G$998,MATCH($A495, Papers!$A$2:$A$998,0)),"")</f>
        <v>2010</v>
      </c>
      <c r="F495" s="274" t="s">
        <v>314</v>
      </c>
      <c r="G495" s="275" t="s">
        <v>9</v>
      </c>
      <c r="H495" s="277" t="s">
        <v>550</v>
      </c>
      <c r="I495" s="277" t="s">
        <v>551</v>
      </c>
      <c r="J495" s="300" t="s">
        <v>442</v>
      </c>
      <c r="K495" s="307"/>
      <c r="L495" s="281">
        <f>244/630</f>
        <v>0.3873015873</v>
      </c>
      <c r="M495" s="288">
        <f>246/630</f>
        <v>0.3904761905</v>
      </c>
      <c r="N495" s="313" t="str">
        <f t="shared" si="44"/>
        <v/>
      </c>
      <c r="O495" s="281">
        <f t="shared" si="47"/>
        <v>-0.003174603175</v>
      </c>
    </row>
    <row r="496">
      <c r="A496" s="263">
        <v>62.0</v>
      </c>
      <c r="B496" s="264" t="str">
        <f t="array" ref="B496">IFerror(INDEX(Papers!C$2:C$998,MATCH($A496, Papers!$A$2:$A$998,0)),"")</f>
        <v>Cell phone and face-to-face interview responses in population-based surveys: how do they compare? </v>
      </c>
      <c r="C496" s="264" t="str">
        <f t="array" ref="C496">IFerror(INDEX(Papers!D$2:D$998,MATCH($A496, Papers!$A$2:$A$998,0)),"")</f>
        <v>Ziyad Mahfoud, Lilian Ghandour, Blanche Ghandour, Ali Mokdad, and Abla Sibai</v>
      </c>
      <c r="D496" s="265">
        <f t="array" ref="D496">IFerror(INDEX(Papers!F$2:F$998,MATCH($A496, Papers!$A$2:$A$998,0)),"")</f>
        <v>2014</v>
      </c>
      <c r="E496" s="265">
        <f t="array" ref="E496">IFerror(INDEX(Papers!G$2:G$998,MATCH($A496, Papers!$A$2:$A$998,0)),"")</f>
        <v>2010</v>
      </c>
      <c r="F496" s="265" t="s">
        <v>314</v>
      </c>
      <c r="G496" s="266" t="s">
        <v>9</v>
      </c>
      <c r="H496" s="282" t="s">
        <v>550</v>
      </c>
      <c r="I496" s="282" t="s">
        <v>551</v>
      </c>
      <c r="J496" s="301" t="s">
        <v>443</v>
      </c>
      <c r="K496" s="289"/>
      <c r="L496" s="271">
        <f>91/630</f>
        <v>0.1444444444</v>
      </c>
      <c r="M496" s="285">
        <f>85/630</f>
        <v>0.1349206349</v>
      </c>
      <c r="N496" s="310" t="str">
        <f t="shared" si="44"/>
        <v/>
      </c>
      <c r="O496" s="271">
        <f t="shared" si="47"/>
        <v>0.009523809524</v>
      </c>
    </row>
    <row r="497">
      <c r="A497" s="272">
        <v>62.0</v>
      </c>
      <c r="B497" s="273" t="str">
        <f t="array" ref="B497">IFerror(INDEX(Papers!C$2:C$998,MATCH($A497, Papers!$A$2:$A$998,0)),"")</f>
        <v>Cell phone and face-to-face interview responses in population-based surveys: how do they compare? </v>
      </c>
      <c r="C497" s="273" t="str">
        <f t="array" ref="C497">IFerror(INDEX(Papers!D$2:D$998,MATCH($A497, Papers!$A$2:$A$998,0)),"")</f>
        <v>Ziyad Mahfoud, Lilian Ghandour, Blanche Ghandour, Ali Mokdad, and Abla Sibai</v>
      </c>
      <c r="D497" s="274">
        <f t="array" ref="D497">IFerror(INDEX(Papers!F$2:F$998,MATCH($A497, Papers!$A$2:$A$998,0)),"")</f>
        <v>2014</v>
      </c>
      <c r="E497" s="274">
        <f t="array" ref="E497">IFerror(INDEX(Papers!G$2:G$998,MATCH($A497, Papers!$A$2:$A$998,0)),"")</f>
        <v>2010</v>
      </c>
      <c r="F497" s="274" t="s">
        <v>314</v>
      </c>
      <c r="G497" s="275" t="s">
        <v>9</v>
      </c>
      <c r="H497" s="277" t="s">
        <v>550</v>
      </c>
      <c r="I497" s="277" t="s">
        <v>551</v>
      </c>
      <c r="J497" s="300" t="s">
        <v>553</v>
      </c>
      <c r="K497" s="307"/>
      <c r="L497" s="281">
        <f>162/630</f>
        <v>0.2571428571</v>
      </c>
      <c r="M497" s="288">
        <f>148/630</f>
        <v>0.2349206349</v>
      </c>
      <c r="N497" s="313" t="str">
        <f t="shared" si="44"/>
        <v/>
      </c>
      <c r="O497" s="281">
        <f t="shared" si="47"/>
        <v>0.02222222222</v>
      </c>
    </row>
    <row r="498">
      <c r="A498" s="263">
        <v>62.0</v>
      </c>
      <c r="B498" s="264" t="str">
        <f t="array" ref="B498">IFerror(INDEX(Papers!C$2:C$998,MATCH($A498, Papers!$A$2:$A$998,0)),"")</f>
        <v>Cell phone and face-to-face interview responses in population-based surveys: how do they compare? </v>
      </c>
      <c r="C498" s="264" t="str">
        <f t="array" ref="C498">IFerror(INDEX(Papers!D$2:D$998,MATCH($A498, Papers!$A$2:$A$998,0)),"")</f>
        <v>Ziyad Mahfoud, Lilian Ghandour, Blanche Ghandour, Ali Mokdad, and Abla Sibai</v>
      </c>
      <c r="D498" s="265">
        <f t="array" ref="D498">IFerror(INDEX(Papers!F$2:F$998,MATCH($A498, Papers!$A$2:$A$998,0)),"")</f>
        <v>2014</v>
      </c>
      <c r="E498" s="265">
        <f t="array" ref="E498">IFerror(INDEX(Papers!G$2:G$998,MATCH($A498, Papers!$A$2:$A$998,0)),"")</f>
        <v>2010</v>
      </c>
      <c r="F498" s="265" t="s">
        <v>314</v>
      </c>
      <c r="G498" s="266" t="s">
        <v>9</v>
      </c>
      <c r="H498" s="282" t="s">
        <v>550</v>
      </c>
      <c r="I498" s="282" t="s">
        <v>551</v>
      </c>
      <c r="J498" s="301" t="s">
        <v>484</v>
      </c>
      <c r="K498" s="289"/>
      <c r="L498" s="271">
        <f>77/630</f>
        <v>0.1222222222</v>
      </c>
      <c r="M498" s="285">
        <f>69/630</f>
        <v>0.1095238095</v>
      </c>
      <c r="N498" s="310" t="str">
        <f t="shared" si="44"/>
        <v/>
      </c>
      <c r="O498" s="271">
        <f t="shared" si="47"/>
        <v>0.0126984127</v>
      </c>
    </row>
    <row r="499">
      <c r="A499" s="272">
        <v>62.0</v>
      </c>
      <c r="B499" s="273" t="str">
        <f t="array" ref="B499">IFerror(INDEX(Papers!C$2:C$998,MATCH($A499, Papers!$A$2:$A$998,0)),"")</f>
        <v>Cell phone and face-to-face interview responses in population-based surveys: how do they compare? </v>
      </c>
      <c r="C499" s="273" t="str">
        <f t="array" ref="C499">IFerror(INDEX(Papers!D$2:D$998,MATCH($A499, Papers!$A$2:$A$998,0)),"")</f>
        <v>Ziyad Mahfoud, Lilian Ghandour, Blanche Ghandour, Ali Mokdad, and Abla Sibai</v>
      </c>
      <c r="D499" s="274">
        <f t="array" ref="D499">IFerror(INDEX(Papers!F$2:F$998,MATCH($A499, Papers!$A$2:$A$998,0)),"")</f>
        <v>2014</v>
      </c>
      <c r="E499" s="274">
        <f t="array" ref="E499">IFerror(INDEX(Papers!G$2:G$998,MATCH($A499, Papers!$A$2:$A$998,0)),"")</f>
        <v>2010</v>
      </c>
      <c r="F499" s="274" t="s">
        <v>314</v>
      </c>
      <c r="G499" s="275" t="s">
        <v>9</v>
      </c>
      <c r="H499" s="277" t="s">
        <v>550</v>
      </c>
      <c r="I499" s="277" t="s">
        <v>551</v>
      </c>
      <c r="J499" s="300" t="s">
        <v>554</v>
      </c>
      <c r="K499" s="307"/>
      <c r="L499" s="281">
        <f>164/630</f>
        <v>0.2603174603</v>
      </c>
      <c r="M499" s="288">
        <f>175/630</f>
        <v>0.2777777778</v>
      </c>
      <c r="N499" s="313" t="str">
        <f t="shared" si="44"/>
        <v/>
      </c>
      <c r="O499" s="281">
        <f t="shared" si="47"/>
        <v>-0.01746031746</v>
      </c>
    </row>
    <row r="500">
      <c r="A500" s="263">
        <v>62.0</v>
      </c>
      <c r="B500" s="264" t="str">
        <f t="array" ref="B500">IFerror(INDEX(Papers!C$2:C$998,MATCH($A500, Papers!$A$2:$A$998,0)),"")</f>
        <v>Cell phone and face-to-face interview responses in population-based surveys: how do they compare? </v>
      </c>
      <c r="C500" s="264" t="str">
        <f t="array" ref="C500">IFerror(INDEX(Papers!D$2:D$998,MATCH($A500, Papers!$A$2:$A$998,0)),"")</f>
        <v>Ziyad Mahfoud, Lilian Ghandour, Blanche Ghandour, Ali Mokdad, and Abla Sibai</v>
      </c>
      <c r="D500" s="265">
        <f t="array" ref="D500">IFerror(INDEX(Papers!F$2:F$998,MATCH($A500, Papers!$A$2:$A$998,0)),"")</f>
        <v>2014</v>
      </c>
      <c r="E500" s="265">
        <f t="array" ref="E500">IFerror(INDEX(Papers!G$2:G$998,MATCH($A500, Papers!$A$2:$A$998,0)),"")</f>
        <v>2010</v>
      </c>
      <c r="F500" s="265" t="s">
        <v>314</v>
      </c>
      <c r="G500" s="266" t="s">
        <v>9</v>
      </c>
      <c r="H500" s="282" t="s">
        <v>550</v>
      </c>
      <c r="I500" s="282" t="s">
        <v>551</v>
      </c>
      <c r="J500" s="301" t="s">
        <v>555</v>
      </c>
      <c r="K500" s="289"/>
      <c r="L500" s="271">
        <f>227/630</f>
        <v>0.3603174603</v>
      </c>
      <c r="M500" s="285">
        <f>238/630</f>
        <v>0.3777777778</v>
      </c>
      <c r="N500" s="310" t="str">
        <f t="shared" si="44"/>
        <v/>
      </c>
      <c r="O500" s="271">
        <f t="shared" si="47"/>
        <v>-0.01746031746</v>
      </c>
    </row>
    <row r="501">
      <c r="A501" s="272">
        <v>62.0</v>
      </c>
      <c r="B501" s="273" t="str">
        <f t="array" ref="B501">IFerror(INDEX(Papers!C$2:C$998,MATCH($A501, Papers!$A$2:$A$998,0)),"")</f>
        <v>Cell phone and face-to-face interview responses in population-based surveys: how do they compare? </v>
      </c>
      <c r="C501" s="273" t="str">
        <f t="array" ref="C501">IFerror(INDEX(Papers!D$2:D$998,MATCH($A501, Papers!$A$2:$A$998,0)),"")</f>
        <v>Ziyad Mahfoud, Lilian Ghandour, Blanche Ghandour, Ali Mokdad, and Abla Sibai</v>
      </c>
      <c r="D501" s="274">
        <f t="array" ref="D501">IFerror(INDEX(Papers!F$2:F$998,MATCH($A501, Papers!$A$2:$A$998,0)),"")</f>
        <v>2014</v>
      </c>
      <c r="E501" s="274">
        <f t="array" ref="E501">IFerror(INDEX(Papers!G$2:G$998,MATCH($A501, Papers!$A$2:$A$998,0)),"")</f>
        <v>2010</v>
      </c>
      <c r="F501" s="274" t="s">
        <v>314</v>
      </c>
      <c r="G501" s="275" t="s">
        <v>9</v>
      </c>
      <c r="H501" s="277" t="s">
        <v>550</v>
      </c>
      <c r="I501" s="277" t="s">
        <v>551</v>
      </c>
      <c r="J501" s="278" t="s">
        <v>424</v>
      </c>
      <c r="K501" s="307"/>
      <c r="L501" s="288">
        <v>0.58</v>
      </c>
      <c r="M501" s="288">
        <v>0.58</v>
      </c>
      <c r="N501" s="313" t="str">
        <f t="shared" si="44"/>
        <v/>
      </c>
      <c r="O501" s="281">
        <f t="shared" si="47"/>
        <v>0</v>
      </c>
    </row>
    <row r="502">
      <c r="A502" s="263">
        <v>64.0</v>
      </c>
      <c r="B502" s="264" t="str">
        <f t="array" ref="B502">IFerror(INDEX(Papers!C$2:C$998,MATCH($A502, Papers!$A$2:$A$998,0)),"")</f>
        <v>Validity of data collected by telephone survey: a comparison of VIGITEL 2008 and the ‘Saúde em Beagá’ survey</v>
      </c>
      <c r="C502" s="264" t="str">
        <f t="array" ref="C502">IFerror(INDEX(Papers!D$2:D$998,MATCH($A502,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2" s="265">
        <f t="array" ref="D502">IFerror(INDEX(Papers!F$2:F$998,MATCH($A502, Papers!$A$2:$A$998,0)),"")</f>
        <v>2011</v>
      </c>
      <c r="E502" s="265">
        <f t="array" ref="E502">IFerror(INDEX(Papers!G$2:G$998,MATCH($A502, Papers!$A$2:$A$998,0)),"")</f>
        <v>2008</v>
      </c>
      <c r="F502" s="265" t="s">
        <v>262</v>
      </c>
      <c r="G502" s="266" t="s">
        <v>9</v>
      </c>
      <c r="H502" s="322" t="s">
        <v>556</v>
      </c>
      <c r="I502" s="282" t="s">
        <v>557</v>
      </c>
      <c r="J502" s="301" t="s">
        <v>476</v>
      </c>
      <c r="K502" s="289"/>
      <c r="L502" s="285">
        <v>0.21</v>
      </c>
      <c r="M502" s="285">
        <v>0.141</v>
      </c>
      <c r="N502" s="310" t="str">
        <f t="shared" si="44"/>
        <v/>
      </c>
      <c r="O502" s="271">
        <f t="shared" si="47"/>
        <v>0.069</v>
      </c>
    </row>
    <row r="503">
      <c r="A503" s="272">
        <v>64.0</v>
      </c>
      <c r="B503" s="273" t="str">
        <f t="array" ref="B503">IFerror(INDEX(Papers!C$2:C$998,MATCH($A503, Papers!$A$2:$A$998,0)),"")</f>
        <v>Validity of data collected by telephone survey: a comparison of VIGITEL 2008 and the ‘Saúde em Beagá’ survey</v>
      </c>
      <c r="C503" s="273" t="str">
        <f t="array" ref="C503">IFerror(INDEX(Papers!D$2:D$998,MATCH($A503,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3" s="274">
        <f t="array" ref="D503">IFerror(INDEX(Papers!F$2:F$998,MATCH($A503, Papers!$A$2:$A$998,0)),"")</f>
        <v>2011</v>
      </c>
      <c r="E503" s="274">
        <f t="array" ref="E503">IFerror(INDEX(Papers!G$2:G$998,MATCH($A503, Papers!$A$2:$A$998,0)),"")</f>
        <v>2008</v>
      </c>
      <c r="F503" s="274" t="s">
        <v>262</v>
      </c>
      <c r="G503" s="275" t="s">
        <v>9</v>
      </c>
      <c r="H503" s="323" t="s">
        <v>556</v>
      </c>
      <c r="I503" s="277" t="s">
        <v>557</v>
      </c>
      <c r="J503" s="300" t="s">
        <v>440</v>
      </c>
      <c r="K503" s="307"/>
      <c r="L503" s="288">
        <v>0.225</v>
      </c>
      <c r="M503" s="288">
        <v>0.223</v>
      </c>
      <c r="N503" s="313" t="str">
        <f t="shared" si="44"/>
        <v/>
      </c>
      <c r="O503" s="281">
        <f t="shared" si="47"/>
        <v>0.002</v>
      </c>
    </row>
    <row r="504">
      <c r="A504" s="263">
        <v>64.0</v>
      </c>
      <c r="B504" s="264" t="str">
        <f t="array" ref="B504">IFerror(INDEX(Papers!C$2:C$998,MATCH($A504, Papers!$A$2:$A$998,0)),"")</f>
        <v>Validity of data collected by telephone survey: a comparison of VIGITEL 2008 and the ‘Saúde em Beagá’ survey</v>
      </c>
      <c r="C504" s="264" t="str">
        <f t="array" ref="C504">IFerror(INDEX(Papers!D$2:D$998,MATCH($A504,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4" s="265">
        <f t="array" ref="D504">IFerror(INDEX(Papers!F$2:F$998,MATCH($A504, Papers!$A$2:$A$998,0)),"")</f>
        <v>2011</v>
      </c>
      <c r="E504" s="265">
        <f t="array" ref="E504">IFerror(INDEX(Papers!G$2:G$998,MATCH($A504, Papers!$A$2:$A$998,0)),"")</f>
        <v>2008</v>
      </c>
      <c r="F504" s="265" t="s">
        <v>262</v>
      </c>
      <c r="G504" s="266" t="s">
        <v>9</v>
      </c>
      <c r="H504" s="322" t="s">
        <v>556</v>
      </c>
      <c r="I504" s="282" t="s">
        <v>557</v>
      </c>
      <c r="J504" s="301" t="s">
        <v>478</v>
      </c>
      <c r="K504" s="289"/>
      <c r="L504" s="285">
        <v>0.223</v>
      </c>
      <c r="M504" s="285">
        <v>0.217</v>
      </c>
      <c r="N504" s="310" t="str">
        <f t="shared" si="44"/>
        <v/>
      </c>
      <c r="O504" s="271">
        <f t="shared" si="47"/>
        <v>0.006</v>
      </c>
    </row>
    <row r="505">
      <c r="A505" s="272">
        <v>64.0</v>
      </c>
      <c r="B505" s="273" t="str">
        <f t="array" ref="B505">IFerror(INDEX(Papers!C$2:C$998,MATCH($A505, Papers!$A$2:$A$998,0)),"")</f>
        <v>Validity of data collected by telephone survey: a comparison of VIGITEL 2008 and the ‘Saúde em Beagá’ survey</v>
      </c>
      <c r="C505" s="273" t="str">
        <f t="array" ref="C505">IFerror(INDEX(Papers!D$2:D$998,MATCH($A505,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5" s="274">
        <f t="array" ref="D505">IFerror(INDEX(Papers!F$2:F$998,MATCH($A505, Papers!$A$2:$A$998,0)),"")</f>
        <v>2011</v>
      </c>
      <c r="E505" s="274">
        <f t="array" ref="E505">IFerror(INDEX(Papers!G$2:G$998,MATCH($A505, Papers!$A$2:$A$998,0)),"")</f>
        <v>2008</v>
      </c>
      <c r="F505" s="274" t="s">
        <v>262</v>
      </c>
      <c r="G505" s="275" t="s">
        <v>9</v>
      </c>
      <c r="H505" s="323" t="s">
        <v>556</v>
      </c>
      <c r="I505" s="277" t="s">
        <v>557</v>
      </c>
      <c r="J505" s="300" t="s">
        <v>524</v>
      </c>
      <c r="K505" s="307"/>
      <c r="L505" s="288">
        <v>0.157</v>
      </c>
      <c r="M505" s="288">
        <v>0.195</v>
      </c>
      <c r="N505" s="313" t="str">
        <f t="shared" si="44"/>
        <v/>
      </c>
      <c r="O505" s="281">
        <f t="shared" si="47"/>
        <v>-0.038</v>
      </c>
    </row>
    <row r="506">
      <c r="A506" s="263">
        <v>64.0</v>
      </c>
      <c r="B506" s="264" t="str">
        <f t="array" ref="B506">IFerror(INDEX(Papers!C$2:C$998,MATCH($A506, Papers!$A$2:$A$998,0)),"")</f>
        <v>Validity of data collected by telephone survey: a comparison of VIGITEL 2008 and the ‘Saúde em Beagá’ survey</v>
      </c>
      <c r="C506" s="264" t="str">
        <f t="array" ref="C506">IFerror(INDEX(Papers!D$2:D$998,MATCH($A506,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6" s="265">
        <f t="array" ref="D506">IFerror(INDEX(Papers!F$2:F$998,MATCH($A506, Papers!$A$2:$A$998,0)),"")</f>
        <v>2011</v>
      </c>
      <c r="E506" s="265">
        <f t="array" ref="E506">IFerror(INDEX(Papers!G$2:G$998,MATCH($A506, Papers!$A$2:$A$998,0)),"")</f>
        <v>2008</v>
      </c>
      <c r="F506" s="265" t="s">
        <v>262</v>
      </c>
      <c r="G506" s="266" t="s">
        <v>9</v>
      </c>
      <c r="H506" s="322" t="s">
        <v>556</v>
      </c>
      <c r="I506" s="282" t="s">
        <v>557</v>
      </c>
      <c r="J506" s="301" t="s">
        <v>525</v>
      </c>
      <c r="K506" s="289"/>
      <c r="L506" s="285">
        <v>0.101</v>
      </c>
      <c r="M506" s="285">
        <v>0.135</v>
      </c>
      <c r="N506" s="310" t="str">
        <f t="shared" si="44"/>
        <v/>
      </c>
      <c r="O506" s="271">
        <f t="shared" si="47"/>
        <v>-0.034</v>
      </c>
    </row>
    <row r="507">
      <c r="A507" s="272">
        <v>64.0</v>
      </c>
      <c r="B507" s="273" t="str">
        <f t="array" ref="B507">IFerror(INDEX(Papers!C$2:C$998,MATCH($A507, Papers!$A$2:$A$998,0)),"")</f>
        <v>Validity of data collected by telephone survey: a comparison of VIGITEL 2008 and the ‘Saúde em Beagá’ survey</v>
      </c>
      <c r="C507" s="273" t="str">
        <f t="array" ref="C507">IFerror(INDEX(Papers!D$2:D$998,MATCH($A507,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7" s="274">
        <f t="array" ref="D507">IFerror(INDEX(Papers!F$2:F$998,MATCH($A507, Papers!$A$2:$A$998,0)),"")</f>
        <v>2011</v>
      </c>
      <c r="E507" s="274">
        <f t="array" ref="E507">IFerror(INDEX(Papers!G$2:G$998,MATCH($A507, Papers!$A$2:$A$998,0)),"")</f>
        <v>2008</v>
      </c>
      <c r="F507" s="274" t="s">
        <v>262</v>
      </c>
      <c r="G507" s="275" t="s">
        <v>9</v>
      </c>
      <c r="H507" s="323" t="s">
        <v>556</v>
      </c>
      <c r="I507" s="277" t="s">
        <v>557</v>
      </c>
      <c r="J507" s="300" t="s">
        <v>526</v>
      </c>
      <c r="K507" s="307"/>
      <c r="L507" s="288">
        <v>0.084</v>
      </c>
      <c r="M507" s="288">
        <v>0.089</v>
      </c>
      <c r="N507" s="313" t="str">
        <f t="shared" si="44"/>
        <v/>
      </c>
      <c r="O507" s="281">
        <f t="shared" si="47"/>
        <v>-0.005</v>
      </c>
    </row>
    <row r="508">
      <c r="A508" s="263">
        <v>64.0</v>
      </c>
      <c r="B508" s="264" t="str">
        <f t="array" ref="B508">IFerror(INDEX(Papers!C$2:C$998,MATCH($A508, Papers!$A$2:$A$998,0)),"")</f>
        <v>Validity of data collected by telephone survey: a comparison of VIGITEL 2008 and the ‘Saúde em Beagá’ survey</v>
      </c>
      <c r="C508" s="264" t="str">
        <f t="array" ref="C508">IFerror(INDEX(Papers!D$2:D$998,MATCH($A508,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8" s="265">
        <f t="array" ref="D508">IFerror(INDEX(Papers!F$2:F$998,MATCH($A508, Papers!$A$2:$A$998,0)),"")</f>
        <v>2011</v>
      </c>
      <c r="E508" s="265">
        <f t="array" ref="E508">IFerror(INDEX(Papers!G$2:G$998,MATCH($A508, Papers!$A$2:$A$998,0)),"")</f>
        <v>2008</v>
      </c>
      <c r="F508" s="265" t="s">
        <v>262</v>
      </c>
      <c r="G508" s="266" t="s">
        <v>9</v>
      </c>
      <c r="H508" s="322" t="s">
        <v>556</v>
      </c>
      <c r="I508" s="282" t="s">
        <v>557</v>
      </c>
      <c r="J508" s="301" t="s">
        <v>422</v>
      </c>
      <c r="K508" s="289"/>
      <c r="L508" s="285">
        <v>0.468</v>
      </c>
      <c r="M508" s="285">
        <v>0.631</v>
      </c>
      <c r="N508" s="310" t="str">
        <f t="shared" si="44"/>
        <v/>
      </c>
      <c r="O508" s="271">
        <f t="shared" si="47"/>
        <v>-0.163</v>
      </c>
    </row>
    <row r="509">
      <c r="A509" s="272">
        <v>64.0</v>
      </c>
      <c r="B509" s="273" t="str">
        <f t="array" ref="B509">IFerror(INDEX(Papers!C$2:C$998,MATCH($A509, Papers!$A$2:$A$998,0)),"")</f>
        <v>Validity of data collected by telephone survey: a comparison of VIGITEL 2008 and the ‘Saúde em Beagá’ survey</v>
      </c>
      <c r="C509" s="273" t="str">
        <f t="array" ref="C509">IFerror(INDEX(Papers!D$2:D$998,MATCH($A509,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09" s="274">
        <f t="array" ref="D509">IFerror(INDEX(Papers!F$2:F$998,MATCH($A509, Papers!$A$2:$A$998,0)),"")</f>
        <v>2011</v>
      </c>
      <c r="E509" s="274">
        <f t="array" ref="E509">IFerror(INDEX(Papers!G$2:G$998,MATCH($A509, Papers!$A$2:$A$998,0)),"")</f>
        <v>2008</v>
      </c>
      <c r="F509" s="274" t="s">
        <v>262</v>
      </c>
      <c r="G509" s="275" t="s">
        <v>9</v>
      </c>
      <c r="H509" s="323" t="s">
        <v>556</v>
      </c>
      <c r="I509" s="277" t="s">
        <v>557</v>
      </c>
      <c r="J509" s="278" t="s">
        <v>424</v>
      </c>
      <c r="K509" s="307"/>
      <c r="L509" s="288">
        <v>0.534</v>
      </c>
      <c r="M509" s="288">
        <v>0.579</v>
      </c>
      <c r="N509" s="313" t="str">
        <f t="shared" si="44"/>
        <v/>
      </c>
      <c r="O509" s="281">
        <f t="shared" si="47"/>
        <v>-0.045</v>
      </c>
    </row>
    <row r="510">
      <c r="A510" s="263">
        <v>64.0</v>
      </c>
      <c r="B510" s="264" t="str">
        <f t="array" ref="B510">IFerror(INDEX(Papers!C$2:C$998,MATCH($A510, Papers!$A$2:$A$998,0)),"")</f>
        <v>Validity of data collected by telephone survey: a comparison of VIGITEL 2008 and the ‘Saúde em Beagá’ survey</v>
      </c>
      <c r="C510" s="264" t="str">
        <f t="array" ref="C510">IFerror(INDEX(Papers!D$2:D$998,MATCH($A510, Papers!$A$2:$A$998,0)),"")</f>
        <v>Aline Dayrell Ferreira, Cibele Comini César, Deborah Carvalho Malta, Amanda Cristina de Souza Andrade, Cynthia Graciane Carvalho Ramos, Fernando Augusto Proietti, Regina Tomie Ivata Bernal, and Waleska Teixeira Caiaffa</v>
      </c>
      <c r="D510" s="265">
        <f t="array" ref="D510">IFerror(INDEX(Papers!F$2:F$998,MATCH($A510, Papers!$A$2:$A$998,0)),"")</f>
        <v>2011</v>
      </c>
      <c r="E510" s="265">
        <f t="array" ref="E510">IFerror(INDEX(Papers!G$2:G$998,MATCH($A510, Papers!$A$2:$A$998,0)),"")</f>
        <v>2008</v>
      </c>
      <c r="F510" s="265" t="s">
        <v>262</v>
      </c>
      <c r="G510" s="266" t="s">
        <v>9</v>
      </c>
      <c r="H510" s="322" t="s">
        <v>556</v>
      </c>
      <c r="I510" s="282" t="s">
        <v>557</v>
      </c>
      <c r="J510" s="268" t="s">
        <v>470</v>
      </c>
      <c r="K510" s="289"/>
      <c r="L510" s="310">
        <v>4.3</v>
      </c>
      <c r="M510" s="310">
        <v>3.9</v>
      </c>
      <c r="N510" s="310"/>
      <c r="O510" s="271">
        <f t="shared" si="47"/>
        <v>0.4</v>
      </c>
    </row>
    <row r="511">
      <c r="K511" s="260"/>
      <c r="L511" s="260"/>
      <c r="M511" s="260"/>
      <c r="N511" s="260"/>
      <c r="O511" s="260"/>
    </row>
    <row r="512">
      <c r="K512" s="260"/>
      <c r="L512" s="260"/>
      <c r="M512" s="260"/>
      <c r="N512" s="260"/>
      <c r="O512" s="260"/>
    </row>
    <row r="513">
      <c r="K513" s="260"/>
      <c r="L513" s="260"/>
      <c r="M513" s="260"/>
      <c r="N513" s="260"/>
      <c r="O513" s="260"/>
    </row>
    <row r="514">
      <c r="K514" s="260"/>
      <c r="L514" s="260"/>
      <c r="M514" s="260"/>
      <c r="N514" s="260"/>
      <c r="O514" s="260"/>
    </row>
    <row r="515">
      <c r="K515" s="260"/>
      <c r="L515" s="260"/>
      <c r="M515" s="260"/>
      <c r="N515" s="260"/>
      <c r="O515" s="260"/>
    </row>
    <row r="516">
      <c r="K516" s="260"/>
      <c r="L516" s="260"/>
      <c r="M516" s="260"/>
      <c r="N516" s="260"/>
      <c r="O516" s="260"/>
    </row>
    <row r="517">
      <c r="K517" s="260"/>
      <c r="L517" s="260"/>
      <c r="M517" s="260"/>
      <c r="N517" s="260"/>
      <c r="O517" s="260"/>
    </row>
    <row r="518">
      <c r="K518" s="260"/>
      <c r="L518" s="260"/>
      <c r="M518" s="260"/>
      <c r="N518" s="260"/>
      <c r="O518" s="260"/>
    </row>
    <row r="519">
      <c r="K519" s="260"/>
      <c r="L519" s="260"/>
      <c r="M519" s="260"/>
      <c r="N519" s="260"/>
      <c r="O519" s="260"/>
    </row>
    <row r="520">
      <c r="K520" s="260"/>
      <c r="L520" s="260"/>
      <c r="M520" s="260"/>
      <c r="N520" s="260"/>
      <c r="O520" s="260"/>
    </row>
    <row r="521">
      <c r="K521" s="260"/>
      <c r="L521" s="260"/>
      <c r="M521" s="260"/>
      <c r="N521" s="260"/>
      <c r="O521" s="260"/>
    </row>
    <row r="522">
      <c r="K522" s="260"/>
      <c r="L522" s="260"/>
      <c r="M522" s="260"/>
      <c r="N522" s="260"/>
      <c r="O522" s="260"/>
    </row>
    <row r="523">
      <c r="K523" s="260"/>
      <c r="L523" s="260"/>
      <c r="M523" s="260"/>
      <c r="N523" s="260"/>
      <c r="O523" s="260"/>
    </row>
    <row r="524">
      <c r="K524" s="260"/>
      <c r="L524" s="260"/>
      <c r="M524" s="260"/>
      <c r="N524" s="260"/>
      <c r="O524" s="260"/>
    </row>
    <row r="525">
      <c r="K525" s="260"/>
      <c r="L525" s="260"/>
      <c r="M525" s="260"/>
      <c r="N525" s="260"/>
      <c r="O525" s="260"/>
    </row>
    <row r="526">
      <c r="K526" s="260"/>
      <c r="L526" s="260"/>
      <c r="M526" s="260"/>
      <c r="N526" s="260"/>
      <c r="O526" s="260"/>
    </row>
    <row r="527">
      <c r="K527" s="260"/>
      <c r="L527" s="260"/>
      <c r="M527" s="260"/>
      <c r="N527" s="260"/>
      <c r="O527" s="260"/>
    </row>
    <row r="528">
      <c r="K528" s="260"/>
      <c r="L528" s="260"/>
      <c r="M528" s="260"/>
      <c r="N528" s="260"/>
      <c r="O528" s="260"/>
    </row>
    <row r="529">
      <c r="K529" s="260"/>
      <c r="L529" s="260"/>
      <c r="M529" s="260"/>
      <c r="N529" s="260"/>
      <c r="O529" s="260"/>
    </row>
    <row r="530">
      <c r="K530" s="260"/>
      <c r="L530" s="260"/>
      <c r="M530" s="260"/>
      <c r="N530" s="260"/>
      <c r="O530" s="260"/>
    </row>
    <row r="531">
      <c r="K531" s="260"/>
      <c r="L531" s="260"/>
      <c r="M531" s="260"/>
      <c r="N531" s="260"/>
      <c r="O531" s="260"/>
    </row>
    <row r="532">
      <c r="K532" s="260"/>
      <c r="L532" s="260"/>
      <c r="M532" s="260"/>
      <c r="N532" s="260"/>
      <c r="O532" s="260"/>
    </row>
    <row r="533">
      <c r="K533" s="260"/>
      <c r="L533" s="260"/>
      <c r="M533" s="260"/>
      <c r="N533" s="260"/>
      <c r="O533" s="260"/>
    </row>
    <row r="534">
      <c r="K534" s="260"/>
      <c r="L534" s="260"/>
      <c r="M534" s="260"/>
      <c r="N534" s="260"/>
      <c r="O534" s="260"/>
    </row>
    <row r="535">
      <c r="K535" s="260"/>
      <c r="L535" s="260"/>
      <c r="M535" s="260"/>
      <c r="N535" s="260"/>
      <c r="O535" s="260"/>
    </row>
    <row r="536">
      <c r="K536" s="260"/>
      <c r="L536" s="260"/>
      <c r="M536" s="260"/>
      <c r="N536" s="260"/>
      <c r="O536" s="260"/>
    </row>
    <row r="537">
      <c r="K537" s="260"/>
      <c r="L537" s="260"/>
      <c r="M537" s="260"/>
      <c r="N537" s="260"/>
      <c r="O537" s="260"/>
    </row>
    <row r="538">
      <c r="K538" s="260"/>
      <c r="L538" s="260"/>
      <c r="M538" s="260"/>
      <c r="N538" s="260"/>
      <c r="O538" s="260"/>
    </row>
    <row r="539">
      <c r="K539" s="260"/>
      <c r="L539" s="260"/>
      <c r="M539" s="260"/>
      <c r="N539" s="260"/>
      <c r="O539" s="260"/>
    </row>
    <row r="540">
      <c r="K540" s="260"/>
      <c r="L540" s="260"/>
      <c r="M540" s="260"/>
      <c r="N540" s="260"/>
      <c r="O540" s="260"/>
    </row>
    <row r="541">
      <c r="K541" s="260"/>
      <c r="L541" s="260"/>
      <c r="M541" s="260"/>
      <c r="N541" s="260"/>
      <c r="O541" s="260"/>
    </row>
    <row r="542">
      <c r="K542" s="260"/>
      <c r="L542" s="260"/>
      <c r="M542" s="260"/>
      <c r="N542" s="260"/>
      <c r="O542" s="260"/>
    </row>
    <row r="543">
      <c r="K543" s="260"/>
      <c r="L543" s="260"/>
      <c r="M543" s="260"/>
      <c r="N543" s="260"/>
      <c r="O543" s="260"/>
    </row>
    <row r="544">
      <c r="K544" s="260"/>
      <c r="L544" s="260"/>
      <c r="M544" s="260"/>
      <c r="N544" s="260"/>
      <c r="O544" s="260"/>
    </row>
    <row r="545">
      <c r="K545" s="260"/>
      <c r="L545" s="260"/>
      <c r="M545" s="260"/>
      <c r="N545" s="260"/>
      <c r="O545" s="260"/>
    </row>
    <row r="546">
      <c r="K546" s="260"/>
      <c r="L546" s="260"/>
      <c r="M546" s="260"/>
      <c r="N546" s="260"/>
      <c r="O546" s="260"/>
    </row>
    <row r="547">
      <c r="K547" s="260"/>
      <c r="L547" s="260"/>
      <c r="M547" s="260"/>
      <c r="N547" s="260"/>
      <c r="O547" s="260"/>
    </row>
    <row r="548">
      <c r="K548" s="260"/>
      <c r="L548" s="260"/>
      <c r="M548" s="260"/>
      <c r="N548" s="260"/>
      <c r="O548" s="260"/>
    </row>
    <row r="549">
      <c r="K549" s="260"/>
      <c r="L549" s="260"/>
      <c r="M549" s="260"/>
      <c r="N549" s="260"/>
      <c r="O549" s="260"/>
    </row>
    <row r="550">
      <c r="K550" s="260"/>
      <c r="L550" s="260"/>
      <c r="M550" s="260"/>
      <c r="N550" s="260"/>
      <c r="O550" s="260"/>
    </row>
    <row r="551">
      <c r="K551" s="260"/>
      <c r="L551" s="260"/>
      <c r="M551" s="260"/>
      <c r="N551" s="260"/>
      <c r="O551" s="260"/>
    </row>
    <row r="552">
      <c r="K552" s="260"/>
      <c r="L552" s="260"/>
      <c r="M552" s="260"/>
      <c r="N552" s="260"/>
      <c r="O552" s="260"/>
    </row>
    <row r="553">
      <c r="K553" s="260"/>
      <c r="L553" s="260"/>
      <c r="M553" s="260"/>
      <c r="N553" s="260"/>
      <c r="O553" s="260"/>
    </row>
    <row r="554">
      <c r="K554" s="260"/>
      <c r="L554" s="260"/>
      <c r="M554" s="260"/>
      <c r="N554" s="260"/>
      <c r="O554" s="260"/>
    </row>
    <row r="555">
      <c r="K555" s="260"/>
      <c r="L555" s="260"/>
      <c r="M555" s="260"/>
      <c r="N555" s="260"/>
      <c r="O555" s="260"/>
    </row>
    <row r="556">
      <c r="K556" s="260"/>
      <c r="L556" s="260"/>
      <c r="M556" s="260"/>
      <c r="N556" s="260"/>
      <c r="O556" s="260"/>
    </row>
    <row r="557">
      <c r="K557" s="260"/>
      <c r="L557" s="260"/>
      <c r="M557" s="260"/>
      <c r="N557" s="260"/>
      <c r="O557" s="260"/>
    </row>
    <row r="558">
      <c r="K558" s="260"/>
      <c r="L558" s="260"/>
      <c r="M558" s="260"/>
      <c r="N558" s="260"/>
      <c r="O558" s="260"/>
    </row>
    <row r="559">
      <c r="K559" s="260"/>
      <c r="L559" s="260"/>
      <c r="M559" s="260"/>
      <c r="N559" s="260"/>
      <c r="O559" s="260"/>
    </row>
    <row r="560">
      <c r="K560" s="260"/>
      <c r="L560" s="260"/>
      <c r="M560" s="260"/>
      <c r="N560" s="260"/>
      <c r="O560" s="260"/>
    </row>
    <row r="561">
      <c r="K561" s="260"/>
      <c r="L561" s="260"/>
      <c r="M561" s="260"/>
      <c r="N561" s="260"/>
      <c r="O561" s="260"/>
    </row>
    <row r="562">
      <c r="K562" s="260"/>
      <c r="L562" s="260"/>
      <c r="M562" s="260"/>
      <c r="N562" s="260"/>
      <c r="O562" s="260"/>
    </row>
    <row r="563">
      <c r="K563" s="260"/>
      <c r="L563" s="260"/>
      <c r="M563" s="260"/>
      <c r="N563" s="260"/>
      <c r="O563" s="260"/>
    </row>
    <row r="564">
      <c r="K564" s="260"/>
      <c r="L564" s="260"/>
      <c r="M564" s="260"/>
      <c r="N564" s="260"/>
      <c r="O564" s="260"/>
    </row>
    <row r="565">
      <c r="K565" s="260"/>
      <c r="L565" s="260"/>
      <c r="M565" s="260"/>
      <c r="N565" s="260"/>
      <c r="O565" s="260"/>
    </row>
    <row r="566">
      <c r="K566" s="260"/>
      <c r="L566" s="260"/>
      <c r="M566" s="260"/>
      <c r="N566" s="260"/>
      <c r="O566" s="260"/>
    </row>
    <row r="567">
      <c r="K567" s="260"/>
      <c r="L567" s="260"/>
      <c r="M567" s="260"/>
      <c r="N567" s="260"/>
      <c r="O567" s="260"/>
    </row>
    <row r="568">
      <c r="K568" s="260"/>
      <c r="L568" s="260"/>
      <c r="M568" s="260"/>
      <c r="N568" s="260"/>
      <c r="O568" s="260"/>
    </row>
    <row r="569">
      <c r="K569" s="260"/>
      <c r="L569" s="260"/>
      <c r="M569" s="260"/>
      <c r="N569" s="260"/>
      <c r="O569" s="260"/>
    </row>
    <row r="570">
      <c r="K570" s="260"/>
      <c r="L570" s="260"/>
      <c r="M570" s="260"/>
      <c r="N570" s="260"/>
      <c r="O570" s="260"/>
    </row>
    <row r="571">
      <c r="K571" s="260"/>
      <c r="L571" s="260"/>
      <c r="M571" s="260"/>
      <c r="N571" s="260"/>
      <c r="O571" s="260"/>
    </row>
    <row r="572">
      <c r="K572" s="260"/>
      <c r="L572" s="260"/>
      <c r="M572" s="260"/>
      <c r="N572" s="260"/>
      <c r="O572" s="260"/>
    </row>
    <row r="573">
      <c r="K573" s="260"/>
      <c r="L573" s="260"/>
      <c r="M573" s="260"/>
      <c r="N573" s="260"/>
      <c r="O573" s="260"/>
    </row>
    <row r="574">
      <c r="K574" s="260"/>
      <c r="L574" s="260"/>
      <c r="M574" s="260"/>
      <c r="N574" s="260"/>
      <c r="O574" s="260"/>
    </row>
    <row r="575">
      <c r="K575" s="260"/>
      <c r="L575" s="260"/>
      <c r="M575" s="260"/>
      <c r="N575" s="260"/>
      <c r="O575" s="260"/>
    </row>
    <row r="576">
      <c r="K576" s="260"/>
      <c r="L576" s="260"/>
      <c r="M576" s="260"/>
      <c r="N576" s="260"/>
      <c r="O576" s="260"/>
    </row>
    <row r="577">
      <c r="K577" s="260"/>
      <c r="L577" s="260"/>
      <c r="M577" s="260"/>
      <c r="N577" s="260"/>
      <c r="O577" s="260"/>
    </row>
    <row r="578">
      <c r="K578" s="260"/>
      <c r="L578" s="260"/>
      <c r="M578" s="260"/>
      <c r="N578" s="260"/>
      <c r="O578" s="260"/>
    </row>
    <row r="579">
      <c r="K579" s="260"/>
      <c r="L579" s="260"/>
      <c r="M579" s="260"/>
      <c r="N579" s="260"/>
      <c r="O579" s="260"/>
    </row>
    <row r="580">
      <c r="K580" s="260"/>
      <c r="L580" s="260"/>
      <c r="M580" s="260"/>
      <c r="N580" s="260"/>
      <c r="O580" s="260"/>
    </row>
    <row r="581">
      <c r="K581" s="260"/>
      <c r="L581" s="260"/>
      <c r="M581" s="260"/>
      <c r="N581" s="260"/>
      <c r="O581" s="260"/>
    </row>
    <row r="582">
      <c r="K582" s="260"/>
      <c r="L582" s="260"/>
      <c r="M582" s="260"/>
      <c r="N582" s="260"/>
      <c r="O582" s="260"/>
    </row>
    <row r="583">
      <c r="K583" s="260"/>
      <c r="L583" s="260"/>
      <c r="M583" s="260"/>
      <c r="N583" s="260"/>
      <c r="O583" s="260"/>
    </row>
    <row r="584">
      <c r="K584" s="260"/>
      <c r="L584" s="260"/>
      <c r="M584" s="260"/>
      <c r="N584" s="260"/>
      <c r="O584" s="260"/>
    </row>
    <row r="585">
      <c r="K585" s="260"/>
      <c r="L585" s="260"/>
      <c r="M585" s="260"/>
      <c r="N585" s="260"/>
      <c r="O585" s="260"/>
    </row>
    <row r="586">
      <c r="K586" s="260"/>
      <c r="L586" s="260"/>
      <c r="M586" s="260"/>
      <c r="N586" s="260"/>
      <c r="O586" s="260"/>
    </row>
    <row r="587">
      <c r="K587" s="260"/>
      <c r="L587" s="260"/>
      <c r="M587" s="260"/>
      <c r="N587" s="260"/>
      <c r="O587" s="260"/>
    </row>
    <row r="588">
      <c r="K588" s="260"/>
      <c r="L588" s="260"/>
      <c r="M588" s="260"/>
      <c r="N588" s="260"/>
      <c r="O588" s="260"/>
    </row>
    <row r="589">
      <c r="K589" s="260"/>
      <c r="L589" s="260"/>
      <c r="M589" s="260"/>
      <c r="N589" s="260"/>
      <c r="O589" s="260"/>
    </row>
    <row r="590">
      <c r="K590" s="260"/>
      <c r="L590" s="260"/>
      <c r="M590" s="260"/>
      <c r="N590" s="260"/>
      <c r="O590" s="260"/>
    </row>
    <row r="591">
      <c r="K591" s="260"/>
      <c r="L591" s="260"/>
      <c r="M591" s="260"/>
      <c r="N591" s="260"/>
      <c r="O591" s="260"/>
    </row>
    <row r="592">
      <c r="K592" s="260"/>
      <c r="L592" s="260"/>
      <c r="M592" s="260"/>
      <c r="N592" s="260"/>
      <c r="O592" s="260"/>
    </row>
    <row r="593">
      <c r="K593" s="260"/>
      <c r="L593" s="260"/>
      <c r="M593" s="260"/>
      <c r="N593" s="260"/>
      <c r="O593" s="260"/>
    </row>
    <row r="594">
      <c r="K594" s="260"/>
      <c r="L594" s="260"/>
      <c r="M594" s="260"/>
      <c r="N594" s="260"/>
      <c r="O594" s="260"/>
    </row>
    <row r="595">
      <c r="K595" s="260"/>
      <c r="L595" s="260"/>
      <c r="M595" s="260"/>
      <c r="N595" s="260"/>
      <c r="O595" s="260"/>
    </row>
    <row r="596">
      <c r="K596" s="260"/>
      <c r="L596" s="260"/>
      <c r="M596" s="260"/>
      <c r="N596" s="260"/>
      <c r="O596" s="260"/>
    </row>
    <row r="597">
      <c r="K597" s="260"/>
      <c r="L597" s="260"/>
      <c r="M597" s="260"/>
      <c r="N597" s="260"/>
      <c r="O597" s="260"/>
    </row>
    <row r="598">
      <c r="K598" s="260"/>
      <c r="L598" s="260"/>
      <c r="M598" s="260"/>
      <c r="N598" s="260"/>
      <c r="O598" s="260"/>
    </row>
    <row r="599">
      <c r="K599" s="260"/>
      <c r="L599" s="260"/>
      <c r="M599" s="260"/>
      <c r="N599" s="260"/>
      <c r="O599" s="260"/>
    </row>
    <row r="600">
      <c r="K600" s="260"/>
      <c r="L600" s="260"/>
      <c r="M600" s="260"/>
      <c r="N600" s="260"/>
      <c r="O600" s="260"/>
    </row>
    <row r="601">
      <c r="K601" s="260"/>
      <c r="L601" s="260"/>
      <c r="M601" s="260"/>
      <c r="N601" s="260"/>
      <c r="O601" s="260"/>
    </row>
    <row r="602">
      <c r="K602" s="260"/>
      <c r="L602" s="260"/>
      <c r="M602" s="260"/>
      <c r="N602" s="260"/>
      <c r="O602" s="260"/>
    </row>
    <row r="603">
      <c r="K603" s="260"/>
      <c r="L603" s="260"/>
      <c r="M603" s="260"/>
      <c r="N603" s="260"/>
      <c r="O603" s="260"/>
    </row>
    <row r="604">
      <c r="K604" s="260"/>
      <c r="L604" s="260"/>
      <c r="M604" s="260"/>
      <c r="N604" s="260"/>
      <c r="O604" s="260"/>
    </row>
    <row r="605">
      <c r="K605" s="260"/>
      <c r="L605" s="260"/>
      <c r="M605" s="260"/>
      <c r="N605" s="260"/>
      <c r="O605" s="260"/>
    </row>
    <row r="606">
      <c r="K606" s="260"/>
      <c r="L606" s="260"/>
      <c r="M606" s="260"/>
      <c r="N606" s="260"/>
      <c r="O606" s="260"/>
    </row>
    <row r="607">
      <c r="K607" s="260"/>
      <c r="L607" s="260"/>
      <c r="M607" s="260"/>
      <c r="N607" s="260"/>
      <c r="O607" s="260"/>
    </row>
    <row r="608">
      <c r="K608" s="260"/>
      <c r="L608" s="260"/>
      <c r="M608" s="260"/>
      <c r="N608" s="260"/>
      <c r="O608" s="260"/>
    </row>
    <row r="609">
      <c r="K609" s="260"/>
      <c r="L609" s="260"/>
      <c r="M609" s="260"/>
      <c r="N609" s="260"/>
      <c r="O609" s="260"/>
    </row>
    <row r="610">
      <c r="K610" s="260"/>
      <c r="L610" s="260"/>
      <c r="M610" s="260"/>
      <c r="N610" s="260"/>
      <c r="O610" s="260"/>
    </row>
    <row r="611">
      <c r="K611" s="260"/>
      <c r="L611" s="260"/>
      <c r="M611" s="260"/>
      <c r="N611" s="260"/>
      <c r="O611" s="260"/>
    </row>
    <row r="612">
      <c r="K612" s="260"/>
      <c r="L612" s="260"/>
      <c r="M612" s="260"/>
      <c r="N612" s="260"/>
      <c r="O612" s="260"/>
    </row>
    <row r="613">
      <c r="K613" s="260"/>
      <c r="L613" s="260"/>
      <c r="M613" s="260"/>
      <c r="N613" s="260"/>
      <c r="O613" s="260"/>
    </row>
    <row r="614">
      <c r="K614" s="260"/>
      <c r="L614" s="260"/>
      <c r="M614" s="260"/>
      <c r="N614" s="260"/>
      <c r="O614" s="260"/>
    </row>
    <row r="615">
      <c r="K615" s="260"/>
      <c r="L615" s="260"/>
      <c r="M615" s="260"/>
      <c r="N615" s="260"/>
      <c r="O615" s="260"/>
    </row>
    <row r="616">
      <c r="K616" s="260"/>
      <c r="L616" s="260"/>
      <c r="M616" s="260"/>
      <c r="N616" s="260"/>
      <c r="O616" s="260"/>
    </row>
    <row r="617">
      <c r="K617" s="260"/>
      <c r="L617" s="260"/>
      <c r="M617" s="260"/>
      <c r="N617" s="260"/>
      <c r="O617" s="260"/>
    </row>
    <row r="618">
      <c r="K618" s="260"/>
      <c r="L618" s="260"/>
      <c r="M618" s="260"/>
      <c r="N618" s="260"/>
      <c r="O618" s="260"/>
    </row>
    <row r="619">
      <c r="K619" s="260"/>
      <c r="L619" s="260"/>
      <c r="M619" s="260"/>
      <c r="N619" s="260"/>
      <c r="O619" s="260"/>
    </row>
    <row r="620">
      <c r="K620" s="260"/>
      <c r="L620" s="260"/>
      <c r="M620" s="260"/>
      <c r="N620" s="260"/>
      <c r="O620" s="260"/>
    </row>
    <row r="621">
      <c r="K621" s="260"/>
      <c r="L621" s="260"/>
      <c r="M621" s="260"/>
      <c r="N621" s="260"/>
      <c r="O621" s="260"/>
    </row>
    <row r="622">
      <c r="K622" s="260"/>
      <c r="L622" s="260"/>
      <c r="M622" s="260"/>
      <c r="N622" s="260"/>
      <c r="O622" s="260"/>
    </row>
    <row r="623">
      <c r="K623" s="260"/>
      <c r="L623" s="260"/>
      <c r="M623" s="260"/>
      <c r="N623" s="260"/>
      <c r="O623" s="260"/>
    </row>
    <row r="624">
      <c r="K624" s="260"/>
      <c r="L624" s="260"/>
      <c r="M624" s="260"/>
      <c r="N624" s="260"/>
      <c r="O624" s="260"/>
    </row>
    <row r="625">
      <c r="K625" s="260"/>
      <c r="L625" s="260"/>
      <c r="M625" s="260"/>
      <c r="N625" s="260"/>
      <c r="O625" s="260"/>
    </row>
    <row r="626">
      <c r="K626" s="260"/>
      <c r="L626" s="260"/>
      <c r="M626" s="260"/>
      <c r="N626" s="260"/>
      <c r="O626" s="260"/>
    </row>
    <row r="627">
      <c r="K627" s="260"/>
      <c r="L627" s="260"/>
      <c r="M627" s="260"/>
      <c r="N627" s="260"/>
      <c r="O627" s="260"/>
    </row>
    <row r="628">
      <c r="K628" s="260"/>
      <c r="L628" s="260"/>
      <c r="M628" s="260"/>
      <c r="N628" s="260"/>
      <c r="O628" s="260"/>
    </row>
    <row r="629">
      <c r="K629" s="260"/>
      <c r="L629" s="260"/>
      <c r="M629" s="260"/>
      <c r="N629" s="260"/>
      <c r="O629" s="260"/>
    </row>
    <row r="630">
      <c r="K630" s="260"/>
      <c r="L630" s="260"/>
      <c r="M630" s="260"/>
      <c r="N630" s="260"/>
      <c r="O630" s="260"/>
    </row>
    <row r="631">
      <c r="K631" s="260"/>
      <c r="L631" s="260"/>
      <c r="M631" s="260"/>
      <c r="N631" s="260"/>
      <c r="O631" s="260"/>
    </row>
    <row r="632">
      <c r="K632" s="260"/>
      <c r="L632" s="260"/>
      <c r="M632" s="260"/>
      <c r="N632" s="260"/>
      <c r="O632" s="260"/>
    </row>
    <row r="633">
      <c r="K633" s="260"/>
      <c r="L633" s="260"/>
      <c r="M633" s="260"/>
      <c r="N633" s="260"/>
      <c r="O633" s="260"/>
    </row>
    <row r="634">
      <c r="K634" s="260"/>
      <c r="L634" s="260"/>
      <c r="M634" s="260"/>
      <c r="N634" s="260"/>
      <c r="O634" s="260"/>
    </row>
    <row r="635">
      <c r="K635" s="260"/>
      <c r="L635" s="260"/>
      <c r="M635" s="260"/>
      <c r="N635" s="260"/>
      <c r="O635" s="260"/>
    </row>
    <row r="636">
      <c r="K636" s="260"/>
      <c r="L636" s="260"/>
      <c r="M636" s="260"/>
      <c r="N636" s="260"/>
      <c r="O636" s="260"/>
    </row>
    <row r="637">
      <c r="K637" s="260"/>
      <c r="L637" s="260"/>
      <c r="M637" s="260"/>
      <c r="N637" s="260"/>
      <c r="O637" s="260"/>
    </row>
    <row r="638">
      <c r="K638" s="260"/>
      <c r="L638" s="260"/>
      <c r="M638" s="260"/>
      <c r="N638" s="260"/>
      <c r="O638" s="260"/>
    </row>
    <row r="639">
      <c r="K639" s="260"/>
      <c r="L639" s="260"/>
      <c r="M639" s="260"/>
      <c r="N639" s="260"/>
      <c r="O639" s="260"/>
    </row>
    <row r="640">
      <c r="K640" s="260"/>
      <c r="L640" s="260"/>
      <c r="M640" s="260"/>
      <c r="N640" s="260"/>
      <c r="O640" s="260"/>
    </row>
    <row r="641">
      <c r="K641" s="260"/>
      <c r="L641" s="260"/>
      <c r="M641" s="260"/>
      <c r="N641" s="260"/>
      <c r="O641" s="260"/>
    </row>
    <row r="642">
      <c r="K642" s="260"/>
      <c r="L642" s="260"/>
      <c r="M642" s="260"/>
      <c r="N642" s="260"/>
      <c r="O642" s="260"/>
    </row>
    <row r="643">
      <c r="K643" s="260"/>
      <c r="L643" s="260"/>
      <c r="M643" s="260"/>
      <c r="N643" s="260"/>
      <c r="O643" s="260"/>
    </row>
    <row r="644">
      <c r="K644" s="260"/>
      <c r="L644" s="260"/>
      <c r="M644" s="260"/>
      <c r="N644" s="260"/>
      <c r="O644" s="260"/>
    </row>
    <row r="645">
      <c r="K645" s="260"/>
      <c r="L645" s="260"/>
      <c r="M645" s="260"/>
      <c r="N645" s="260"/>
      <c r="O645" s="260"/>
    </row>
    <row r="646">
      <c r="K646" s="260"/>
      <c r="L646" s="260"/>
      <c r="M646" s="260"/>
      <c r="N646" s="260"/>
      <c r="O646" s="260"/>
    </row>
    <row r="647">
      <c r="K647" s="260"/>
      <c r="L647" s="260"/>
      <c r="M647" s="260"/>
      <c r="N647" s="260"/>
      <c r="O647" s="260"/>
    </row>
    <row r="648">
      <c r="K648" s="260"/>
      <c r="L648" s="260"/>
      <c r="M648" s="260"/>
      <c r="N648" s="260"/>
      <c r="O648" s="260"/>
    </row>
    <row r="649">
      <c r="K649" s="260"/>
      <c r="L649" s="260"/>
      <c r="M649" s="260"/>
      <c r="N649" s="260"/>
      <c r="O649" s="260"/>
    </row>
    <row r="650">
      <c r="K650" s="260"/>
      <c r="L650" s="260"/>
      <c r="M650" s="260"/>
      <c r="N650" s="260"/>
      <c r="O650" s="260"/>
    </row>
    <row r="651">
      <c r="K651" s="260"/>
      <c r="L651" s="260"/>
      <c r="M651" s="260"/>
      <c r="N651" s="260"/>
      <c r="O651" s="260"/>
    </row>
    <row r="652">
      <c r="K652" s="260"/>
      <c r="L652" s="260"/>
      <c r="M652" s="260"/>
      <c r="N652" s="260"/>
      <c r="O652" s="260"/>
    </row>
    <row r="653">
      <c r="K653" s="260"/>
      <c r="L653" s="260"/>
      <c r="M653" s="260"/>
      <c r="N653" s="260"/>
      <c r="O653" s="260"/>
    </row>
    <row r="654">
      <c r="K654" s="260"/>
      <c r="L654" s="260"/>
      <c r="M654" s="260"/>
      <c r="N654" s="260"/>
      <c r="O654" s="260"/>
    </row>
    <row r="655">
      <c r="K655" s="260"/>
      <c r="L655" s="260"/>
      <c r="M655" s="260"/>
      <c r="N655" s="260"/>
      <c r="O655" s="260"/>
    </row>
    <row r="656">
      <c r="K656" s="260"/>
      <c r="L656" s="260"/>
      <c r="M656" s="260"/>
      <c r="N656" s="260"/>
      <c r="O656" s="260"/>
    </row>
    <row r="657">
      <c r="K657" s="260"/>
      <c r="L657" s="260"/>
      <c r="M657" s="260"/>
      <c r="N657" s="260"/>
      <c r="O657" s="260"/>
    </row>
    <row r="658">
      <c r="K658" s="260"/>
      <c r="L658" s="260"/>
      <c r="M658" s="260"/>
      <c r="N658" s="260"/>
      <c r="O658" s="260"/>
    </row>
    <row r="659">
      <c r="K659" s="260"/>
      <c r="L659" s="260"/>
      <c r="M659" s="260"/>
      <c r="N659" s="260"/>
      <c r="O659" s="260"/>
    </row>
    <row r="660">
      <c r="K660" s="260"/>
      <c r="L660" s="260"/>
      <c r="M660" s="260"/>
      <c r="N660" s="260"/>
      <c r="O660" s="260"/>
    </row>
    <row r="661">
      <c r="K661" s="260"/>
      <c r="L661" s="260"/>
      <c r="M661" s="260"/>
      <c r="N661" s="260"/>
      <c r="O661" s="260"/>
    </row>
    <row r="662">
      <c r="K662" s="260"/>
      <c r="L662" s="260"/>
      <c r="M662" s="260"/>
      <c r="N662" s="260"/>
      <c r="O662" s="260"/>
    </row>
    <row r="663">
      <c r="K663" s="260"/>
      <c r="L663" s="260"/>
      <c r="M663" s="260"/>
      <c r="N663" s="260"/>
      <c r="O663" s="260"/>
    </row>
    <row r="664">
      <c r="K664" s="260"/>
      <c r="L664" s="260"/>
      <c r="M664" s="260"/>
      <c r="N664" s="260"/>
      <c r="O664" s="260"/>
    </row>
    <row r="665">
      <c r="K665" s="260"/>
      <c r="L665" s="260"/>
      <c r="M665" s="260"/>
      <c r="N665" s="260"/>
      <c r="O665" s="260"/>
    </row>
    <row r="666">
      <c r="K666" s="260"/>
      <c r="L666" s="260"/>
      <c r="M666" s="260"/>
      <c r="N666" s="260"/>
      <c r="O666" s="260"/>
    </row>
    <row r="667">
      <c r="K667" s="260"/>
      <c r="L667" s="260"/>
      <c r="M667" s="260"/>
      <c r="N667" s="260"/>
      <c r="O667" s="260"/>
    </row>
    <row r="668">
      <c r="K668" s="260"/>
      <c r="L668" s="260"/>
      <c r="M668" s="260"/>
      <c r="N668" s="260"/>
      <c r="O668" s="260"/>
    </row>
    <row r="669">
      <c r="K669" s="260"/>
      <c r="L669" s="260"/>
      <c r="M669" s="260"/>
      <c r="N669" s="260"/>
      <c r="O669" s="260"/>
    </row>
    <row r="670">
      <c r="K670" s="260"/>
      <c r="L670" s="260"/>
      <c r="M670" s="260"/>
      <c r="N670" s="260"/>
      <c r="O670" s="260"/>
    </row>
    <row r="671">
      <c r="K671" s="260"/>
      <c r="L671" s="260"/>
      <c r="M671" s="260"/>
      <c r="N671" s="260"/>
      <c r="O671" s="260"/>
    </row>
    <row r="672">
      <c r="K672" s="260"/>
      <c r="L672" s="260"/>
      <c r="M672" s="260"/>
      <c r="N672" s="260"/>
      <c r="O672" s="260"/>
    </row>
    <row r="673">
      <c r="K673" s="260"/>
      <c r="L673" s="260"/>
      <c r="M673" s="260"/>
      <c r="N673" s="260"/>
      <c r="O673" s="260"/>
    </row>
    <row r="674">
      <c r="K674" s="260"/>
      <c r="L674" s="260"/>
      <c r="M674" s="260"/>
      <c r="N674" s="260"/>
      <c r="O674" s="260"/>
    </row>
    <row r="675">
      <c r="K675" s="260"/>
      <c r="L675" s="260"/>
      <c r="M675" s="260"/>
      <c r="N675" s="260"/>
      <c r="O675" s="260"/>
    </row>
    <row r="676">
      <c r="K676" s="260"/>
      <c r="L676" s="260"/>
      <c r="M676" s="260"/>
      <c r="N676" s="260"/>
      <c r="O676" s="260"/>
    </row>
    <row r="677">
      <c r="K677" s="260"/>
      <c r="L677" s="260"/>
      <c r="M677" s="260"/>
      <c r="N677" s="260"/>
      <c r="O677" s="260"/>
    </row>
    <row r="678">
      <c r="K678" s="260"/>
      <c r="L678" s="260"/>
      <c r="M678" s="260"/>
      <c r="N678" s="260"/>
      <c r="O678" s="260"/>
    </row>
    <row r="679">
      <c r="K679" s="260"/>
      <c r="L679" s="260"/>
      <c r="M679" s="260"/>
      <c r="N679" s="260"/>
      <c r="O679" s="260"/>
    </row>
    <row r="680">
      <c r="K680" s="260"/>
      <c r="L680" s="260"/>
      <c r="M680" s="260"/>
      <c r="N680" s="260"/>
      <c r="O680" s="260"/>
    </row>
    <row r="681">
      <c r="K681" s="260"/>
      <c r="L681" s="260"/>
      <c r="M681" s="260"/>
      <c r="N681" s="260"/>
      <c r="O681" s="260"/>
    </row>
    <row r="682">
      <c r="K682" s="260"/>
      <c r="L682" s="260"/>
      <c r="M682" s="260"/>
      <c r="N682" s="260"/>
      <c r="O682" s="260"/>
    </row>
    <row r="683">
      <c r="K683" s="260"/>
      <c r="L683" s="260"/>
      <c r="M683" s="260"/>
      <c r="N683" s="260"/>
      <c r="O683" s="260"/>
    </row>
    <row r="684">
      <c r="K684" s="260"/>
      <c r="L684" s="260"/>
      <c r="M684" s="260"/>
      <c r="N684" s="260"/>
      <c r="O684" s="260"/>
    </row>
    <row r="685">
      <c r="K685" s="260"/>
      <c r="L685" s="260"/>
      <c r="M685" s="260"/>
      <c r="N685" s="260"/>
      <c r="O685" s="260"/>
    </row>
    <row r="686">
      <c r="K686" s="260"/>
      <c r="L686" s="260"/>
      <c r="M686" s="260"/>
      <c r="N686" s="260"/>
      <c r="O686" s="260"/>
    </row>
    <row r="687">
      <c r="K687" s="260"/>
      <c r="L687" s="260"/>
      <c r="M687" s="260"/>
      <c r="N687" s="260"/>
      <c r="O687" s="260"/>
    </row>
    <row r="688">
      <c r="K688" s="260"/>
      <c r="L688" s="260"/>
      <c r="M688" s="260"/>
      <c r="N688" s="260"/>
      <c r="O688" s="260"/>
    </row>
    <row r="689">
      <c r="K689" s="260"/>
      <c r="L689" s="260"/>
      <c r="M689" s="260"/>
      <c r="N689" s="260"/>
      <c r="O689" s="260"/>
    </row>
    <row r="690">
      <c r="K690" s="260"/>
      <c r="L690" s="260"/>
      <c r="M690" s="260"/>
      <c r="N690" s="260"/>
      <c r="O690" s="260"/>
    </row>
    <row r="691">
      <c r="K691" s="260"/>
      <c r="L691" s="260"/>
      <c r="M691" s="260"/>
      <c r="N691" s="260"/>
      <c r="O691" s="260"/>
    </row>
    <row r="692">
      <c r="K692" s="260"/>
      <c r="L692" s="260"/>
      <c r="M692" s="260"/>
      <c r="N692" s="260"/>
      <c r="O692" s="260"/>
    </row>
    <row r="693">
      <c r="K693" s="260"/>
      <c r="L693" s="260"/>
      <c r="M693" s="260"/>
      <c r="N693" s="260"/>
      <c r="O693" s="260"/>
    </row>
    <row r="694">
      <c r="K694" s="260"/>
      <c r="L694" s="260"/>
      <c r="M694" s="260"/>
      <c r="N694" s="260"/>
      <c r="O694" s="260"/>
    </row>
    <row r="695">
      <c r="K695" s="260"/>
      <c r="L695" s="260"/>
      <c r="M695" s="260"/>
      <c r="N695" s="260"/>
      <c r="O695" s="260"/>
    </row>
    <row r="696">
      <c r="K696" s="260"/>
      <c r="L696" s="260"/>
      <c r="M696" s="260"/>
      <c r="N696" s="260"/>
      <c r="O696" s="260"/>
    </row>
    <row r="697">
      <c r="K697" s="260"/>
      <c r="L697" s="260"/>
      <c r="M697" s="260"/>
      <c r="N697" s="260"/>
      <c r="O697" s="260"/>
    </row>
    <row r="698">
      <c r="K698" s="260"/>
      <c r="L698" s="260"/>
      <c r="M698" s="260"/>
      <c r="N698" s="260"/>
      <c r="O698" s="260"/>
    </row>
    <row r="699">
      <c r="K699" s="260"/>
      <c r="L699" s="260"/>
      <c r="M699" s="260"/>
      <c r="N699" s="260"/>
      <c r="O699" s="260"/>
    </row>
    <row r="700">
      <c r="K700" s="260"/>
      <c r="L700" s="260"/>
      <c r="M700" s="260"/>
      <c r="N700" s="260"/>
      <c r="O700" s="260"/>
    </row>
    <row r="701">
      <c r="K701" s="260"/>
      <c r="L701" s="260"/>
      <c r="M701" s="260"/>
      <c r="N701" s="260"/>
      <c r="O701" s="260"/>
    </row>
    <row r="702">
      <c r="K702" s="260"/>
      <c r="L702" s="260"/>
      <c r="M702" s="260"/>
      <c r="N702" s="260"/>
      <c r="O702" s="260"/>
    </row>
    <row r="703">
      <c r="K703" s="260"/>
      <c r="L703" s="260"/>
      <c r="M703" s="260"/>
      <c r="N703" s="260"/>
      <c r="O703" s="260"/>
    </row>
    <row r="704">
      <c r="K704" s="260"/>
      <c r="L704" s="260"/>
      <c r="M704" s="260"/>
      <c r="N704" s="260"/>
      <c r="O704" s="260"/>
    </row>
    <row r="705">
      <c r="K705" s="260"/>
      <c r="L705" s="260"/>
      <c r="M705" s="260"/>
      <c r="N705" s="260"/>
      <c r="O705" s="260"/>
    </row>
    <row r="706">
      <c r="K706" s="260"/>
      <c r="L706" s="260"/>
      <c r="M706" s="260"/>
      <c r="N706" s="260"/>
      <c r="O706" s="260"/>
    </row>
    <row r="707">
      <c r="K707" s="260"/>
      <c r="L707" s="260"/>
      <c r="M707" s="260"/>
      <c r="N707" s="260"/>
      <c r="O707" s="260"/>
    </row>
    <row r="708">
      <c r="K708" s="260"/>
      <c r="L708" s="260"/>
      <c r="M708" s="260"/>
      <c r="N708" s="260"/>
      <c r="O708" s="260"/>
    </row>
    <row r="709">
      <c r="K709" s="260"/>
      <c r="L709" s="260"/>
      <c r="M709" s="260"/>
      <c r="N709" s="260"/>
      <c r="O709" s="260"/>
    </row>
    <row r="710">
      <c r="K710" s="260"/>
      <c r="L710" s="260"/>
      <c r="M710" s="260"/>
      <c r="N710" s="260"/>
      <c r="O710" s="260"/>
    </row>
    <row r="711">
      <c r="K711" s="260"/>
      <c r="L711" s="260"/>
      <c r="M711" s="260"/>
      <c r="N711" s="260"/>
      <c r="O711" s="260"/>
    </row>
    <row r="712">
      <c r="K712" s="260"/>
      <c r="L712" s="260"/>
      <c r="M712" s="260"/>
      <c r="N712" s="260"/>
      <c r="O712" s="260"/>
    </row>
    <row r="713">
      <c r="K713" s="260"/>
      <c r="L713" s="260"/>
      <c r="M713" s="260"/>
      <c r="N713" s="260"/>
      <c r="O713" s="260"/>
    </row>
    <row r="714">
      <c r="K714" s="260"/>
      <c r="L714" s="260"/>
      <c r="M714" s="260"/>
      <c r="N714" s="260"/>
      <c r="O714" s="260"/>
    </row>
    <row r="715">
      <c r="K715" s="260"/>
      <c r="L715" s="260"/>
      <c r="M715" s="260"/>
      <c r="N715" s="260"/>
      <c r="O715" s="260"/>
    </row>
    <row r="716">
      <c r="K716" s="260"/>
      <c r="L716" s="260"/>
      <c r="M716" s="260"/>
      <c r="N716" s="260"/>
      <c r="O716" s="260"/>
    </row>
    <row r="717">
      <c r="K717" s="260"/>
      <c r="L717" s="260"/>
      <c r="M717" s="260"/>
      <c r="N717" s="260"/>
      <c r="O717" s="260"/>
    </row>
    <row r="718">
      <c r="K718" s="260"/>
      <c r="L718" s="260"/>
      <c r="M718" s="260"/>
      <c r="N718" s="260"/>
      <c r="O718" s="260"/>
    </row>
    <row r="719">
      <c r="K719" s="260"/>
      <c r="L719" s="260"/>
      <c r="M719" s="260"/>
      <c r="N719" s="260"/>
      <c r="O719" s="260"/>
    </row>
    <row r="720">
      <c r="K720" s="260"/>
      <c r="L720" s="260"/>
      <c r="M720" s="260"/>
      <c r="N720" s="260"/>
      <c r="O720" s="260"/>
    </row>
    <row r="721">
      <c r="K721" s="260"/>
      <c r="L721" s="260"/>
      <c r="M721" s="260"/>
      <c r="N721" s="260"/>
      <c r="O721" s="260"/>
    </row>
    <row r="722">
      <c r="K722" s="260"/>
      <c r="L722" s="260"/>
      <c r="M722" s="260"/>
      <c r="N722" s="260"/>
      <c r="O722" s="260"/>
    </row>
    <row r="723">
      <c r="K723" s="260"/>
      <c r="L723" s="260"/>
      <c r="M723" s="260"/>
      <c r="N723" s="260"/>
      <c r="O723" s="260"/>
    </row>
    <row r="724">
      <c r="K724" s="260"/>
      <c r="L724" s="260"/>
      <c r="M724" s="260"/>
      <c r="N724" s="260"/>
      <c r="O724" s="260"/>
    </row>
    <row r="725">
      <c r="K725" s="260"/>
      <c r="L725" s="260"/>
      <c r="M725" s="260"/>
      <c r="N725" s="260"/>
      <c r="O725" s="260"/>
    </row>
    <row r="726">
      <c r="K726" s="260"/>
      <c r="L726" s="260"/>
      <c r="M726" s="260"/>
      <c r="N726" s="260"/>
      <c r="O726" s="260"/>
    </row>
    <row r="727">
      <c r="K727" s="260"/>
      <c r="L727" s="260"/>
      <c r="M727" s="260"/>
      <c r="N727" s="260"/>
      <c r="O727" s="260"/>
    </row>
    <row r="728">
      <c r="K728" s="260"/>
      <c r="L728" s="260"/>
      <c r="M728" s="260"/>
      <c r="N728" s="260"/>
      <c r="O728" s="260"/>
    </row>
    <row r="729">
      <c r="K729" s="260"/>
      <c r="L729" s="260"/>
      <c r="M729" s="260"/>
      <c r="N729" s="260"/>
      <c r="O729" s="260"/>
    </row>
    <row r="730">
      <c r="K730" s="260"/>
      <c r="L730" s="260"/>
      <c r="M730" s="260"/>
      <c r="N730" s="260"/>
      <c r="O730" s="260"/>
    </row>
    <row r="731">
      <c r="K731" s="260"/>
      <c r="L731" s="260"/>
      <c r="M731" s="260"/>
      <c r="N731" s="260"/>
      <c r="O731" s="260"/>
    </row>
    <row r="732">
      <c r="K732" s="260"/>
      <c r="L732" s="260"/>
      <c r="M732" s="260"/>
      <c r="N732" s="260"/>
      <c r="O732" s="260"/>
    </row>
    <row r="733">
      <c r="K733" s="260"/>
      <c r="L733" s="260"/>
      <c r="M733" s="260"/>
      <c r="N733" s="260"/>
      <c r="O733" s="260"/>
    </row>
    <row r="734">
      <c r="K734" s="260"/>
      <c r="L734" s="260"/>
      <c r="M734" s="260"/>
      <c r="N734" s="260"/>
      <c r="O734" s="260"/>
    </row>
    <row r="735">
      <c r="K735" s="260"/>
      <c r="L735" s="260"/>
      <c r="M735" s="260"/>
      <c r="N735" s="260"/>
      <c r="O735" s="260"/>
    </row>
    <row r="736">
      <c r="K736" s="260"/>
      <c r="L736" s="260"/>
      <c r="M736" s="260"/>
      <c r="N736" s="260"/>
      <c r="O736" s="260"/>
    </row>
    <row r="737">
      <c r="K737" s="260"/>
      <c r="L737" s="260"/>
      <c r="M737" s="260"/>
      <c r="N737" s="260"/>
      <c r="O737" s="260"/>
    </row>
    <row r="738">
      <c r="K738" s="260"/>
      <c r="L738" s="260"/>
      <c r="M738" s="260"/>
      <c r="N738" s="260"/>
      <c r="O738" s="260"/>
    </row>
    <row r="739">
      <c r="K739" s="260"/>
      <c r="L739" s="260"/>
      <c r="M739" s="260"/>
      <c r="N739" s="260"/>
      <c r="O739" s="260"/>
    </row>
    <row r="740">
      <c r="K740" s="260"/>
      <c r="L740" s="260"/>
      <c r="M740" s="260"/>
      <c r="N740" s="260"/>
      <c r="O740" s="260"/>
    </row>
    <row r="741">
      <c r="K741" s="260"/>
      <c r="L741" s="260"/>
      <c r="M741" s="260"/>
      <c r="N741" s="260"/>
      <c r="O741" s="260"/>
    </row>
    <row r="742">
      <c r="K742" s="260"/>
      <c r="L742" s="260"/>
      <c r="M742" s="260"/>
      <c r="N742" s="260"/>
      <c r="O742" s="260"/>
    </row>
    <row r="743">
      <c r="K743" s="260"/>
      <c r="L743" s="260"/>
      <c r="M743" s="260"/>
      <c r="N743" s="260"/>
      <c r="O743" s="260"/>
    </row>
    <row r="744">
      <c r="K744" s="260"/>
      <c r="L744" s="260"/>
      <c r="M744" s="260"/>
      <c r="N744" s="260"/>
      <c r="O744" s="260"/>
    </row>
    <row r="745">
      <c r="K745" s="260"/>
      <c r="L745" s="260"/>
      <c r="M745" s="260"/>
      <c r="N745" s="260"/>
      <c r="O745" s="260"/>
    </row>
    <row r="746">
      <c r="K746" s="260"/>
      <c r="L746" s="260"/>
      <c r="M746" s="260"/>
      <c r="N746" s="260"/>
      <c r="O746" s="260"/>
    </row>
    <row r="747">
      <c r="K747" s="260"/>
      <c r="L747" s="260"/>
      <c r="M747" s="260"/>
      <c r="N747" s="260"/>
      <c r="O747" s="260"/>
    </row>
    <row r="748">
      <c r="K748" s="260"/>
      <c r="L748" s="260"/>
      <c r="M748" s="260"/>
      <c r="N748" s="260"/>
      <c r="O748" s="260"/>
    </row>
    <row r="749">
      <c r="K749" s="260"/>
      <c r="L749" s="260"/>
      <c r="M749" s="260"/>
      <c r="N749" s="260"/>
      <c r="O749" s="260"/>
    </row>
    <row r="750">
      <c r="K750" s="260"/>
      <c r="L750" s="260"/>
      <c r="M750" s="260"/>
      <c r="N750" s="260"/>
      <c r="O750" s="260"/>
    </row>
    <row r="751">
      <c r="K751" s="260"/>
      <c r="L751" s="260"/>
      <c r="M751" s="260"/>
      <c r="N751" s="260"/>
      <c r="O751" s="260"/>
    </row>
    <row r="752">
      <c r="K752" s="260"/>
      <c r="L752" s="260"/>
      <c r="M752" s="260"/>
      <c r="N752" s="260"/>
      <c r="O752" s="260"/>
    </row>
    <row r="753">
      <c r="K753" s="260"/>
      <c r="L753" s="260"/>
      <c r="M753" s="260"/>
      <c r="N753" s="260"/>
      <c r="O753" s="260"/>
    </row>
    <row r="754">
      <c r="K754" s="260"/>
      <c r="L754" s="260"/>
      <c r="M754" s="260"/>
      <c r="N754" s="260"/>
      <c r="O754" s="260"/>
    </row>
    <row r="755">
      <c r="K755" s="260"/>
      <c r="L755" s="260"/>
      <c r="M755" s="260"/>
      <c r="N755" s="260"/>
      <c r="O755" s="260"/>
    </row>
    <row r="756">
      <c r="K756" s="260"/>
      <c r="L756" s="260"/>
      <c r="M756" s="260"/>
      <c r="N756" s="260"/>
      <c r="O756" s="260"/>
    </row>
    <row r="757">
      <c r="K757" s="260"/>
      <c r="L757" s="260"/>
      <c r="M757" s="260"/>
      <c r="N757" s="260"/>
      <c r="O757" s="260"/>
    </row>
    <row r="758">
      <c r="K758" s="260"/>
      <c r="L758" s="260"/>
      <c r="M758" s="260"/>
      <c r="N758" s="260"/>
      <c r="O758" s="260"/>
    </row>
    <row r="759">
      <c r="K759" s="260"/>
      <c r="L759" s="260"/>
      <c r="M759" s="260"/>
      <c r="N759" s="260"/>
      <c r="O759" s="260"/>
    </row>
    <row r="760">
      <c r="K760" s="260"/>
      <c r="L760" s="260"/>
      <c r="M760" s="260"/>
      <c r="N760" s="260"/>
      <c r="O760" s="260"/>
    </row>
    <row r="761">
      <c r="K761" s="260"/>
      <c r="L761" s="260"/>
      <c r="M761" s="260"/>
      <c r="N761" s="260"/>
      <c r="O761" s="260"/>
    </row>
    <row r="762">
      <c r="K762" s="260"/>
      <c r="L762" s="260"/>
      <c r="M762" s="260"/>
      <c r="N762" s="260"/>
      <c r="O762" s="260"/>
    </row>
    <row r="763">
      <c r="K763" s="260"/>
      <c r="L763" s="260"/>
      <c r="M763" s="260"/>
      <c r="N763" s="260"/>
      <c r="O763" s="260"/>
    </row>
    <row r="764">
      <c r="K764" s="260"/>
      <c r="L764" s="260"/>
      <c r="M764" s="260"/>
      <c r="N764" s="260"/>
      <c r="O764" s="260"/>
    </row>
    <row r="765">
      <c r="K765" s="260"/>
      <c r="L765" s="260"/>
      <c r="M765" s="260"/>
      <c r="N765" s="260"/>
      <c r="O765" s="260"/>
    </row>
    <row r="766">
      <c r="K766" s="260"/>
      <c r="L766" s="260"/>
      <c r="M766" s="260"/>
      <c r="N766" s="260"/>
      <c r="O766" s="260"/>
    </row>
    <row r="767">
      <c r="K767" s="260"/>
      <c r="L767" s="260"/>
      <c r="M767" s="260"/>
      <c r="N767" s="260"/>
      <c r="O767" s="260"/>
    </row>
    <row r="768">
      <c r="K768" s="260"/>
      <c r="L768" s="260"/>
      <c r="M768" s="260"/>
      <c r="N768" s="260"/>
      <c r="O768" s="260"/>
    </row>
    <row r="769">
      <c r="K769" s="260"/>
      <c r="L769" s="260"/>
      <c r="M769" s="260"/>
      <c r="N769" s="260"/>
      <c r="O769" s="260"/>
    </row>
    <row r="770">
      <c r="K770" s="260"/>
      <c r="L770" s="260"/>
      <c r="M770" s="260"/>
      <c r="N770" s="260"/>
      <c r="O770" s="260"/>
    </row>
    <row r="771">
      <c r="K771" s="260"/>
      <c r="L771" s="260"/>
      <c r="M771" s="260"/>
      <c r="N771" s="260"/>
      <c r="O771" s="260"/>
    </row>
    <row r="772">
      <c r="K772" s="260"/>
      <c r="L772" s="260"/>
      <c r="M772" s="260"/>
      <c r="N772" s="260"/>
      <c r="O772" s="260"/>
    </row>
    <row r="773">
      <c r="K773" s="260"/>
      <c r="L773" s="260"/>
      <c r="M773" s="260"/>
      <c r="N773" s="260"/>
      <c r="O773" s="260"/>
    </row>
    <row r="774">
      <c r="K774" s="260"/>
      <c r="L774" s="260"/>
      <c r="M774" s="260"/>
      <c r="N774" s="260"/>
      <c r="O774" s="260"/>
    </row>
    <row r="775">
      <c r="K775" s="260"/>
      <c r="L775" s="260"/>
      <c r="M775" s="260"/>
      <c r="N775" s="260"/>
      <c r="O775" s="260"/>
    </row>
    <row r="776">
      <c r="K776" s="260"/>
      <c r="L776" s="260"/>
      <c r="M776" s="260"/>
      <c r="N776" s="260"/>
      <c r="O776" s="260"/>
    </row>
    <row r="777">
      <c r="K777" s="260"/>
      <c r="L777" s="260"/>
      <c r="M777" s="260"/>
      <c r="N777" s="260"/>
      <c r="O777" s="260"/>
    </row>
    <row r="778">
      <c r="K778" s="260"/>
      <c r="L778" s="260"/>
      <c r="M778" s="260"/>
      <c r="N778" s="260"/>
      <c r="O778" s="260"/>
    </row>
    <row r="779">
      <c r="K779" s="260"/>
      <c r="L779" s="260"/>
      <c r="M779" s="260"/>
      <c r="N779" s="260"/>
      <c r="O779" s="260"/>
    </row>
    <row r="780">
      <c r="K780" s="260"/>
      <c r="L780" s="260"/>
      <c r="M780" s="260"/>
      <c r="N780" s="260"/>
      <c r="O780" s="260"/>
    </row>
    <row r="781">
      <c r="K781" s="260"/>
      <c r="L781" s="260"/>
      <c r="M781" s="260"/>
      <c r="N781" s="260"/>
      <c r="O781" s="260"/>
    </row>
    <row r="782">
      <c r="K782" s="260"/>
      <c r="L782" s="260"/>
      <c r="M782" s="260"/>
      <c r="N782" s="260"/>
      <c r="O782" s="260"/>
    </row>
    <row r="783">
      <c r="K783" s="260"/>
      <c r="L783" s="260"/>
      <c r="M783" s="260"/>
      <c r="N783" s="260"/>
      <c r="O783" s="260"/>
    </row>
    <row r="784">
      <c r="K784" s="260"/>
      <c r="L784" s="260"/>
      <c r="M784" s="260"/>
      <c r="N784" s="260"/>
      <c r="O784" s="260"/>
    </row>
    <row r="785">
      <c r="K785" s="260"/>
      <c r="L785" s="260"/>
      <c r="M785" s="260"/>
      <c r="N785" s="260"/>
      <c r="O785" s="260"/>
    </row>
    <row r="786">
      <c r="K786" s="260"/>
      <c r="L786" s="260"/>
      <c r="M786" s="260"/>
      <c r="N786" s="260"/>
      <c r="O786" s="260"/>
    </row>
    <row r="787">
      <c r="K787" s="260"/>
      <c r="L787" s="260"/>
      <c r="M787" s="260"/>
      <c r="N787" s="260"/>
      <c r="O787" s="260"/>
    </row>
    <row r="788">
      <c r="K788" s="260"/>
      <c r="L788" s="260"/>
      <c r="M788" s="260"/>
      <c r="N788" s="260"/>
      <c r="O788" s="260"/>
    </row>
    <row r="789">
      <c r="K789" s="260"/>
      <c r="L789" s="260"/>
      <c r="M789" s="260"/>
      <c r="N789" s="260"/>
      <c r="O789" s="260"/>
    </row>
    <row r="790">
      <c r="K790" s="260"/>
      <c r="L790" s="260"/>
      <c r="M790" s="260"/>
      <c r="N790" s="260"/>
      <c r="O790" s="260"/>
    </row>
    <row r="791">
      <c r="K791" s="260"/>
      <c r="L791" s="260"/>
      <c r="M791" s="260"/>
      <c r="N791" s="260"/>
      <c r="O791" s="260"/>
    </row>
    <row r="792">
      <c r="K792" s="260"/>
      <c r="L792" s="260"/>
      <c r="M792" s="260"/>
      <c r="N792" s="260"/>
      <c r="O792" s="260"/>
    </row>
    <row r="793">
      <c r="K793" s="260"/>
      <c r="L793" s="260"/>
      <c r="M793" s="260"/>
      <c r="N793" s="260"/>
      <c r="O793" s="260"/>
    </row>
    <row r="794">
      <c r="K794" s="260"/>
      <c r="L794" s="260"/>
      <c r="M794" s="260"/>
      <c r="N794" s="260"/>
      <c r="O794" s="260"/>
    </row>
    <row r="795">
      <c r="K795" s="260"/>
      <c r="L795" s="260"/>
      <c r="M795" s="260"/>
      <c r="N795" s="260"/>
      <c r="O795" s="260"/>
    </row>
    <row r="796">
      <c r="K796" s="260"/>
      <c r="L796" s="260"/>
      <c r="M796" s="260"/>
      <c r="N796" s="260"/>
      <c r="O796" s="260"/>
    </row>
    <row r="797">
      <c r="K797" s="260"/>
      <c r="L797" s="260"/>
      <c r="M797" s="260"/>
      <c r="N797" s="260"/>
      <c r="O797" s="260"/>
    </row>
    <row r="798">
      <c r="K798" s="260"/>
      <c r="L798" s="260"/>
      <c r="M798" s="260"/>
      <c r="N798" s="260"/>
      <c r="O798" s="260"/>
    </row>
    <row r="799">
      <c r="K799" s="260"/>
      <c r="L799" s="260"/>
      <c r="M799" s="260"/>
      <c r="N799" s="260"/>
      <c r="O799" s="260"/>
    </row>
    <row r="800">
      <c r="K800" s="260"/>
      <c r="L800" s="260"/>
      <c r="M800" s="260"/>
      <c r="N800" s="260"/>
      <c r="O800" s="260"/>
    </row>
    <row r="801">
      <c r="K801" s="260"/>
      <c r="L801" s="260"/>
      <c r="M801" s="260"/>
      <c r="N801" s="260"/>
      <c r="O801" s="260"/>
    </row>
    <row r="802">
      <c r="K802" s="260"/>
      <c r="L802" s="260"/>
      <c r="M802" s="260"/>
      <c r="N802" s="260"/>
      <c r="O802" s="260"/>
    </row>
    <row r="803">
      <c r="K803" s="260"/>
      <c r="L803" s="260"/>
      <c r="M803" s="260"/>
      <c r="N803" s="260"/>
      <c r="O803" s="260"/>
    </row>
    <row r="804">
      <c r="K804" s="260"/>
      <c r="L804" s="260"/>
      <c r="M804" s="260"/>
      <c r="N804" s="260"/>
      <c r="O804" s="260"/>
    </row>
    <row r="805">
      <c r="K805" s="260"/>
      <c r="L805" s="260"/>
      <c r="M805" s="260"/>
      <c r="N805" s="260"/>
      <c r="O805" s="260"/>
    </row>
    <row r="806">
      <c r="K806" s="260"/>
      <c r="L806" s="260"/>
      <c r="M806" s="260"/>
      <c r="N806" s="260"/>
      <c r="O806" s="260"/>
    </row>
    <row r="807">
      <c r="K807" s="260"/>
      <c r="L807" s="260"/>
      <c r="M807" s="260"/>
      <c r="N807" s="260"/>
      <c r="O807" s="260"/>
    </row>
    <row r="808">
      <c r="K808" s="260"/>
      <c r="L808" s="260"/>
      <c r="M808" s="260"/>
      <c r="N808" s="260"/>
      <c r="O808" s="260"/>
    </row>
    <row r="809">
      <c r="K809" s="260"/>
      <c r="L809" s="260"/>
      <c r="M809" s="260"/>
      <c r="N809" s="260"/>
      <c r="O809" s="260"/>
    </row>
    <row r="810">
      <c r="K810" s="260"/>
      <c r="L810" s="260"/>
      <c r="M810" s="260"/>
      <c r="N810" s="260"/>
      <c r="O810" s="260"/>
    </row>
    <row r="811">
      <c r="K811" s="260"/>
      <c r="L811" s="260"/>
      <c r="M811" s="260"/>
      <c r="N811" s="260"/>
      <c r="O811" s="260"/>
    </row>
    <row r="812">
      <c r="K812" s="260"/>
      <c r="L812" s="260"/>
      <c r="M812" s="260"/>
      <c r="N812" s="260"/>
      <c r="O812" s="260"/>
    </row>
    <row r="813">
      <c r="K813" s="260"/>
      <c r="L813" s="260"/>
      <c r="M813" s="260"/>
      <c r="N813" s="260"/>
      <c r="O813" s="260"/>
    </row>
    <row r="814">
      <c r="K814" s="260"/>
      <c r="L814" s="260"/>
      <c r="M814" s="260"/>
      <c r="N814" s="260"/>
      <c r="O814" s="260"/>
    </row>
    <row r="815">
      <c r="K815" s="260"/>
      <c r="L815" s="260"/>
      <c r="M815" s="260"/>
      <c r="N815" s="260"/>
      <c r="O815" s="260"/>
    </row>
    <row r="816">
      <c r="K816" s="260"/>
      <c r="L816" s="260"/>
      <c r="M816" s="260"/>
      <c r="N816" s="260"/>
      <c r="O816" s="260"/>
    </row>
    <row r="817">
      <c r="K817" s="260"/>
      <c r="L817" s="260"/>
      <c r="M817" s="260"/>
      <c r="N817" s="260"/>
      <c r="O817" s="260"/>
    </row>
    <row r="818">
      <c r="K818" s="260"/>
      <c r="L818" s="260"/>
      <c r="M818" s="260"/>
      <c r="N818" s="260"/>
      <c r="O818" s="260"/>
    </row>
    <row r="819">
      <c r="K819" s="260"/>
      <c r="L819" s="260"/>
      <c r="M819" s="260"/>
      <c r="N819" s="260"/>
      <c r="O819" s="260"/>
    </row>
    <row r="820">
      <c r="K820" s="260"/>
      <c r="L820" s="260"/>
      <c r="M820" s="260"/>
      <c r="N820" s="260"/>
      <c r="O820" s="260"/>
    </row>
    <row r="821">
      <c r="K821" s="260"/>
      <c r="L821" s="260"/>
      <c r="M821" s="260"/>
      <c r="N821" s="260"/>
      <c r="O821" s="260"/>
    </row>
    <row r="822">
      <c r="K822" s="260"/>
      <c r="L822" s="260"/>
      <c r="M822" s="260"/>
      <c r="N822" s="260"/>
      <c r="O822" s="260"/>
    </row>
    <row r="823">
      <c r="K823" s="260"/>
      <c r="L823" s="260"/>
      <c r="M823" s="260"/>
      <c r="N823" s="260"/>
      <c r="O823" s="260"/>
    </row>
    <row r="824">
      <c r="K824" s="260"/>
      <c r="L824" s="260"/>
      <c r="M824" s="260"/>
      <c r="N824" s="260"/>
      <c r="O824" s="260"/>
    </row>
    <row r="825">
      <c r="K825" s="260"/>
      <c r="L825" s="260"/>
      <c r="M825" s="260"/>
      <c r="N825" s="260"/>
      <c r="O825" s="260"/>
    </row>
    <row r="826">
      <c r="K826" s="260"/>
      <c r="L826" s="260"/>
      <c r="M826" s="260"/>
      <c r="N826" s="260"/>
      <c r="O826" s="260"/>
    </row>
    <row r="827">
      <c r="K827" s="260"/>
      <c r="L827" s="260"/>
      <c r="M827" s="260"/>
      <c r="N827" s="260"/>
      <c r="O827" s="260"/>
    </row>
    <row r="828">
      <c r="K828" s="260"/>
      <c r="L828" s="260"/>
      <c r="M828" s="260"/>
      <c r="N828" s="260"/>
      <c r="O828" s="260"/>
    </row>
    <row r="829">
      <c r="K829" s="260"/>
      <c r="L829" s="260"/>
      <c r="M829" s="260"/>
      <c r="N829" s="260"/>
      <c r="O829" s="260"/>
    </row>
    <row r="830">
      <c r="K830" s="260"/>
      <c r="L830" s="260"/>
      <c r="M830" s="260"/>
      <c r="N830" s="260"/>
      <c r="O830" s="260"/>
    </row>
    <row r="831">
      <c r="K831" s="260"/>
      <c r="L831" s="260"/>
      <c r="M831" s="260"/>
      <c r="N831" s="260"/>
      <c r="O831" s="260"/>
    </row>
    <row r="832">
      <c r="K832" s="260"/>
      <c r="L832" s="260"/>
      <c r="M832" s="260"/>
      <c r="N832" s="260"/>
      <c r="O832" s="260"/>
    </row>
    <row r="833">
      <c r="K833" s="260"/>
      <c r="L833" s="260"/>
      <c r="M833" s="260"/>
      <c r="N833" s="260"/>
      <c r="O833" s="260"/>
    </row>
    <row r="834">
      <c r="K834" s="260"/>
      <c r="L834" s="260"/>
      <c r="M834" s="260"/>
      <c r="N834" s="260"/>
      <c r="O834" s="260"/>
    </row>
    <row r="835">
      <c r="K835" s="260"/>
      <c r="L835" s="260"/>
      <c r="M835" s="260"/>
      <c r="N835" s="260"/>
      <c r="O835" s="260"/>
    </row>
    <row r="836">
      <c r="K836" s="260"/>
      <c r="L836" s="260"/>
      <c r="M836" s="260"/>
      <c r="N836" s="260"/>
      <c r="O836" s="260"/>
    </row>
    <row r="837">
      <c r="K837" s="260"/>
      <c r="L837" s="260"/>
      <c r="M837" s="260"/>
      <c r="N837" s="260"/>
      <c r="O837" s="260"/>
    </row>
    <row r="838">
      <c r="K838" s="260"/>
      <c r="L838" s="260"/>
      <c r="M838" s="260"/>
      <c r="N838" s="260"/>
      <c r="O838" s="260"/>
    </row>
    <row r="839">
      <c r="K839" s="260"/>
      <c r="L839" s="260"/>
      <c r="M839" s="260"/>
      <c r="N839" s="260"/>
      <c r="O839" s="260"/>
    </row>
    <row r="840">
      <c r="K840" s="260"/>
      <c r="L840" s="260"/>
      <c r="M840" s="260"/>
      <c r="N840" s="260"/>
      <c r="O840" s="260"/>
    </row>
    <row r="841">
      <c r="K841" s="260"/>
      <c r="L841" s="260"/>
      <c r="M841" s="260"/>
      <c r="N841" s="260"/>
      <c r="O841" s="260"/>
    </row>
    <row r="842">
      <c r="K842" s="260"/>
      <c r="L842" s="260"/>
      <c r="M842" s="260"/>
      <c r="N842" s="260"/>
      <c r="O842" s="260"/>
    </row>
    <row r="843">
      <c r="K843" s="260"/>
      <c r="L843" s="260"/>
      <c r="M843" s="260"/>
      <c r="N843" s="260"/>
      <c r="O843" s="260"/>
    </row>
    <row r="844">
      <c r="K844" s="260"/>
      <c r="L844" s="260"/>
      <c r="M844" s="260"/>
      <c r="N844" s="260"/>
      <c r="O844" s="260"/>
    </row>
    <row r="845">
      <c r="K845" s="260"/>
      <c r="L845" s="260"/>
      <c r="M845" s="260"/>
      <c r="N845" s="260"/>
      <c r="O845" s="260"/>
    </row>
    <row r="846">
      <c r="K846" s="260"/>
      <c r="L846" s="260"/>
      <c r="M846" s="260"/>
      <c r="N846" s="260"/>
      <c r="O846" s="260"/>
    </row>
    <row r="847">
      <c r="K847" s="260"/>
      <c r="L847" s="260"/>
      <c r="M847" s="260"/>
      <c r="N847" s="260"/>
      <c r="O847" s="260"/>
    </row>
    <row r="848">
      <c r="K848" s="260"/>
      <c r="L848" s="260"/>
      <c r="M848" s="260"/>
      <c r="N848" s="260"/>
      <c r="O848" s="260"/>
    </row>
    <row r="849">
      <c r="K849" s="260"/>
      <c r="L849" s="260"/>
      <c r="M849" s="260"/>
      <c r="N849" s="260"/>
      <c r="O849" s="260"/>
    </row>
    <row r="850">
      <c r="K850" s="260"/>
      <c r="L850" s="260"/>
      <c r="M850" s="260"/>
      <c r="N850" s="260"/>
      <c r="O850" s="260"/>
    </row>
    <row r="851">
      <c r="K851" s="260"/>
      <c r="L851" s="260"/>
      <c r="M851" s="260"/>
      <c r="N851" s="260"/>
      <c r="O851" s="260"/>
    </row>
    <row r="852">
      <c r="K852" s="260"/>
      <c r="L852" s="260"/>
      <c r="M852" s="260"/>
      <c r="N852" s="260"/>
      <c r="O852" s="260"/>
    </row>
    <row r="853">
      <c r="K853" s="260"/>
      <c r="L853" s="260"/>
      <c r="M853" s="260"/>
      <c r="N853" s="260"/>
      <c r="O853" s="260"/>
    </row>
    <row r="854">
      <c r="K854" s="260"/>
      <c r="L854" s="260"/>
      <c r="M854" s="260"/>
      <c r="N854" s="260"/>
      <c r="O854" s="260"/>
    </row>
    <row r="855">
      <c r="K855" s="260"/>
      <c r="L855" s="260"/>
      <c r="M855" s="260"/>
      <c r="N855" s="260"/>
      <c r="O855" s="260"/>
    </row>
    <row r="856">
      <c r="K856" s="260"/>
      <c r="L856" s="260"/>
      <c r="M856" s="260"/>
      <c r="N856" s="260"/>
      <c r="O856" s="260"/>
    </row>
    <row r="857">
      <c r="K857" s="260"/>
      <c r="L857" s="260"/>
      <c r="M857" s="260"/>
      <c r="N857" s="260"/>
      <c r="O857" s="260"/>
    </row>
    <row r="858">
      <c r="K858" s="260"/>
      <c r="L858" s="260"/>
      <c r="M858" s="260"/>
      <c r="N858" s="260"/>
      <c r="O858" s="260"/>
    </row>
    <row r="859">
      <c r="K859" s="260"/>
      <c r="L859" s="260"/>
      <c r="M859" s="260"/>
      <c r="N859" s="260"/>
      <c r="O859" s="260"/>
    </row>
    <row r="860">
      <c r="K860" s="260"/>
      <c r="L860" s="260"/>
      <c r="M860" s="260"/>
      <c r="N860" s="260"/>
      <c r="O860" s="260"/>
    </row>
    <row r="861">
      <c r="K861" s="260"/>
      <c r="L861" s="260"/>
      <c r="M861" s="260"/>
      <c r="N861" s="260"/>
      <c r="O861" s="260"/>
    </row>
    <row r="862">
      <c r="K862" s="260"/>
      <c r="L862" s="260"/>
      <c r="M862" s="260"/>
      <c r="N862" s="260"/>
      <c r="O862" s="260"/>
    </row>
    <row r="863">
      <c r="K863" s="260"/>
      <c r="L863" s="260"/>
      <c r="M863" s="260"/>
      <c r="N863" s="260"/>
      <c r="O863" s="260"/>
    </row>
    <row r="864">
      <c r="K864" s="260"/>
      <c r="L864" s="260"/>
      <c r="M864" s="260"/>
      <c r="N864" s="260"/>
      <c r="O864" s="260"/>
    </row>
    <row r="865">
      <c r="K865" s="260"/>
      <c r="L865" s="260"/>
      <c r="M865" s="260"/>
      <c r="N865" s="260"/>
      <c r="O865" s="260"/>
    </row>
    <row r="866">
      <c r="K866" s="260"/>
      <c r="L866" s="260"/>
      <c r="M866" s="260"/>
      <c r="N866" s="260"/>
      <c r="O866" s="260"/>
    </row>
    <row r="867">
      <c r="K867" s="260"/>
      <c r="L867" s="260"/>
      <c r="M867" s="260"/>
      <c r="N867" s="260"/>
      <c r="O867" s="260"/>
    </row>
    <row r="868">
      <c r="K868" s="260"/>
      <c r="L868" s="260"/>
      <c r="M868" s="260"/>
      <c r="N868" s="260"/>
      <c r="O868" s="260"/>
    </row>
    <row r="869">
      <c r="K869" s="260"/>
      <c r="L869" s="260"/>
      <c r="M869" s="260"/>
      <c r="N869" s="260"/>
      <c r="O869" s="260"/>
    </row>
    <row r="870">
      <c r="K870" s="260"/>
      <c r="L870" s="260"/>
      <c r="M870" s="260"/>
      <c r="N870" s="260"/>
      <c r="O870" s="260"/>
    </row>
    <row r="871">
      <c r="K871" s="260"/>
      <c r="L871" s="260"/>
      <c r="M871" s="260"/>
      <c r="N871" s="260"/>
      <c r="O871" s="260"/>
    </row>
    <row r="872">
      <c r="K872" s="260"/>
      <c r="L872" s="260"/>
      <c r="M872" s="260"/>
      <c r="N872" s="260"/>
      <c r="O872" s="260"/>
    </row>
    <row r="873">
      <c r="K873" s="260"/>
      <c r="L873" s="260"/>
      <c r="M873" s="260"/>
      <c r="N873" s="260"/>
      <c r="O873" s="260"/>
    </row>
    <row r="874">
      <c r="K874" s="260"/>
      <c r="L874" s="260"/>
      <c r="M874" s="260"/>
      <c r="N874" s="260"/>
      <c r="O874" s="260"/>
    </row>
    <row r="875">
      <c r="K875" s="260"/>
      <c r="L875" s="260"/>
      <c r="M875" s="260"/>
      <c r="N875" s="260"/>
      <c r="O875" s="260"/>
    </row>
    <row r="876">
      <c r="K876" s="260"/>
      <c r="L876" s="260"/>
      <c r="M876" s="260"/>
      <c r="N876" s="260"/>
      <c r="O876" s="260"/>
    </row>
    <row r="877">
      <c r="K877" s="260"/>
      <c r="L877" s="260"/>
      <c r="M877" s="260"/>
      <c r="N877" s="260"/>
      <c r="O877" s="260"/>
    </row>
    <row r="878">
      <c r="K878" s="260"/>
      <c r="L878" s="260"/>
      <c r="M878" s="260"/>
      <c r="N878" s="260"/>
      <c r="O878" s="260"/>
    </row>
    <row r="879">
      <c r="K879" s="260"/>
      <c r="L879" s="260"/>
      <c r="M879" s="260"/>
      <c r="N879" s="260"/>
      <c r="O879" s="260"/>
    </row>
    <row r="880">
      <c r="K880" s="260"/>
      <c r="L880" s="260"/>
      <c r="M880" s="260"/>
      <c r="N880" s="260"/>
      <c r="O880" s="260"/>
    </row>
    <row r="881">
      <c r="K881" s="260"/>
      <c r="L881" s="260"/>
      <c r="M881" s="260"/>
      <c r="N881" s="260"/>
      <c r="O881" s="260"/>
    </row>
    <row r="882">
      <c r="K882" s="260"/>
      <c r="L882" s="260"/>
      <c r="M882" s="260"/>
      <c r="N882" s="260"/>
      <c r="O882" s="260"/>
    </row>
    <row r="883">
      <c r="K883" s="260"/>
      <c r="L883" s="260"/>
      <c r="M883" s="260"/>
      <c r="N883" s="260"/>
      <c r="O883" s="260"/>
    </row>
    <row r="884">
      <c r="K884" s="260"/>
      <c r="L884" s="260"/>
      <c r="M884" s="260"/>
      <c r="N884" s="260"/>
      <c r="O884" s="260"/>
    </row>
    <row r="885">
      <c r="K885" s="260"/>
      <c r="L885" s="260"/>
      <c r="M885" s="260"/>
      <c r="N885" s="260"/>
      <c r="O885" s="260"/>
    </row>
    <row r="886">
      <c r="K886" s="260"/>
      <c r="L886" s="260"/>
      <c r="M886" s="260"/>
      <c r="N886" s="260"/>
      <c r="O886" s="260"/>
    </row>
    <row r="887">
      <c r="K887" s="260"/>
      <c r="L887" s="260"/>
      <c r="M887" s="260"/>
      <c r="N887" s="260"/>
      <c r="O887" s="260"/>
    </row>
    <row r="888">
      <c r="K888" s="260"/>
      <c r="L888" s="260"/>
      <c r="M888" s="260"/>
      <c r="N888" s="260"/>
      <c r="O888" s="260"/>
    </row>
    <row r="889">
      <c r="K889" s="260"/>
      <c r="L889" s="260"/>
      <c r="M889" s="260"/>
      <c r="N889" s="260"/>
      <c r="O889" s="260"/>
    </row>
    <row r="890">
      <c r="K890" s="260"/>
      <c r="L890" s="260"/>
      <c r="M890" s="260"/>
      <c r="N890" s="260"/>
      <c r="O890" s="260"/>
    </row>
    <row r="891">
      <c r="K891" s="260"/>
      <c r="L891" s="260"/>
      <c r="M891" s="260"/>
      <c r="N891" s="260"/>
      <c r="O891" s="260"/>
    </row>
    <row r="892">
      <c r="K892" s="260"/>
      <c r="L892" s="260"/>
      <c r="M892" s="260"/>
      <c r="N892" s="260"/>
      <c r="O892" s="260"/>
    </row>
    <row r="893">
      <c r="K893" s="260"/>
      <c r="L893" s="260"/>
      <c r="M893" s="260"/>
      <c r="N893" s="260"/>
      <c r="O893" s="260"/>
    </row>
    <row r="894">
      <c r="K894" s="260"/>
      <c r="L894" s="260"/>
      <c r="M894" s="260"/>
      <c r="N894" s="260"/>
      <c r="O894" s="260"/>
    </row>
    <row r="895">
      <c r="K895" s="260"/>
      <c r="L895" s="260"/>
      <c r="M895" s="260"/>
      <c r="N895" s="260"/>
      <c r="O895" s="260"/>
    </row>
    <row r="896">
      <c r="K896" s="260"/>
      <c r="L896" s="260"/>
      <c r="M896" s="260"/>
      <c r="N896" s="260"/>
      <c r="O896" s="260"/>
    </row>
    <row r="897">
      <c r="K897" s="260"/>
      <c r="L897" s="260"/>
      <c r="M897" s="260"/>
      <c r="N897" s="260"/>
      <c r="O897" s="260"/>
    </row>
    <row r="898">
      <c r="K898" s="260"/>
      <c r="L898" s="260"/>
      <c r="M898" s="260"/>
      <c r="N898" s="260"/>
      <c r="O898" s="260"/>
    </row>
    <row r="899">
      <c r="K899" s="260"/>
      <c r="L899" s="260"/>
      <c r="M899" s="260"/>
      <c r="N899" s="260"/>
      <c r="O899" s="260"/>
    </row>
    <row r="900">
      <c r="K900" s="260"/>
      <c r="L900" s="260"/>
      <c r="M900" s="260"/>
      <c r="N900" s="260"/>
      <c r="O900" s="260"/>
    </row>
    <row r="901">
      <c r="K901" s="260"/>
      <c r="L901" s="260"/>
      <c r="M901" s="260"/>
      <c r="N901" s="260"/>
      <c r="O901" s="260"/>
    </row>
    <row r="902">
      <c r="K902" s="260"/>
      <c r="L902" s="260"/>
      <c r="M902" s="260"/>
      <c r="N902" s="260"/>
      <c r="O902" s="260"/>
    </row>
    <row r="903">
      <c r="K903" s="260"/>
      <c r="L903" s="260"/>
      <c r="M903" s="260"/>
      <c r="N903" s="260"/>
      <c r="O903" s="260"/>
    </row>
    <row r="904">
      <c r="K904" s="260"/>
      <c r="L904" s="260"/>
      <c r="M904" s="260"/>
      <c r="N904" s="260"/>
      <c r="O904" s="260"/>
    </row>
    <row r="905">
      <c r="K905" s="260"/>
      <c r="L905" s="260"/>
      <c r="M905" s="260"/>
      <c r="N905" s="260"/>
      <c r="O905" s="260"/>
    </row>
    <row r="906">
      <c r="K906" s="260"/>
      <c r="L906" s="260"/>
      <c r="M906" s="260"/>
      <c r="N906" s="260"/>
      <c r="O906" s="260"/>
    </row>
    <row r="907">
      <c r="K907" s="260"/>
      <c r="L907" s="260"/>
      <c r="M907" s="260"/>
      <c r="N907" s="260"/>
      <c r="O907" s="260"/>
    </row>
    <row r="908">
      <c r="K908" s="260"/>
      <c r="L908" s="260"/>
      <c r="M908" s="260"/>
      <c r="N908" s="260"/>
      <c r="O908" s="260"/>
    </row>
    <row r="909">
      <c r="K909" s="260"/>
      <c r="L909" s="260"/>
      <c r="M909" s="260"/>
      <c r="N909" s="260"/>
      <c r="O909" s="260"/>
    </row>
    <row r="910">
      <c r="K910" s="260"/>
      <c r="L910" s="260"/>
      <c r="M910" s="260"/>
      <c r="N910" s="260"/>
      <c r="O910" s="260"/>
    </row>
    <row r="911">
      <c r="K911" s="260"/>
      <c r="L911" s="260"/>
      <c r="M911" s="260"/>
      <c r="N911" s="260"/>
      <c r="O911" s="260"/>
    </row>
    <row r="912">
      <c r="K912" s="260"/>
      <c r="L912" s="260"/>
      <c r="M912" s="260"/>
      <c r="N912" s="260"/>
      <c r="O912" s="260"/>
    </row>
    <row r="913">
      <c r="K913" s="260"/>
      <c r="L913" s="260"/>
      <c r="M913" s="260"/>
      <c r="N913" s="260"/>
      <c r="O913" s="260"/>
    </row>
    <row r="914">
      <c r="K914" s="260"/>
      <c r="L914" s="260"/>
      <c r="M914" s="260"/>
      <c r="N914" s="260"/>
      <c r="O914" s="260"/>
    </row>
    <row r="915">
      <c r="K915" s="260"/>
      <c r="L915" s="260"/>
      <c r="M915" s="260"/>
      <c r="N915" s="260"/>
      <c r="O915" s="260"/>
    </row>
    <row r="916">
      <c r="K916" s="260"/>
      <c r="L916" s="260"/>
      <c r="M916" s="260"/>
      <c r="N916" s="260"/>
      <c r="O916" s="260"/>
    </row>
    <row r="917">
      <c r="K917" s="260"/>
      <c r="L917" s="260"/>
      <c r="M917" s="260"/>
      <c r="N917" s="260"/>
      <c r="O917" s="260"/>
    </row>
    <row r="918">
      <c r="K918" s="260"/>
      <c r="L918" s="260"/>
      <c r="M918" s="260"/>
      <c r="N918" s="260"/>
      <c r="O918" s="260"/>
    </row>
    <row r="919">
      <c r="K919" s="260"/>
      <c r="L919" s="260"/>
      <c r="M919" s="260"/>
      <c r="N919" s="260"/>
      <c r="O919" s="260"/>
    </row>
    <row r="920">
      <c r="K920" s="260"/>
      <c r="L920" s="260"/>
      <c r="M920" s="260"/>
      <c r="N920" s="260"/>
      <c r="O920" s="260"/>
    </row>
    <row r="921">
      <c r="K921" s="260"/>
      <c r="L921" s="260"/>
      <c r="M921" s="260"/>
      <c r="N921" s="260"/>
      <c r="O921" s="260"/>
    </row>
    <row r="922">
      <c r="K922" s="260"/>
      <c r="L922" s="260"/>
      <c r="M922" s="260"/>
      <c r="N922" s="260"/>
      <c r="O922" s="260"/>
    </row>
    <row r="923">
      <c r="K923" s="260"/>
      <c r="L923" s="260"/>
      <c r="M923" s="260"/>
      <c r="N923" s="260"/>
      <c r="O923" s="260"/>
    </row>
    <row r="924">
      <c r="K924" s="260"/>
      <c r="L924" s="260"/>
      <c r="M924" s="260"/>
      <c r="N924" s="260"/>
      <c r="O924" s="260"/>
    </row>
    <row r="925">
      <c r="K925" s="260"/>
      <c r="L925" s="260"/>
      <c r="M925" s="260"/>
      <c r="N925" s="260"/>
      <c r="O925" s="260"/>
    </row>
    <row r="926">
      <c r="K926" s="260"/>
      <c r="L926" s="260"/>
      <c r="M926" s="260"/>
      <c r="N926" s="260"/>
      <c r="O926" s="260"/>
    </row>
    <row r="927">
      <c r="K927" s="260"/>
      <c r="L927" s="260"/>
      <c r="M927" s="260"/>
      <c r="N927" s="260"/>
      <c r="O927" s="260"/>
    </row>
    <row r="928">
      <c r="K928" s="260"/>
      <c r="L928" s="260"/>
      <c r="M928" s="260"/>
      <c r="N928" s="260"/>
      <c r="O928" s="260"/>
    </row>
    <row r="929">
      <c r="K929" s="260"/>
      <c r="L929" s="260"/>
      <c r="M929" s="260"/>
      <c r="N929" s="260"/>
      <c r="O929" s="260"/>
    </row>
    <row r="930">
      <c r="K930" s="260"/>
      <c r="L930" s="260"/>
      <c r="M930" s="260"/>
      <c r="N930" s="260"/>
      <c r="O930" s="260"/>
    </row>
    <row r="931">
      <c r="K931" s="260"/>
      <c r="L931" s="260"/>
      <c r="M931" s="260"/>
      <c r="N931" s="260"/>
      <c r="O931" s="260"/>
    </row>
    <row r="932">
      <c r="K932" s="260"/>
      <c r="L932" s="260"/>
      <c r="M932" s="260"/>
      <c r="N932" s="260"/>
      <c r="O932" s="260"/>
    </row>
    <row r="933">
      <c r="K933" s="260"/>
      <c r="L933" s="260"/>
      <c r="M933" s="260"/>
      <c r="N933" s="260"/>
      <c r="O933" s="260"/>
    </row>
    <row r="934">
      <c r="K934" s="260"/>
      <c r="L934" s="260"/>
      <c r="M934" s="260"/>
      <c r="N934" s="260"/>
      <c r="O934" s="260"/>
    </row>
    <row r="935">
      <c r="K935" s="260"/>
      <c r="L935" s="260"/>
      <c r="M935" s="260"/>
      <c r="N935" s="260"/>
      <c r="O935" s="260"/>
    </row>
    <row r="936">
      <c r="K936" s="260"/>
      <c r="L936" s="260"/>
      <c r="M936" s="260"/>
      <c r="N936" s="260"/>
      <c r="O936" s="260"/>
    </row>
    <row r="937">
      <c r="K937" s="260"/>
      <c r="L937" s="260"/>
      <c r="M937" s="260"/>
      <c r="N937" s="260"/>
      <c r="O937" s="260"/>
    </row>
    <row r="938">
      <c r="K938" s="260"/>
      <c r="L938" s="260"/>
      <c r="M938" s="260"/>
      <c r="N938" s="260"/>
      <c r="O938" s="260"/>
    </row>
    <row r="939">
      <c r="K939" s="260"/>
      <c r="L939" s="260"/>
      <c r="M939" s="260"/>
      <c r="N939" s="260"/>
      <c r="O939" s="260"/>
    </row>
    <row r="940">
      <c r="K940" s="260"/>
      <c r="L940" s="260"/>
      <c r="M940" s="260"/>
      <c r="N940" s="260"/>
      <c r="O940" s="260"/>
    </row>
    <row r="941">
      <c r="K941" s="260"/>
      <c r="L941" s="260"/>
      <c r="M941" s="260"/>
      <c r="N941" s="260"/>
      <c r="O941" s="260"/>
    </row>
    <row r="942">
      <c r="K942" s="260"/>
      <c r="L942" s="260"/>
      <c r="M942" s="260"/>
      <c r="N942" s="260"/>
      <c r="O942" s="260"/>
    </row>
    <row r="943">
      <c r="K943" s="260"/>
      <c r="L943" s="260"/>
      <c r="M943" s="260"/>
      <c r="N943" s="260"/>
      <c r="O943" s="260"/>
    </row>
    <row r="944">
      <c r="K944" s="260"/>
      <c r="L944" s="260"/>
      <c r="M944" s="260"/>
      <c r="N944" s="260"/>
      <c r="O944" s="260"/>
    </row>
    <row r="945">
      <c r="K945" s="260"/>
      <c r="L945" s="260"/>
      <c r="M945" s="260"/>
      <c r="N945" s="260"/>
      <c r="O945" s="260"/>
    </row>
    <row r="946">
      <c r="K946" s="260"/>
      <c r="L946" s="260"/>
      <c r="M946" s="260"/>
      <c r="N946" s="260"/>
      <c r="O946" s="260"/>
    </row>
    <row r="947">
      <c r="K947" s="260"/>
      <c r="L947" s="260"/>
      <c r="M947" s="260"/>
      <c r="N947" s="260"/>
      <c r="O947" s="260"/>
    </row>
    <row r="948">
      <c r="K948" s="260"/>
      <c r="L948" s="260"/>
      <c r="M948" s="260"/>
      <c r="N948" s="260"/>
      <c r="O948" s="260"/>
    </row>
    <row r="949">
      <c r="K949" s="260"/>
      <c r="L949" s="260"/>
      <c r="M949" s="260"/>
      <c r="N949" s="260"/>
      <c r="O949" s="260"/>
    </row>
    <row r="950">
      <c r="K950" s="260"/>
      <c r="L950" s="260"/>
      <c r="M950" s="260"/>
      <c r="N950" s="260"/>
      <c r="O950" s="260"/>
    </row>
    <row r="951">
      <c r="K951" s="260"/>
      <c r="L951" s="260"/>
      <c r="M951" s="260"/>
      <c r="N951" s="260"/>
      <c r="O951" s="260"/>
    </row>
    <row r="952">
      <c r="K952" s="260"/>
      <c r="L952" s="260"/>
      <c r="M952" s="260"/>
      <c r="N952" s="260"/>
      <c r="O952" s="260"/>
    </row>
    <row r="953">
      <c r="K953" s="260"/>
      <c r="L953" s="260"/>
      <c r="M953" s="260"/>
      <c r="N953" s="260"/>
      <c r="O953" s="260"/>
    </row>
    <row r="954">
      <c r="K954" s="260"/>
      <c r="L954" s="260"/>
      <c r="M954" s="260"/>
      <c r="N954" s="260"/>
      <c r="O954" s="260"/>
    </row>
    <row r="955">
      <c r="K955" s="260"/>
      <c r="L955" s="260"/>
      <c r="M955" s="260"/>
      <c r="N955" s="260"/>
      <c r="O955" s="260"/>
    </row>
    <row r="956">
      <c r="K956" s="260"/>
      <c r="L956" s="260"/>
      <c r="M956" s="260"/>
      <c r="N956" s="260"/>
      <c r="O956" s="260"/>
    </row>
    <row r="957">
      <c r="K957" s="260"/>
      <c r="L957" s="260"/>
      <c r="M957" s="260"/>
      <c r="N957" s="260"/>
      <c r="O957" s="260"/>
    </row>
    <row r="958">
      <c r="K958" s="260"/>
      <c r="L958" s="260"/>
      <c r="M958" s="260"/>
      <c r="N958" s="260"/>
      <c r="O958" s="260"/>
    </row>
    <row r="959">
      <c r="K959" s="260"/>
      <c r="L959" s="260"/>
      <c r="M959" s="260"/>
      <c r="N959" s="260"/>
      <c r="O959" s="260"/>
    </row>
    <row r="960">
      <c r="K960" s="260"/>
      <c r="L960" s="260"/>
      <c r="M960" s="260"/>
      <c r="N960" s="260"/>
      <c r="O960" s="260"/>
    </row>
    <row r="961">
      <c r="K961" s="260"/>
      <c r="L961" s="260"/>
      <c r="M961" s="260"/>
      <c r="N961" s="260"/>
      <c r="O961" s="260"/>
    </row>
    <row r="962">
      <c r="K962" s="260"/>
      <c r="L962" s="260"/>
      <c r="M962" s="260"/>
      <c r="N962" s="260"/>
      <c r="O962" s="260"/>
    </row>
    <row r="963">
      <c r="K963" s="260"/>
      <c r="L963" s="260"/>
      <c r="M963" s="260"/>
      <c r="N963" s="260"/>
      <c r="O963" s="260"/>
    </row>
    <row r="964">
      <c r="K964" s="260"/>
      <c r="L964" s="260"/>
      <c r="M964" s="260"/>
      <c r="N964" s="260"/>
      <c r="O964" s="260"/>
    </row>
    <row r="965">
      <c r="K965" s="260"/>
      <c r="L965" s="260"/>
      <c r="M965" s="260"/>
      <c r="N965" s="260"/>
      <c r="O965" s="260"/>
    </row>
    <row r="966">
      <c r="K966" s="260"/>
      <c r="L966" s="260"/>
      <c r="M966" s="260"/>
      <c r="N966" s="260"/>
      <c r="O966" s="260"/>
    </row>
    <row r="967">
      <c r="K967" s="260"/>
      <c r="L967" s="260"/>
      <c r="M967" s="260"/>
      <c r="N967" s="260"/>
      <c r="O967" s="260"/>
    </row>
    <row r="968">
      <c r="K968" s="260"/>
      <c r="L968" s="260"/>
      <c r="M968" s="260"/>
      <c r="N968" s="260"/>
      <c r="O968" s="260"/>
    </row>
    <row r="969">
      <c r="K969" s="260"/>
      <c r="L969" s="260"/>
      <c r="M969" s="260"/>
      <c r="N969" s="260"/>
      <c r="O969" s="260"/>
    </row>
    <row r="970">
      <c r="K970" s="260"/>
      <c r="L970" s="260"/>
      <c r="M970" s="260"/>
      <c r="N970" s="260"/>
      <c r="O970" s="260"/>
    </row>
    <row r="971">
      <c r="K971" s="260"/>
      <c r="L971" s="260"/>
      <c r="M971" s="260"/>
      <c r="N971" s="260"/>
      <c r="O971" s="260"/>
    </row>
    <row r="972">
      <c r="K972" s="260"/>
      <c r="L972" s="260"/>
      <c r="M972" s="260"/>
      <c r="N972" s="260"/>
      <c r="O972" s="260"/>
    </row>
    <row r="973">
      <c r="K973" s="260"/>
      <c r="L973" s="260"/>
      <c r="M973" s="260"/>
      <c r="N973" s="260"/>
      <c r="O973" s="260"/>
    </row>
    <row r="974">
      <c r="K974" s="260"/>
      <c r="L974" s="260"/>
      <c r="M974" s="260"/>
      <c r="N974" s="260"/>
      <c r="O974" s="260"/>
    </row>
    <row r="975">
      <c r="K975" s="260"/>
      <c r="L975" s="260"/>
      <c r="M975" s="260"/>
      <c r="N975" s="260"/>
      <c r="O975" s="260"/>
    </row>
    <row r="976">
      <c r="K976" s="260"/>
      <c r="L976" s="260"/>
      <c r="M976" s="260"/>
      <c r="N976" s="260"/>
      <c r="O976" s="260"/>
    </row>
    <row r="977">
      <c r="K977" s="260"/>
      <c r="L977" s="260"/>
      <c r="M977" s="260"/>
      <c r="N977" s="260"/>
      <c r="O977" s="260"/>
    </row>
  </sheetData>
  <autoFilter ref="$A$1:$O$510">
    <sortState ref="A1:O510">
      <sortCondition ref="A1:A510"/>
      <sortCondition ref="J1:J510"/>
      <sortCondition ref="N1:N510"/>
      <sortCondition ref="O1:O510"/>
    </sortState>
  </autoFilter>
  <drawing r:id="rId1"/>
</worksheet>
</file>