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olomentsev/Box Sync/Power Electronics and Magnetics Group/Michael Solomentsev/Cored v. Air Core Inductors/"/>
    </mc:Choice>
  </mc:AlternateContent>
  <xr:revisionPtr revIDLastSave="0" documentId="13_ncr:1_{6665D58E-4BCC-8C4C-A21C-7D14E86260E1}" xr6:coauthVersionLast="47" xr6:coauthVersionMax="47" xr10:uidLastSave="{00000000-0000-0000-0000-000000000000}"/>
  <bookViews>
    <workbookView xWindow="1100" yWindow="760" windowWidth="19580" windowHeight="16540" firstSheet="7" activeTab="7" xr2:uid="{F0661E5B-6DBE-A14D-B78A-8D6AC08F6764}"/>
  </bookViews>
  <sheets>
    <sheet name="Summary" sheetId="1" r:id="rId1"/>
    <sheet name="F67 1101 100 Ohms" sheetId="5" r:id="rId2"/>
    <sheet name="F67 1901 100 Ohms" sheetId="7" r:id="rId3"/>
    <sheet name="F67 1101 10 Ohms" sheetId="6" r:id="rId4"/>
    <sheet name="M2 998P 100 Ohms" sheetId="4" r:id="rId5"/>
    <sheet name="M2 964 100 Ohms" sheetId="2" r:id="rId6"/>
    <sheet name="M2 964 10 Ohms" sheetId="8" r:id="rId7"/>
    <sheet name="N40 100 Ohm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7" i="2"/>
  <c r="B36" i="8"/>
  <c r="B7" i="8"/>
  <c r="B36" i="7"/>
  <c r="B7" i="7"/>
  <c r="B36" i="6"/>
  <c r="B7" i="6"/>
  <c r="B9" i="5"/>
  <c r="A50" i="3" l="1"/>
  <c r="A51" i="3"/>
  <c r="A52" i="3"/>
  <c r="A53" i="3"/>
  <c r="A54" i="3"/>
  <c r="A55" i="3"/>
  <c r="A56" i="3"/>
  <c r="A57" i="3"/>
  <c r="A49" i="3"/>
  <c r="A18" i="3"/>
  <c r="A19" i="3"/>
  <c r="A20" i="3"/>
  <c r="A21" i="3"/>
  <c r="A22" i="3"/>
  <c r="A23" i="3"/>
  <c r="A24" i="3"/>
  <c r="A17" i="3"/>
  <c r="A48" i="2"/>
  <c r="A49" i="2"/>
  <c r="A50" i="2"/>
  <c r="A51" i="2"/>
  <c r="A52" i="2"/>
  <c r="A53" i="2"/>
  <c r="A54" i="2"/>
  <c r="A55" i="2"/>
  <c r="A47" i="2"/>
  <c r="A19" i="2"/>
  <c r="A20" i="2"/>
  <c r="A21" i="2"/>
  <c r="A22" i="2"/>
  <c r="A23" i="2"/>
  <c r="A24" i="2"/>
  <c r="A25" i="2"/>
  <c r="A26" i="2"/>
  <c r="A18" i="2"/>
  <c r="A48" i="4"/>
  <c r="A49" i="4"/>
  <c r="A50" i="4"/>
  <c r="A51" i="4"/>
  <c r="A52" i="4"/>
  <c r="A53" i="4"/>
  <c r="A54" i="4"/>
  <c r="A55" i="4"/>
  <c r="A47" i="4"/>
  <c r="A19" i="4"/>
  <c r="A20" i="4"/>
  <c r="A21" i="4"/>
  <c r="A22" i="4"/>
  <c r="A23" i="4"/>
  <c r="A24" i="4"/>
  <c r="A25" i="4"/>
  <c r="A26" i="4"/>
  <c r="A18" i="4"/>
  <c r="A48" i="7"/>
  <c r="A49" i="7"/>
  <c r="A50" i="7"/>
  <c r="A51" i="7"/>
  <c r="A52" i="7"/>
  <c r="A53" i="7"/>
  <c r="A54" i="7"/>
  <c r="A55" i="7"/>
  <c r="A47" i="7"/>
  <c r="A19" i="7"/>
  <c r="A20" i="7"/>
  <c r="A21" i="7"/>
  <c r="A22" i="7"/>
  <c r="A23" i="7"/>
  <c r="A24" i="7"/>
  <c r="A18" i="7"/>
  <c r="A48" i="5"/>
  <c r="A49" i="5"/>
  <c r="A50" i="5"/>
  <c r="A51" i="5"/>
  <c r="A52" i="5"/>
  <c r="A53" i="5"/>
  <c r="A54" i="5"/>
  <c r="A55" i="5"/>
  <c r="A47" i="5"/>
  <c r="A19" i="5"/>
  <c r="A20" i="5"/>
  <c r="A21" i="5"/>
  <c r="A22" i="5"/>
  <c r="A23" i="5"/>
  <c r="A24" i="5"/>
  <c r="A18" i="5"/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H7" i="1" l="1"/>
  <c r="B44" i="8" l="1"/>
  <c r="B42" i="8"/>
  <c r="B41" i="8"/>
  <c r="B38" i="8" s="1"/>
  <c r="B43" i="8" s="1"/>
  <c r="B13" i="8"/>
  <c r="I8" i="8"/>
  <c r="H4" i="8"/>
  <c r="H5" i="8"/>
  <c r="I5" i="8" s="1"/>
  <c r="I6" i="8" s="1"/>
  <c r="B12" i="8"/>
  <c r="A25" i="8" l="1"/>
  <c r="A55" i="8"/>
  <c r="A48" i="8"/>
  <c r="A47" i="8"/>
  <c r="A26" i="8"/>
  <c r="A49" i="8"/>
  <c r="A19" i="8"/>
  <c r="A18" i="8"/>
  <c r="A50" i="8"/>
  <c r="A20" i="8"/>
  <c r="A51" i="8"/>
  <c r="A21" i="8"/>
  <c r="A23" i="8"/>
  <c r="A24" i="8"/>
  <c r="A52" i="8"/>
  <c r="A22" i="8"/>
  <c r="A53" i="8"/>
  <c r="A54" i="8"/>
  <c r="L55" i="8"/>
  <c r="M55" i="8" s="1"/>
  <c r="L54" i="8"/>
  <c r="M54" i="8" s="1"/>
  <c r="L53" i="8"/>
  <c r="M53" i="8" s="1"/>
  <c r="L52" i="8"/>
  <c r="M52" i="8" s="1"/>
  <c r="L51" i="8"/>
  <c r="M51" i="8" s="1"/>
  <c r="L50" i="8"/>
  <c r="M50" i="8" s="1"/>
  <c r="L49" i="8"/>
  <c r="M49" i="8" s="1"/>
  <c r="L48" i="8"/>
  <c r="M48" i="8" s="1"/>
  <c r="L47" i="8"/>
  <c r="M47" i="8" s="1"/>
  <c r="L41" i="8"/>
  <c r="L42" i="8" s="1"/>
  <c r="F38" i="8"/>
  <c r="F39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B15" i="8"/>
  <c r="L12" i="8"/>
  <c r="L13" i="8" s="1"/>
  <c r="F9" i="8"/>
  <c r="F12" i="8" s="1"/>
  <c r="B9" i="8"/>
  <c r="G49" i="8" s="1"/>
  <c r="O18" i="8" l="1"/>
  <c r="F41" i="8"/>
  <c r="O48" i="8"/>
  <c r="O50" i="8"/>
  <c r="O49" i="8"/>
  <c r="O19" i="8"/>
  <c r="O20" i="8"/>
  <c r="G47" i="8"/>
  <c r="H47" i="8" s="1"/>
  <c r="I47" i="8" s="1"/>
  <c r="G48" i="8"/>
  <c r="H48" i="8" s="1"/>
  <c r="I48" i="8" s="1"/>
  <c r="B14" i="8"/>
  <c r="G18" i="8"/>
  <c r="H18" i="8" s="1"/>
  <c r="I18" i="8" s="1"/>
  <c r="J18" i="8" s="1"/>
  <c r="K18" i="8" s="1"/>
  <c r="G24" i="8"/>
  <c r="H24" i="8" s="1"/>
  <c r="I24" i="8" s="1"/>
  <c r="J24" i="8" s="1"/>
  <c r="K24" i="8" s="1"/>
  <c r="G22" i="8"/>
  <c r="H22" i="8" s="1"/>
  <c r="I22" i="8" s="1"/>
  <c r="J22" i="8" s="1"/>
  <c r="K22" i="8" s="1"/>
  <c r="G25" i="8"/>
  <c r="H25" i="8" s="1"/>
  <c r="I25" i="8" s="1"/>
  <c r="J25" i="8" s="1"/>
  <c r="K25" i="8" s="1"/>
  <c r="G23" i="8"/>
  <c r="H23" i="8" s="1"/>
  <c r="I23" i="8" s="1"/>
  <c r="J23" i="8" s="1"/>
  <c r="K23" i="8" s="1"/>
  <c r="G26" i="8"/>
  <c r="H49" i="8"/>
  <c r="I49" i="8" s="1"/>
  <c r="O52" i="8"/>
  <c r="O23" i="8"/>
  <c r="O21" i="8"/>
  <c r="O47" i="8"/>
  <c r="O24" i="8"/>
  <c r="O53" i="8"/>
  <c r="O22" i="8"/>
  <c r="H41" i="8"/>
  <c r="O54" i="8"/>
  <c r="O25" i="8"/>
  <c r="O51" i="8"/>
  <c r="O55" i="8"/>
  <c r="O26" i="8"/>
  <c r="G54" i="8"/>
  <c r="G20" i="8"/>
  <c r="G51" i="8"/>
  <c r="G53" i="8"/>
  <c r="G19" i="8"/>
  <c r="G50" i="8"/>
  <c r="G55" i="8"/>
  <c r="G57" i="8" s="1"/>
  <c r="F10" i="8"/>
  <c r="H12" i="8" s="1"/>
  <c r="G21" i="8"/>
  <c r="G52" i="8"/>
  <c r="B40" i="6"/>
  <c r="H26" i="8" l="1"/>
  <c r="I26" i="8" s="1"/>
  <c r="G28" i="8"/>
  <c r="J49" i="8"/>
  <c r="P49" i="8"/>
  <c r="R49" i="8" s="1"/>
  <c r="N23" i="8"/>
  <c r="P23" i="8"/>
  <c r="R23" i="8" s="1"/>
  <c r="J26" i="8"/>
  <c r="P26" i="8"/>
  <c r="R26" i="8" s="1"/>
  <c r="J47" i="8"/>
  <c r="P47" i="8"/>
  <c r="R47" i="8" s="1"/>
  <c r="E54" i="8"/>
  <c r="E23" i="8"/>
  <c r="E21" i="8"/>
  <c r="E49" i="8"/>
  <c r="E26" i="8"/>
  <c r="E18" i="8"/>
  <c r="E52" i="8"/>
  <c r="E55" i="8"/>
  <c r="E47" i="8"/>
  <c r="E24" i="8"/>
  <c r="E50" i="8"/>
  <c r="E19" i="8"/>
  <c r="E22" i="8"/>
  <c r="E53" i="8"/>
  <c r="E48" i="8"/>
  <c r="E25" i="8"/>
  <c r="E51" i="8"/>
  <c r="E20" i="8"/>
  <c r="J48" i="8"/>
  <c r="P48" i="8"/>
  <c r="R48" i="8" s="1"/>
  <c r="H53" i="8"/>
  <c r="I53" i="8" s="1"/>
  <c r="N22" i="8"/>
  <c r="P24" i="8"/>
  <c r="R24" i="8" s="1"/>
  <c r="H50" i="8"/>
  <c r="I50" i="8" s="1"/>
  <c r="P22" i="8"/>
  <c r="R22" i="8" s="1"/>
  <c r="P25" i="8"/>
  <c r="R25" i="8" s="1"/>
  <c r="N18" i="8"/>
  <c r="H52" i="8"/>
  <c r="I52" i="8" s="1"/>
  <c r="H55" i="8"/>
  <c r="I55" i="8" s="1"/>
  <c r="H54" i="8"/>
  <c r="I54" i="8" s="1"/>
  <c r="N24" i="8"/>
  <c r="P18" i="8"/>
  <c r="R18" i="8" s="1"/>
  <c r="H51" i="8"/>
  <c r="I51" i="8" s="1"/>
  <c r="N25" i="8"/>
  <c r="H19" i="8"/>
  <c r="I19" i="8" s="1"/>
  <c r="J19" i="8" s="1"/>
  <c r="H21" i="8"/>
  <c r="I21" i="8" s="1"/>
  <c r="J21" i="8" s="1"/>
  <c r="H20" i="8"/>
  <c r="I20" i="8" s="1"/>
  <c r="L55" i="7"/>
  <c r="M55" i="7" s="1"/>
  <c r="L54" i="7"/>
  <c r="M54" i="7" s="1"/>
  <c r="L53" i="7"/>
  <c r="M53" i="7" s="1"/>
  <c r="M52" i="7"/>
  <c r="O52" i="7" s="1"/>
  <c r="L52" i="7"/>
  <c r="L51" i="7"/>
  <c r="M51" i="7" s="1"/>
  <c r="L50" i="7"/>
  <c r="M50" i="7" s="1"/>
  <c r="L49" i="7"/>
  <c r="M49" i="7" s="1"/>
  <c r="L48" i="7"/>
  <c r="M48" i="7" s="1"/>
  <c r="O48" i="7" s="1"/>
  <c r="L47" i="7"/>
  <c r="M47" i="7" s="1"/>
  <c r="B44" i="7"/>
  <c r="B39" i="7"/>
  <c r="L41" i="7" s="1"/>
  <c r="L42" i="7" s="1"/>
  <c r="F38" i="7"/>
  <c r="F41" i="7" s="1"/>
  <c r="L24" i="7"/>
  <c r="M24" i="7" s="1"/>
  <c r="L23" i="7"/>
  <c r="M23" i="7" s="1"/>
  <c r="O23" i="7" s="1"/>
  <c r="L22" i="7"/>
  <c r="M22" i="7" s="1"/>
  <c r="L21" i="7"/>
  <c r="M21" i="7" s="1"/>
  <c r="L20" i="7"/>
  <c r="M20" i="7" s="1"/>
  <c r="L19" i="7"/>
  <c r="M19" i="7" s="1"/>
  <c r="L18" i="7"/>
  <c r="M18" i="7" s="1"/>
  <c r="B15" i="7"/>
  <c r="L12" i="7"/>
  <c r="L13" i="7" s="1"/>
  <c r="F12" i="7"/>
  <c r="F9" i="7"/>
  <c r="F10" i="7" s="1"/>
  <c r="B9" i="7"/>
  <c r="G49" i="7" s="1"/>
  <c r="B36" i="5"/>
  <c r="H2" i="1"/>
  <c r="H3" i="1"/>
  <c r="H4" i="1"/>
  <c r="E48" i="6"/>
  <c r="E49" i="6"/>
  <c r="E50" i="6"/>
  <c r="E51" i="6"/>
  <c r="E52" i="6"/>
  <c r="E53" i="6"/>
  <c r="E54" i="6"/>
  <c r="E55" i="6"/>
  <c r="E47" i="6"/>
  <c r="E19" i="6"/>
  <c r="E20" i="6"/>
  <c r="E21" i="6"/>
  <c r="E22" i="6"/>
  <c r="E23" i="6"/>
  <c r="E24" i="6"/>
  <c r="E25" i="6"/>
  <c r="E26" i="6"/>
  <c r="E18" i="6"/>
  <c r="B38" i="6"/>
  <c r="B9" i="6"/>
  <c r="L55" i="6"/>
  <c r="M55" i="6" s="1"/>
  <c r="L54" i="6"/>
  <c r="M54" i="6" s="1"/>
  <c r="L53" i="6"/>
  <c r="M53" i="6" s="1"/>
  <c r="L52" i="6"/>
  <c r="M52" i="6" s="1"/>
  <c r="L51" i="6"/>
  <c r="M51" i="6" s="1"/>
  <c r="G51" i="6"/>
  <c r="I51" i="6" s="1"/>
  <c r="L50" i="6"/>
  <c r="M50" i="6" s="1"/>
  <c r="L49" i="6"/>
  <c r="M49" i="6" s="1"/>
  <c r="L48" i="6"/>
  <c r="M48" i="6" s="1"/>
  <c r="L47" i="6"/>
  <c r="M47" i="6" s="1"/>
  <c r="B44" i="6"/>
  <c r="F38" i="6"/>
  <c r="F41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M18" i="6"/>
  <c r="L18" i="6"/>
  <c r="B15" i="6"/>
  <c r="L12" i="6"/>
  <c r="L13" i="6" s="1"/>
  <c r="F9" i="6"/>
  <c r="F10" i="6" s="1"/>
  <c r="B44" i="5"/>
  <c r="B15" i="5"/>
  <c r="B14" i="3"/>
  <c r="B39" i="5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F38" i="5"/>
  <c r="F41" i="5" s="1"/>
  <c r="L24" i="5"/>
  <c r="M24" i="5" s="1"/>
  <c r="L23" i="5"/>
  <c r="M23" i="5" s="1"/>
  <c r="L22" i="5"/>
  <c r="M22" i="5" s="1"/>
  <c r="L21" i="5"/>
  <c r="M21" i="5" s="1"/>
  <c r="M20" i="5"/>
  <c r="L20" i="5"/>
  <c r="L19" i="5"/>
  <c r="M19" i="5" s="1"/>
  <c r="L18" i="5"/>
  <c r="M18" i="5" s="1"/>
  <c r="O18" i="5" s="1"/>
  <c r="L12" i="5"/>
  <c r="L13" i="5" s="1"/>
  <c r="F9" i="5"/>
  <c r="F12" i="5" s="1"/>
  <c r="G49" i="5"/>
  <c r="H5" i="1"/>
  <c r="H6" i="1"/>
  <c r="H8" i="1"/>
  <c r="L55" i="4"/>
  <c r="M55" i="4" s="1"/>
  <c r="L54" i="4"/>
  <c r="M54" i="4" s="1"/>
  <c r="L53" i="4"/>
  <c r="M53" i="4" s="1"/>
  <c r="L52" i="4"/>
  <c r="M52" i="4" s="1"/>
  <c r="L51" i="4"/>
  <c r="M51" i="4" s="1"/>
  <c r="M50" i="4"/>
  <c r="L50" i="4"/>
  <c r="L49" i="4"/>
  <c r="M49" i="4" s="1"/>
  <c r="L48" i="4"/>
  <c r="M48" i="4" s="1"/>
  <c r="O48" i="4" s="1"/>
  <c r="L47" i="4"/>
  <c r="M47" i="4" s="1"/>
  <c r="B44" i="4"/>
  <c r="L41" i="4"/>
  <c r="L42" i="4" s="1"/>
  <c r="F38" i="4"/>
  <c r="F41" i="4" s="1"/>
  <c r="B38" i="4"/>
  <c r="B43" i="4" s="1"/>
  <c r="L26" i="4"/>
  <c r="M26" i="4" s="1"/>
  <c r="L25" i="4"/>
  <c r="M25" i="4" s="1"/>
  <c r="O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B15" i="4"/>
  <c r="L12" i="4"/>
  <c r="L13" i="4" s="1"/>
  <c r="F9" i="4"/>
  <c r="F12" i="4" s="1"/>
  <c r="B9" i="4"/>
  <c r="G49" i="4" s="1"/>
  <c r="E19" i="3"/>
  <c r="E17" i="3"/>
  <c r="E54" i="3"/>
  <c r="E51" i="3"/>
  <c r="L57" i="3"/>
  <c r="M57" i="3" s="1"/>
  <c r="O57" i="3" s="1"/>
  <c r="E57" i="3"/>
  <c r="L56" i="3"/>
  <c r="M56" i="3" s="1"/>
  <c r="E56" i="3"/>
  <c r="L55" i="3"/>
  <c r="M55" i="3" s="1"/>
  <c r="E55" i="3"/>
  <c r="L54" i="3"/>
  <c r="M54" i="3" s="1"/>
  <c r="L53" i="3"/>
  <c r="M53" i="3" s="1"/>
  <c r="E53" i="3"/>
  <c r="L52" i="3"/>
  <c r="M52" i="3" s="1"/>
  <c r="E52" i="3"/>
  <c r="L51" i="3"/>
  <c r="M51" i="3" s="1"/>
  <c r="L50" i="3"/>
  <c r="M50" i="3" s="1"/>
  <c r="L49" i="3"/>
  <c r="M49" i="3" s="1"/>
  <c r="E49" i="3"/>
  <c r="F43" i="3"/>
  <c r="F40" i="3"/>
  <c r="F41" i="3" s="1"/>
  <c r="B40" i="3"/>
  <c r="B45" i="3" s="1"/>
  <c r="B38" i="3"/>
  <c r="L24" i="3"/>
  <c r="M24" i="3" s="1"/>
  <c r="E24" i="3"/>
  <c r="L23" i="3"/>
  <c r="M23" i="3" s="1"/>
  <c r="O23" i="3" s="1"/>
  <c r="E23" i="3"/>
  <c r="L22" i="3"/>
  <c r="M22" i="3" s="1"/>
  <c r="E22" i="3"/>
  <c r="L21" i="3"/>
  <c r="M21" i="3" s="1"/>
  <c r="E21" i="3"/>
  <c r="L20" i="3"/>
  <c r="M20" i="3" s="1"/>
  <c r="E20" i="3"/>
  <c r="L19" i="3"/>
  <c r="M19" i="3" s="1"/>
  <c r="L18" i="3"/>
  <c r="M18" i="3" s="1"/>
  <c r="L17" i="3"/>
  <c r="M17" i="3" s="1"/>
  <c r="F8" i="3"/>
  <c r="F11" i="3" s="1"/>
  <c r="B8" i="3"/>
  <c r="B13" i="3" s="1"/>
  <c r="B6" i="3"/>
  <c r="B55" i="1"/>
  <c r="B54" i="1"/>
  <c r="B53" i="1"/>
  <c r="B52" i="1"/>
  <c r="B51" i="1"/>
  <c r="B50" i="1"/>
  <c r="B49" i="1"/>
  <c r="B45" i="1"/>
  <c r="B44" i="1"/>
  <c r="B43" i="1"/>
  <c r="B42" i="1"/>
  <c r="B41" i="1"/>
  <c r="B40" i="1"/>
  <c r="B39" i="1"/>
  <c r="B33" i="1"/>
  <c r="B32" i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B44" i="2"/>
  <c r="L41" i="2"/>
  <c r="L42" i="2" s="1"/>
  <c r="F38" i="2"/>
  <c r="F41" i="2" s="1"/>
  <c r="B38" i="2"/>
  <c r="B43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B15" i="2"/>
  <c r="L12" i="2"/>
  <c r="L13" i="2" s="1"/>
  <c r="F9" i="2"/>
  <c r="F12" i="2" s="1"/>
  <c r="B9" i="2"/>
  <c r="B14" i="2" s="1"/>
  <c r="A50" i="6" l="1"/>
  <c r="A51" i="6"/>
  <c r="R51" i="6" s="1"/>
  <c r="A52" i="6"/>
  <c r="A53" i="6"/>
  <c r="A55" i="6"/>
  <c r="A48" i="6"/>
  <c r="R48" i="6" s="1"/>
  <c r="A49" i="6"/>
  <c r="R49" i="6" s="1"/>
  <c r="A54" i="6"/>
  <c r="O54" i="6" s="1"/>
  <c r="A47" i="6"/>
  <c r="F10" i="5"/>
  <c r="B14" i="7"/>
  <c r="G25" i="4"/>
  <c r="B14" i="6"/>
  <c r="A18" i="6"/>
  <c r="A20" i="6"/>
  <c r="O20" i="6" s="1"/>
  <c r="A21" i="6"/>
  <c r="R21" i="6" s="1"/>
  <c r="A22" i="6"/>
  <c r="R22" i="6" s="1"/>
  <c r="A23" i="6"/>
  <c r="O23" i="6" s="1"/>
  <c r="A25" i="6"/>
  <c r="A26" i="6"/>
  <c r="A19" i="6"/>
  <c r="O19" i="6" s="1"/>
  <c r="A24" i="6"/>
  <c r="R24" i="6" s="1"/>
  <c r="G47" i="6"/>
  <c r="I47" i="6" s="1"/>
  <c r="G21" i="6"/>
  <c r="I21" i="6" s="1"/>
  <c r="G22" i="4"/>
  <c r="H22" i="4" s="1"/>
  <c r="I22" i="4" s="1"/>
  <c r="G50" i="6"/>
  <c r="I50" i="6" s="1"/>
  <c r="G53" i="6"/>
  <c r="I53" i="6" s="1"/>
  <c r="R23" i="6"/>
  <c r="O18" i="6"/>
  <c r="R19" i="6"/>
  <c r="B43" i="6"/>
  <c r="R50" i="6"/>
  <c r="R52" i="6"/>
  <c r="R55" i="6"/>
  <c r="R47" i="6"/>
  <c r="G54" i="2"/>
  <c r="F39" i="7"/>
  <c r="H41" i="7" s="1"/>
  <c r="G17" i="3"/>
  <c r="B14" i="4"/>
  <c r="G20" i="4"/>
  <c r="H20" i="4" s="1"/>
  <c r="I20" i="4" s="1"/>
  <c r="J20" i="4" s="1"/>
  <c r="K20" i="4" s="1"/>
  <c r="G23" i="4"/>
  <c r="O20" i="5"/>
  <c r="G18" i="6"/>
  <c r="R20" i="6"/>
  <c r="G22" i="3"/>
  <c r="H22" i="3" s="1"/>
  <c r="G23" i="6"/>
  <c r="I23" i="6" s="1"/>
  <c r="G48" i="6"/>
  <c r="G21" i="3"/>
  <c r="H21" i="3" s="1"/>
  <c r="G48" i="4"/>
  <c r="H48" i="4" s="1"/>
  <c r="I48" i="4" s="1"/>
  <c r="J48" i="4" s="1"/>
  <c r="K48" i="4" s="1"/>
  <c r="G51" i="3"/>
  <c r="H51" i="3" s="1"/>
  <c r="I51" i="3" s="1"/>
  <c r="G24" i="6"/>
  <c r="G54" i="6"/>
  <c r="R53" i="6"/>
  <c r="G22" i="7"/>
  <c r="H22" i="7" s="1"/>
  <c r="I22" i="7" s="1"/>
  <c r="J22" i="7" s="1"/>
  <c r="G47" i="7"/>
  <c r="H47" i="7" s="1"/>
  <c r="I47" i="7" s="1"/>
  <c r="J47" i="7" s="1"/>
  <c r="G50" i="3"/>
  <c r="H50" i="3" s="1"/>
  <c r="I50" i="3" s="1"/>
  <c r="J50" i="3" s="1"/>
  <c r="K50" i="3" s="1"/>
  <c r="G49" i="6"/>
  <c r="I49" i="6" s="1"/>
  <c r="G20" i="6"/>
  <c r="I20" i="6" s="1"/>
  <c r="H12" i="7"/>
  <c r="E54" i="7" s="1"/>
  <c r="J51" i="8"/>
  <c r="K51" i="8" s="1"/>
  <c r="P51" i="8"/>
  <c r="R51" i="8" s="1"/>
  <c r="J55" i="8"/>
  <c r="K55" i="8" s="1"/>
  <c r="P55" i="8"/>
  <c r="R55" i="8" s="1"/>
  <c r="K49" i="8"/>
  <c r="N49" i="8"/>
  <c r="J20" i="8"/>
  <c r="P20" i="8"/>
  <c r="R20" i="8" s="1"/>
  <c r="J52" i="8"/>
  <c r="P52" i="8"/>
  <c r="R52" i="8" s="1"/>
  <c r="J54" i="8"/>
  <c r="P54" i="8"/>
  <c r="R54" i="8" s="1"/>
  <c r="J50" i="8"/>
  <c r="P50" i="8"/>
  <c r="R50" i="8" s="1"/>
  <c r="J53" i="8"/>
  <c r="P53" i="8"/>
  <c r="R53" i="8" s="1"/>
  <c r="N51" i="8"/>
  <c r="K48" i="8"/>
  <c r="N48" i="8"/>
  <c r="P21" i="8"/>
  <c r="R21" i="8" s="1"/>
  <c r="K19" i="8"/>
  <c r="N19" i="8"/>
  <c r="P19" i="8"/>
  <c r="R19" i="8" s="1"/>
  <c r="K47" i="8"/>
  <c r="N47" i="8"/>
  <c r="K21" i="8"/>
  <c r="N21" i="8"/>
  <c r="K26" i="8"/>
  <c r="N26" i="8"/>
  <c r="O20" i="7"/>
  <c r="O19" i="7"/>
  <c r="O24" i="7"/>
  <c r="O22" i="7"/>
  <c r="O47" i="7"/>
  <c r="O49" i="7"/>
  <c r="O53" i="7"/>
  <c r="H49" i="7"/>
  <c r="I49" i="7" s="1"/>
  <c r="O18" i="7"/>
  <c r="O50" i="7"/>
  <c r="O54" i="7"/>
  <c r="O21" i="7"/>
  <c r="O51" i="7"/>
  <c r="E24" i="7"/>
  <c r="E47" i="7"/>
  <c r="E20" i="7"/>
  <c r="E18" i="7"/>
  <c r="O55" i="7"/>
  <c r="G21" i="7"/>
  <c r="G54" i="7"/>
  <c r="G18" i="7"/>
  <c r="G51" i="7"/>
  <c r="G23" i="7"/>
  <c r="G48" i="7"/>
  <c r="G20" i="7"/>
  <c r="G53" i="7"/>
  <c r="G50" i="7"/>
  <c r="G55" i="7"/>
  <c r="G19" i="7"/>
  <c r="G52" i="7"/>
  <c r="G24" i="7"/>
  <c r="O48" i="5"/>
  <c r="H41" i="1"/>
  <c r="L41" i="6"/>
  <c r="L42" i="6" s="1"/>
  <c r="O47" i="6"/>
  <c r="O53" i="6"/>
  <c r="O51" i="6"/>
  <c r="O24" i="6"/>
  <c r="O50" i="6"/>
  <c r="O49" i="6"/>
  <c r="O55" i="6"/>
  <c r="H51" i="6"/>
  <c r="J51" i="6" s="1"/>
  <c r="K51" i="6" s="1"/>
  <c r="H23" i="6"/>
  <c r="J23" i="6" s="1"/>
  <c r="K23" i="6" s="1"/>
  <c r="H53" i="6"/>
  <c r="J53" i="6" s="1"/>
  <c r="K53" i="6" s="1"/>
  <c r="F12" i="6"/>
  <c r="H12" i="6" s="1"/>
  <c r="F39" i="6"/>
  <c r="H50" i="6"/>
  <c r="G55" i="6"/>
  <c r="I55" i="6" s="1"/>
  <c r="G22" i="6"/>
  <c r="I22" i="6" s="1"/>
  <c r="G52" i="6"/>
  <c r="I52" i="6" s="1"/>
  <c r="G19" i="6"/>
  <c r="I19" i="6" s="1"/>
  <c r="L41" i="5"/>
  <c r="L42" i="5" s="1"/>
  <c r="G48" i="5"/>
  <c r="H48" i="5" s="1"/>
  <c r="I48" i="5" s="1"/>
  <c r="B14" i="5"/>
  <c r="G20" i="5"/>
  <c r="G22" i="5"/>
  <c r="H22" i="5" s="1"/>
  <c r="I22" i="5" s="1"/>
  <c r="G51" i="5"/>
  <c r="H51" i="5" s="1"/>
  <c r="I51" i="5" s="1"/>
  <c r="J51" i="5" s="1"/>
  <c r="G54" i="5"/>
  <c r="H54" i="5" s="1"/>
  <c r="I54" i="5" s="1"/>
  <c r="J54" i="5" s="1"/>
  <c r="G53" i="5"/>
  <c r="G23" i="5"/>
  <c r="H23" i="5" s="1"/>
  <c r="I23" i="5" s="1"/>
  <c r="O21" i="5"/>
  <c r="O53" i="5"/>
  <c r="O24" i="5"/>
  <c r="H12" i="5"/>
  <c r="O54" i="5"/>
  <c r="O49" i="5"/>
  <c r="H49" i="5"/>
  <c r="I49" i="5" s="1"/>
  <c r="J49" i="5" s="1"/>
  <c r="K49" i="5" s="1"/>
  <c r="O22" i="5"/>
  <c r="O51" i="5"/>
  <c r="O23" i="5"/>
  <c r="O47" i="5"/>
  <c r="O52" i="5"/>
  <c r="O55" i="5"/>
  <c r="G19" i="5"/>
  <c r="H19" i="5" s="1"/>
  <c r="O19" i="5"/>
  <c r="F39" i="5"/>
  <c r="H41" i="5" s="1"/>
  <c r="G50" i="5"/>
  <c r="O50" i="5"/>
  <c r="G24" i="5"/>
  <c r="G47" i="5"/>
  <c r="G55" i="5"/>
  <c r="G21" i="5"/>
  <c r="G52" i="5"/>
  <c r="G18" i="5"/>
  <c r="H18" i="5" s="1"/>
  <c r="H40" i="1"/>
  <c r="H45" i="1"/>
  <c r="H50" i="1"/>
  <c r="H52" i="1"/>
  <c r="H54" i="1"/>
  <c r="H53" i="1"/>
  <c r="H44" i="1"/>
  <c r="H55" i="1"/>
  <c r="F55" i="1"/>
  <c r="G55" i="1" s="1"/>
  <c r="I55" i="1" s="1"/>
  <c r="H39" i="1"/>
  <c r="H51" i="1"/>
  <c r="F54" i="1"/>
  <c r="G54" i="1" s="1"/>
  <c r="I54" i="1" s="1"/>
  <c r="F43" i="1"/>
  <c r="G43" i="1" s="1"/>
  <c r="I43" i="1" s="1"/>
  <c r="F53" i="1"/>
  <c r="G53" i="1" s="1"/>
  <c r="I53" i="1" s="1"/>
  <c r="F42" i="1"/>
  <c r="G42" i="1" s="1"/>
  <c r="I42" i="1" s="1"/>
  <c r="F52" i="1"/>
  <c r="G52" i="1" s="1"/>
  <c r="I52" i="1" s="1"/>
  <c r="H49" i="1"/>
  <c r="F44" i="1"/>
  <c r="G44" i="1" s="1"/>
  <c r="I44" i="1" s="1"/>
  <c r="F41" i="1"/>
  <c r="G41" i="1" s="1"/>
  <c r="I41" i="1" s="1"/>
  <c r="F51" i="1"/>
  <c r="G51" i="1" s="1"/>
  <c r="I51" i="1" s="1"/>
  <c r="F45" i="1"/>
  <c r="G45" i="1" s="1"/>
  <c r="I45" i="1" s="1"/>
  <c r="F50" i="1"/>
  <c r="G50" i="1" s="1"/>
  <c r="I50" i="1" s="1"/>
  <c r="F49" i="1"/>
  <c r="G49" i="1" s="1"/>
  <c r="I49" i="1" s="1"/>
  <c r="H43" i="1"/>
  <c r="F40" i="1"/>
  <c r="G40" i="1" s="1"/>
  <c r="I40" i="1" s="1"/>
  <c r="F39" i="1"/>
  <c r="G39" i="1" s="1"/>
  <c r="I39" i="1" s="1"/>
  <c r="H42" i="1"/>
  <c r="O22" i="4"/>
  <c r="O52" i="4"/>
  <c r="O20" i="4"/>
  <c r="O23" i="4"/>
  <c r="O47" i="4"/>
  <c r="O53" i="4"/>
  <c r="O18" i="4"/>
  <c r="O26" i="4"/>
  <c r="H49" i="4"/>
  <c r="I49" i="4" s="1"/>
  <c r="O21" i="4"/>
  <c r="O24" i="4"/>
  <c r="O54" i="4"/>
  <c r="O49" i="4"/>
  <c r="O51" i="4"/>
  <c r="O55" i="4"/>
  <c r="G54" i="4"/>
  <c r="H23" i="4"/>
  <c r="I23" i="4" s="1"/>
  <c r="J23" i="4" s="1"/>
  <c r="K23" i="4" s="1"/>
  <c r="G51" i="4"/>
  <c r="G53" i="4"/>
  <c r="G19" i="4"/>
  <c r="O19" i="4"/>
  <c r="F39" i="4"/>
  <c r="H41" i="4" s="1"/>
  <c r="G50" i="4"/>
  <c r="O50" i="4"/>
  <c r="G47" i="4"/>
  <c r="G55" i="4"/>
  <c r="F10" i="4"/>
  <c r="H12" i="4" s="1"/>
  <c r="G21" i="4"/>
  <c r="G52" i="4"/>
  <c r="H25" i="4"/>
  <c r="I25" i="4" s="1"/>
  <c r="G24" i="4"/>
  <c r="G18" i="4"/>
  <c r="G26" i="4"/>
  <c r="E18" i="3"/>
  <c r="H17" i="3"/>
  <c r="I17" i="3" s="1"/>
  <c r="O21" i="3"/>
  <c r="E50" i="3"/>
  <c r="G20" i="3"/>
  <c r="H20" i="3" s="1"/>
  <c r="I20" i="3" s="1"/>
  <c r="J20" i="3" s="1"/>
  <c r="K20" i="3" s="1"/>
  <c r="G57" i="3"/>
  <c r="H57" i="3" s="1"/>
  <c r="I57" i="3" s="1"/>
  <c r="G19" i="3"/>
  <c r="H19" i="3" s="1"/>
  <c r="I19" i="3" s="1"/>
  <c r="J19" i="3" s="1"/>
  <c r="K19" i="3" s="1"/>
  <c r="G56" i="3"/>
  <c r="H56" i="3" s="1"/>
  <c r="H43" i="3"/>
  <c r="G18" i="3"/>
  <c r="G55" i="3"/>
  <c r="H55" i="3" s="1"/>
  <c r="I55" i="3" s="1"/>
  <c r="J55" i="3" s="1"/>
  <c r="K55" i="3" s="1"/>
  <c r="G49" i="3"/>
  <c r="H49" i="3" s="1"/>
  <c r="G54" i="3"/>
  <c r="H54" i="3" s="1"/>
  <c r="G24" i="3"/>
  <c r="H24" i="3" s="1"/>
  <c r="G53" i="3"/>
  <c r="H53" i="3" s="1"/>
  <c r="I53" i="3" s="1"/>
  <c r="J53" i="3" s="1"/>
  <c r="K53" i="3" s="1"/>
  <c r="G23" i="3"/>
  <c r="G52" i="3"/>
  <c r="H52" i="3" s="1"/>
  <c r="I52" i="3" s="1"/>
  <c r="O52" i="3"/>
  <c r="O51" i="3"/>
  <c r="O19" i="3"/>
  <c r="H23" i="3"/>
  <c r="I23" i="3" s="1"/>
  <c r="I22" i="3"/>
  <c r="J22" i="3" s="1"/>
  <c r="K22" i="3" s="1"/>
  <c r="O55" i="3"/>
  <c r="O17" i="3"/>
  <c r="O50" i="3"/>
  <c r="O56" i="3"/>
  <c r="O24" i="3"/>
  <c r="O53" i="3"/>
  <c r="O20" i="3"/>
  <c r="O49" i="3"/>
  <c r="O54" i="3"/>
  <c r="O18" i="3"/>
  <c r="O22" i="3"/>
  <c r="F9" i="3"/>
  <c r="H11" i="3" s="1"/>
  <c r="O48" i="2"/>
  <c r="G18" i="2"/>
  <c r="H18" i="2" s="1"/>
  <c r="I18" i="2" s="1"/>
  <c r="J18" i="2" s="1"/>
  <c r="K18" i="2" s="1"/>
  <c r="G22" i="2"/>
  <c r="H22" i="2" s="1"/>
  <c r="G21" i="2"/>
  <c r="H21" i="2" s="1"/>
  <c r="G53" i="2"/>
  <c r="G52" i="2"/>
  <c r="H52" i="2" s="1"/>
  <c r="I52" i="2" s="1"/>
  <c r="J52" i="2" s="1"/>
  <c r="K52" i="2" s="1"/>
  <c r="G26" i="2"/>
  <c r="H26" i="2" s="1"/>
  <c r="G47" i="2"/>
  <c r="H47" i="2" s="1"/>
  <c r="I47" i="2" s="1"/>
  <c r="J47" i="2" s="1"/>
  <c r="K47" i="2" s="1"/>
  <c r="G51" i="2"/>
  <c r="H51" i="2" s="1"/>
  <c r="G20" i="2"/>
  <c r="H20" i="2" s="1"/>
  <c r="G25" i="2"/>
  <c r="H25" i="2" s="1"/>
  <c r="I25" i="2" s="1"/>
  <c r="G50" i="2"/>
  <c r="H50" i="2" s="1"/>
  <c r="G24" i="2"/>
  <c r="H24" i="2" s="1"/>
  <c r="G55" i="2"/>
  <c r="H55" i="2" s="1"/>
  <c r="I55" i="2" s="1"/>
  <c r="J55" i="2" s="1"/>
  <c r="K55" i="2" s="1"/>
  <c r="G49" i="2"/>
  <c r="H49" i="2" s="1"/>
  <c r="G19" i="2"/>
  <c r="H19" i="2" s="1"/>
  <c r="G23" i="2"/>
  <c r="H23" i="2" s="1"/>
  <c r="H54" i="2"/>
  <c r="I54" i="2" s="1"/>
  <c r="J54" i="2" s="1"/>
  <c r="K54" i="2" s="1"/>
  <c r="G48" i="2"/>
  <c r="H48" i="2" s="1"/>
  <c r="O22" i="2"/>
  <c r="O26" i="2"/>
  <c r="O52" i="2"/>
  <c r="O20" i="2"/>
  <c r="O50" i="2"/>
  <c r="O54" i="2"/>
  <c r="O19" i="2"/>
  <c r="O21" i="2"/>
  <c r="O23" i="2"/>
  <c r="O47" i="2"/>
  <c r="O18" i="2"/>
  <c r="O24" i="2"/>
  <c r="O49" i="2"/>
  <c r="O51" i="2"/>
  <c r="O53" i="2"/>
  <c r="O55" i="2"/>
  <c r="O25" i="2"/>
  <c r="F39" i="2"/>
  <c r="H41" i="2" s="1"/>
  <c r="F10" i="2"/>
  <c r="H12" i="2" s="1"/>
  <c r="R54" i="6" l="1"/>
  <c r="H20" i="6"/>
  <c r="H21" i="6"/>
  <c r="J21" i="6" s="1"/>
  <c r="H47" i="6"/>
  <c r="J47" i="6" s="1"/>
  <c r="K47" i="6" s="1"/>
  <c r="H49" i="6"/>
  <c r="O48" i="6"/>
  <c r="N55" i="8"/>
  <c r="H48" i="6"/>
  <c r="I48" i="6"/>
  <c r="H24" i="6"/>
  <c r="I24" i="6"/>
  <c r="J24" i="6" s="1"/>
  <c r="K24" i="6" s="1"/>
  <c r="R18" i="6"/>
  <c r="O52" i="6"/>
  <c r="H18" i="6"/>
  <c r="I18" i="6"/>
  <c r="J18" i="6" s="1"/>
  <c r="K18" i="6" s="1"/>
  <c r="I22" i="2"/>
  <c r="J22" i="2" s="1"/>
  <c r="K22" i="2" s="1"/>
  <c r="O22" i="6"/>
  <c r="H54" i="6"/>
  <c r="I54" i="6"/>
  <c r="J54" i="6" s="1"/>
  <c r="K54" i="6" s="1"/>
  <c r="E51" i="7"/>
  <c r="E55" i="7"/>
  <c r="E23" i="7"/>
  <c r="E19" i="7"/>
  <c r="I21" i="2"/>
  <c r="J21" i="2" s="1"/>
  <c r="K21" i="2" s="1"/>
  <c r="J20" i="6"/>
  <c r="K20" i="6" s="1"/>
  <c r="E48" i="7"/>
  <c r="E52" i="7"/>
  <c r="I21" i="3"/>
  <c r="J21" i="3" s="1"/>
  <c r="K21" i="3" s="1"/>
  <c r="E53" i="7"/>
  <c r="E49" i="7"/>
  <c r="E50" i="7"/>
  <c r="E21" i="7"/>
  <c r="I20" i="2"/>
  <c r="E47" i="5"/>
  <c r="E18" i="5"/>
  <c r="E19" i="5"/>
  <c r="O21" i="6"/>
  <c r="E22" i="7"/>
  <c r="K50" i="8"/>
  <c r="N50" i="8"/>
  <c r="K54" i="8"/>
  <c r="N54" i="8"/>
  <c r="K52" i="8"/>
  <c r="N52" i="8"/>
  <c r="K53" i="8"/>
  <c r="N53" i="8"/>
  <c r="K20" i="8"/>
  <c r="N20" i="8"/>
  <c r="J49" i="7"/>
  <c r="K49" i="7" s="1"/>
  <c r="P49" i="7"/>
  <c r="R49" i="7" s="1"/>
  <c r="H24" i="7"/>
  <c r="I24" i="7" s="1"/>
  <c r="H19" i="7"/>
  <c r="I19" i="7" s="1"/>
  <c r="H55" i="7"/>
  <c r="I55" i="7" s="1"/>
  <c r="H50" i="7"/>
  <c r="I50" i="7" s="1"/>
  <c r="N47" i="7"/>
  <c r="K47" i="7"/>
  <c r="H53" i="7"/>
  <c r="I53" i="7" s="1"/>
  <c r="J53" i="7" s="1"/>
  <c r="N22" i="7"/>
  <c r="K22" i="7"/>
  <c r="H20" i="7"/>
  <c r="I20" i="7" s="1"/>
  <c r="P22" i="7"/>
  <c r="R22" i="7" s="1"/>
  <c r="H23" i="7"/>
  <c r="I23" i="7" s="1"/>
  <c r="H18" i="7"/>
  <c r="I18" i="7" s="1"/>
  <c r="H52" i="7"/>
  <c r="I52" i="7" s="1"/>
  <c r="H54" i="7"/>
  <c r="I54" i="7" s="1"/>
  <c r="H21" i="7"/>
  <c r="I21" i="7" s="1"/>
  <c r="P47" i="7"/>
  <c r="R47" i="7" s="1"/>
  <c r="H48" i="7"/>
  <c r="I48" i="7" s="1"/>
  <c r="H51" i="7"/>
  <c r="I51" i="7" s="1"/>
  <c r="P54" i="6"/>
  <c r="J49" i="6"/>
  <c r="K49" i="6" s="1"/>
  <c r="P49" i="6"/>
  <c r="N53" i="6"/>
  <c r="K21" i="6"/>
  <c r="N21" i="6"/>
  <c r="P21" i="6"/>
  <c r="J50" i="6"/>
  <c r="P50" i="6"/>
  <c r="J48" i="6"/>
  <c r="P48" i="6"/>
  <c r="H19" i="6"/>
  <c r="P53" i="6"/>
  <c r="N23" i="6"/>
  <c r="P51" i="6"/>
  <c r="N51" i="6"/>
  <c r="N20" i="6"/>
  <c r="H22" i="6"/>
  <c r="J22" i="6" s="1"/>
  <c r="P18" i="6"/>
  <c r="P23" i="6"/>
  <c r="H52" i="6"/>
  <c r="J52" i="6" s="1"/>
  <c r="P47" i="6"/>
  <c r="P20" i="6"/>
  <c r="H55" i="6"/>
  <c r="K51" i="5"/>
  <c r="N51" i="5"/>
  <c r="K54" i="5"/>
  <c r="N54" i="5"/>
  <c r="J48" i="5"/>
  <c r="P48" i="5"/>
  <c r="R48" i="5" s="1"/>
  <c r="H53" i="5"/>
  <c r="I53" i="5" s="1"/>
  <c r="P51" i="5"/>
  <c r="R51" i="5" s="1"/>
  <c r="H20" i="5"/>
  <c r="I20" i="5" s="1"/>
  <c r="P49" i="5"/>
  <c r="R49" i="5" s="1"/>
  <c r="J22" i="5"/>
  <c r="P22" i="5"/>
  <c r="R22" i="5" s="1"/>
  <c r="J23" i="5"/>
  <c r="P23" i="5"/>
  <c r="R23" i="5" s="1"/>
  <c r="N49" i="5"/>
  <c r="H21" i="5"/>
  <c r="I21" i="5" s="1"/>
  <c r="H50" i="5"/>
  <c r="I50" i="5" s="1"/>
  <c r="H47" i="5"/>
  <c r="I47" i="5" s="1"/>
  <c r="J47" i="5" s="1"/>
  <c r="H24" i="5"/>
  <c r="I24" i="5" s="1"/>
  <c r="I18" i="5"/>
  <c r="P18" i="5" s="1"/>
  <c r="E54" i="5"/>
  <c r="E23" i="5"/>
  <c r="E49" i="5"/>
  <c r="E52" i="5"/>
  <c r="E21" i="5"/>
  <c r="E50" i="5"/>
  <c r="E55" i="5"/>
  <c r="E24" i="5"/>
  <c r="E22" i="5"/>
  <c r="E53" i="5"/>
  <c r="E48" i="5"/>
  <c r="E51" i="5"/>
  <c r="E20" i="5"/>
  <c r="H52" i="5"/>
  <c r="I52" i="5" s="1"/>
  <c r="J52" i="5" s="1"/>
  <c r="I19" i="5"/>
  <c r="H55" i="5"/>
  <c r="I55" i="5" s="1"/>
  <c r="P54" i="5"/>
  <c r="R54" i="5" s="1"/>
  <c r="J49" i="4"/>
  <c r="K49" i="4" s="1"/>
  <c r="P49" i="4"/>
  <c r="R49" i="4" s="1"/>
  <c r="P20" i="4"/>
  <c r="R20" i="4" s="1"/>
  <c r="P23" i="4"/>
  <c r="R23" i="4" s="1"/>
  <c r="J22" i="4"/>
  <c r="P22" i="4"/>
  <c r="R22" i="4" s="1"/>
  <c r="J25" i="4"/>
  <c r="P25" i="4"/>
  <c r="R25" i="4" s="1"/>
  <c r="E54" i="4"/>
  <c r="E23" i="4"/>
  <c r="E49" i="4"/>
  <c r="E26" i="4"/>
  <c r="E18" i="4"/>
  <c r="E19" i="4"/>
  <c r="E22" i="4"/>
  <c r="E52" i="4"/>
  <c r="E21" i="4"/>
  <c r="E55" i="4"/>
  <c r="E47" i="4"/>
  <c r="E24" i="4"/>
  <c r="E50" i="4"/>
  <c r="E53" i="4"/>
  <c r="E48" i="4"/>
  <c r="E25" i="4"/>
  <c r="E51" i="4"/>
  <c r="E20" i="4"/>
  <c r="H24" i="4"/>
  <c r="I24" i="4" s="1"/>
  <c r="H53" i="4"/>
  <c r="I53" i="4" s="1"/>
  <c r="N48" i="4"/>
  <c r="H54" i="4"/>
  <c r="I54" i="4" s="1"/>
  <c r="H50" i="4"/>
  <c r="I50" i="4" s="1"/>
  <c r="H51" i="4"/>
  <c r="I51" i="4" s="1"/>
  <c r="H21" i="4"/>
  <c r="I21" i="4" s="1"/>
  <c r="P48" i="4"/>
  <c r="R48" i="4" s="1"/>
  <c r="H52" i="4"/>
  <c r="I52" i="4" s="1"/>
  <c r="H26" i="4"/>
  <c r="I26" i="4" s="1"/>
  <c r="N23" i="4"/>
  <c r="H55" i="4"/>
  <c r="I55" i="4" s="1"/>
  <c r="H47" i="4"/>
  <c r="I47" i="4" s="1"/>
  <c r="H18" i="4"/>
  <c r="I18" i="4" s="1"/>
  <c r="H19" i="4"/>
  <c r="I19" i="4" s="1"/>
  <c r="J19" i="4" s="1"/>
  <c r="N20" i="4"/>
  <c r="P19" i="3"/>
  <c r="R19" i="3" s="1"/>
  <c r="I24" i="3"/>
  <c r="P24" i="3" s="1"/>
  <c r="R24" i="3" s="1"/>
  <c r="P57" i="3"/>
  <c r="R57" i="3" s="1"/>
  <c r="J57" i="3"/>
  <c r="I56" i="3"/>
  <c r="J56" i="3" s="1"/>
  <c r="K56" i="3" s="1"/>
  <c r="I54" i="3"/>
  <c r="J54" i="3" s="1"/>
  <c r="K54" i="3" s="1"/>
  <c r="N19" i="3"/>
  <c r="P53" i="3"/>
  <c r="R53" i="3" s="1"/>
  <c r="I49" i="3"/>
  <c r="J49" i="3" s="1"/>
  <c r="K49" i="3" s="1"/>
  <c r="H18" i="3"/>
  <c r="I18" i="3" s="1"/>
  <c r="P55" i="3"/>
  <c r="R55" i="3" s="1"/>
  <c r="P23" i="3"/>
  <c r="R23" i="3" s="1"/>
  <c r="J23" i="3"/>
  <c r="K23" i="3" s="1"/>
  <c r="N22" i="3"/>
  <c r="P22" i="3"/>
  <c r="R22" i="3" s="1"/>
  <c r="J52" i="3"/>
  <c r="K52" i="3" s="1"/>
  <c r="P52" i="3"/>
  <c r="R52" i="3" s="1"/>
  <c r="J17" i="3"/>
  <c r="K17" i="3" s="1"/>
  <c r="P17" i="3"/>
  <c r="R17" i="3" s="1"/>
  <c r="J51" i="3"/>
  <c r="K51" i="3" s="1"/>
  <c r="P51" i="3"/>
  <c r="R51" i="3" s="1"/>
  <c r="N53" i="3"/>
  <c r="N50" i="3"/>
  <c r="P54" i="3"/>
  <c r="R54" i="3" s="1"/>
  <c r="P20" i="3"/>
  <c r="R20" i="3" s="1"/>
  <c r="N55" i="3"/>
  <c r="N20" i="3"/>
  <c r="P50" i="3"/>
  <c r="R50" i="3" s="1"/>
  <c r="I23" i="2"/>
  <c r="J23" i="2" s="1"/>
  <c r="K23" i="2" s="1"/>
  <c r="I26" i="2"/>
  <c r="I19" i="2"/>
  <c r="J19" i="2" s="1"/>
  <c r="K19" i="2" s="1"/>
  <c r="I48" i="2"/>
  <c r="J48" i="2" s="1"/>
  <c r="K48" i="2" s="1"/>
  <c r="P54" i="2"/>
  <c r="R54" i="2" s="1"/>
  <c r="I51" i="2"/>
  <c r="J51" i="2" s="1"/>
  <c r="K51" i="2" s="1"/>
  <c r="H53" i="2"/>
  <c r="I53" i="2" s="1"/>
  <c r="I24" i="2"/>
  <c r="J24" i="2" s="1"/>
  <c r="K24" i="2" s="1"/>
  <c r="P18" i="2"/>
  <c r="R18" i="2" s="1"/>
  <c r="I50" i="2"/>
  <c r="J50" i="2" s="1"/>
  <c r="K50" i="2" s="1"/>
  <c r="E49" i="2"/>
  <c r="E23" i="2"/>
  <c r="E55" i="2"/>
  <c r="E21" i="2"/>
  <c r="E48" i="2"/>
  <c r="E50" i="2"/>
  <c r="E24" i="2"/>
  <c r="E51" i="2"/>
  <c r="E25" i="2"/>
  <c r="E53" i="2"/>
  <c r="E19" i="2"/>
  <c r="E54" i="2"/>
  <c r="E18" i="2"/>
  <c r="E52" i="2"/>
  <c r="E26" i="2"/>
  <c r="E20" i="2"/>
  <c r="E47" i="2"/>
  <c r="E22" i="2"/>
  <c r="I49" i="2"/>
  <c r="J20" i="2"/>
  <c r="K20" i="2" s="1"/>
  <c r="P20" i="2"/>
  <c r="R20" i="2" s="1"/>
  <c r="P47" i="2"/>
  <c r="R47" i="2" s="1"/>
  <c r="J25" i="2"/>
  <c r="K25" i="2" s="1"/>
  <c r="P25" i="2"/>
  <c r="R25" i="2" s="1"/>
  <c r="N55" i="2"/>
  <c r="P55" i="2"/>
  <c r="R55" i="2" s="1"/>
  <c r="N18" i="2"/>
  <c r="P52" i="2"/>
  <c r="R52" i="2" s="1"/>
  <c r="N52" i="2"/>
  <c r="N54" i="2"/>
  <c r="P23" i="2"/>
  <c r="R23" i="2" s="1"/>
  <c r="P21" i="2" l="1"/>
  <c r="R21" i="2" s="1"/>
  <c r="N22" i="2"/>
  <c r="P22" i="2"/>
  <c r="R22" i="2" s="1"/>
  <c r="N47" i="6"/>
  <c r="N21" i="2"/>
  <c r="N54" i="6"/>
  <c r="N18" i="6"/>
  <c r="P48" i="2"/>
  <c r="R48" i="2" s="1"/>
  <c r="P21" i="3"/>
  <c r="R21" i="3" s="1"/>
  <c r="N24" i="6"/>
  <c r="P24" i="6"/>
  <c r="N49" i="4"/>
  <c r="N19" i="2"/>
  <c r="P19" i="2"/>
  <c r="R19" i="2" s="1"/>
  <c r="P56" i="3"/>
  <c r="R56" i="3" s="1"/>
  <c r="N49" i="7"/>
  <c r="N23" i="2"/>
  <c r="J55" i="7"/>
  <c r="N55" i="7" s="1"/>
  <c r="P55" i="7"/>
  <c r="R55" i="7" s="1"/>
  <c r="J23" i="7"/>
  <c r="P23" i="7"/>
  <c r="R23" i="7" s="1"/>
  <c r="J51" i="7"/>
  <c r="P51" i="7"/>
  <c r="R51" i="7" s="1"/>
  <c r="J50" i="7"/>
  <c r="P50" i="7"/>
  <c r="R50" i="7" s="1"/>
  <c r="J48" i="7"/>
  <c r="P48" i="7"/>
  <c r="R48" i="7" s="1"/>
  <c r="J20" i="7"/>
  <c r="P20" i="7"/>
  <c r="R20" i="7" s="1"/>
  <c r="J21" i="7"/>
  <c r="P21" i="7"/>
  <c r="R21" i="7" s="1"/>
  <c r="J54" i="7"/>
  <c r="P54" i="7"/>
  <c r="R54" i="7" s="1"/>
  <c r="J52" i="7"/>
  <c r="P52" i="7"/>
  <c r="R52" i="7" s="1"/>
  <c r="J19" i="7"/>
  <c r="P19" i="7"/>
  <c r="R19" i="7" s="1"/>
  <c r="J18" i="7"/>
  <c r="P18" i="7"/>
  <c r="R18" i="7" s="1"/>
  <c r="J24" i="7"/>
  <c r="P24" i="7"/>
  <c r="R24" i="7" s="1"/>
  <c r="K55" i="7"/>
  <c r="K53" i="7"/>
  <c r="N53" i="7"/>
  <c r="P53" i="7"/>
  <c r="R53" i="7" s="1"/>
  <c r="N49" i="6"/>
  <c r="J55" i="6"/>
  <c r="P55" i="6"/>
  <c r="J19" i="6"/>
  <c r="P19" i="6"/>
  <c r="K22" i="6"/>
  <c r="N22" i="6"/>
  <c r="K52" i="6"/>
  <c r="N52" i="6"/>
  <c r="P22" i="6"/>
  <c r="P52" i="6"/>
  <c r="K48" i="6"/>
  <c r="N48" i="6"/>
  <c r="K50" i="6"/>
  <c r="N50" i="6"/>
  <c r="J53" i="5"/>
  <c r="P53" i="5"/>
  <c r="R53" i="5" s="1"/>
  <c r="J19" i="5"/>
  <c r="K19" i="5" s="1"/>
  <c r="P19" i="5"/>
  <c r="R19" i="5" s="1"/>
  <c r="P20" i="5"/>
  <c r="R20" i="5" s="1"/>
  <c r="J20" i="5"/>
  <c r="K48" i="5"/>
  <c r="N48" i="5"/>
  <c r="J18" i="5"/>
  <c r="R18" i="5"/>
  <c r="J24" i="5"/>
  <c r="P24" i="5"/>
  <c r="R24" i="5" s="1"/>
  <c r="J55" i="5"/>
  <c r="P55" i="5"/>
  <c r="R55" i="5" s="1"/>
  <c r="J50" i="5"/>
  <c r="P50" i="5"/>
  <c r="R50" i="5" s="1"/>
  <c r="J21" i="5"/>
  <c r="P21" i="5"/>
  <c r="R21" i="5" s="1"/>
  <c r="P52" i="5"/>
  <c r="R52" i="5" s="1"/>
  <c r="P47" i="5"/>
  <c r="R47" i="5" s="1"/>
  <c r="K23" i="5"/>
  <c r="N23" i="5"/>
  <c r="K52" i="5"/>
  <c r="N52" i="5"/>
  <c r="K47" i="5"/>
  <c r="N47" i="5"/>
  <c r="K22" i="5"/>
  <c r="N22" i="5"/>
  <c r="J26" i="4"/>
  <c r="N26" i="4" s="1"/>
  <c r="P26" i="4"/>
  <c r="R26" i="4" s="1"/>
  <c r="J24" i="4"/>
  <c r="K24" i="4" s="1"/>
  <c r="P24" i="4"/>
  <c r="R24" i="4" s="1"/>
  <c r="J21" i="4"/>
  <c r="P21" i="4"/>
  <c r="R21" i="4" s="1"/>
  <c r="J47" i="4"/>
  <c r="P47" i="4"/>
  <c r="R47" i="4" s="1"/>
  <c r="J51" i="4"/>
  <c r="P51" i="4"/>
  <c r="R51" i="4" s="1"/>
  <c r="J54" i="4"/>
  <c r="P54" i="4"/>
  <c r="R54" i="4" s="1"/>
  <c r="J55" i="4"/>
  <c r="P55" i="4"/>
  <c r="R55" i="4" s="1"/>
  <c r="J50" i="4"/>
  <c r="P50" i="4"/>
  <c r="R50" i="4" s="1"/>
  <c r="J52" i="4"/>
  <c r="P52" i="4"/>
  <c r="R52" i="4" s="1"/>
  <c r="J53" i="4"/>
  <c r="P53" i="4"/>
  <c r="R53" i="4" s="1"/>
  <c r="J18" i="4"/>
  <c r="P18" i="4"/>
  <c r="R18" i="4" s="1"/>
  <c r="P19" i="4"/>
  <c r="R19" i="4" s="1"/>
  <c r="K19" i="4"/>
  <c r="N19" i="4"/>
  <c r="K25" i="4"/>
  <c r="N25" i="4"/>
  <c r="K22" i="4"/>
  <c r="N22" i="4"/>
  <c r="J24" i="3"/>
  <c r="K24" i="3" s="1"/>
  <c r="N54" i="3"/>
  <c r="K57" i="3"/>
  <c r="N57" i="3"/>
  <c r="N49" i="3"/>
  <c r="J18" i="3"/>
  <c r="K18" i="3" s="1"/>
  <c r="P18" i="3"/>
  <c r="R18" i="3" s="1"/>
  <c r="P49" i="3"/>
  <c r="R49" i="3" s="1"/>
  <c r="N23" i="3"/>
  <c r="N51" i="3"/>
  <c r="N56" i="3"/>
  <c r="N17" i="3"/>
  <c r="N21" i="3"/>
  <c r="N52" i="3"/>
  <c r="N51" i="2"/>
  <c r="P51" i="2"/>
  <c r="R51" i="2" s="1"/>
  <c r="P24" i="2"/>
  <c r="R24" i="2" s="1"/>
  <c r="P26" i="2"/>
  <c r="R26" i="2" s="1"/>
  <c r="J26" i="2"/>
  <c r="J53" i="2"/>
  <c r="P53" i="2"/>
  <c r="R53" i="2" s="1"/>
  <c r="P50" i="2"/>
  <c r="R50" i="2" s="1"/>
  <c r="J49" i="2"/>
  <c r="P49" i="2"/>
  <c r="R49" i="2" s="1"/>
  <c r="N47" i="2"/>
  <c r="N48" i="2"/>
  <c r="N24" i="2"/>
  <c r="N50" i="2"/>
  <c r="N25" i="2"/>
  <c r="N20" i="2"/>
  <c r="N24" i="4" l="1"/>
  <c r="N52" i="7"/>
  <c r="K52" i="7"/>
  <c r="K48" i="7"/>
  <c r="N48" i="7"/>
  <c r="K24" i="7"/>
  <c r="N24" i="7"/>
  <c r="K50" i="7"/>
  <c r="N50" i="7"/>
  <c r="K21" i="7"/>
  <c r="N21" i="7"/>
  <c r="K54" i="7"/>
  <c r="N54" i="7"/>
  <c r="K18" i="7"/>
  <c r="N18" i="7"/>
  <c r="K51" i="7"/>
  <c r="N51" i="7"/>
  <c r="N19" i="7"/>
  <c r="K19" i="7"/>
  <c r="K20" i="7"/>
  <c r="N20" i="7"/>
  <c r="K23" i="7"/>
  <c r="N23" i="7"/>
  <c r="K19" i="6"/>
  <c r="N19" i="6"/>
  <c r="K55" i="6"/>
  <c r="N55" i="6"/>
  <c r="N19" i="5"/>
  <c r="K20" i="5"/>
  <c r="N20" i="5"/>
  <c r="K53" i="5"/>
  <c r="N53" i="5"/>
  <c r="K55" i="5"/>
  <c r="N55" i="5"/>
  <c r="K24" i="5"/>
  <c r="N24" i="5"/>
  <c r="K21" i="5"/>
  <c r="N21" i="5"/>
  <c r="K18" i="5"/>
  <c r="N18" i="5"/>
  <c r="K50" i="5"/>
  <c r="N50" i="5"/>
  <c r="K26" i="4"/>
  <c r="K52" i="4"/>
  <c r="N52" i="4"/>
  <c r="K51" i="4"/>
  <c r="N51" i="4"/>
  <c r="K53" i="4"/>
  <c r="N53" i="4"/>
  <c r="K50" i="4"/>
  <c r="N50" i="4"/>
  <c r="K47" i="4"/>
  <c r="N47" i="4"/>
  <c r="K54" i="4"/>
  <c r="N54" i="4"/>
  <c r="K18" i="4"/>
  <c r="N18" i="4"/>
  <c r="K55" i="4"/>
  <c r="N55" i="4"/>
  <c r="K21" i="4"/>
  <c r="N21" i="4"/>
  <c r="N24" i="3"/>
  <c r="N18" i="3"/>
  <c r="K26" i="2"/>
  <c r="N26" i="2"/>
  <c r="K49" i="2"/>
  <c r="N49" i="2"/>
  <c r="K53" i="2"/>
  <c r="N53" i="2"/>
</calcChain>
</file>

<file path=xl/sharedStrings.xml><?xml version="1.0" encoding="utf-8"?>
<sst xmlns="http://schemas.openxmlformats.org/spreadsheetml/2006/main" count="606" uniqueCount="71">
  <si>
    <t>Frequency</t>
  </si>
  <si>
    <t>MHz</t>
  </si>
  <si>
    <t>Material</t>
  </si>
  <si>
    <t>M2</t>
  </si>
  <si>
    <t>Size</t>
  </si>
  <si>
    <t xml:space="preserve">Turns </t>
  </si>
  <si>
    <t>L</t>
  </si>
  <si>
    <t>nH</t>
  </si>
  <si>
    <t>Z</t>
  </si>
  <si>
    <t>SHUNT CAPACITANCE</t>
  </si>
  <si>
    <t>ALSO USE FFT</t>
  </si>
  <si>
    <t>Z Match Xformer N</t>
  </si>
  <si>
    <t>NONE</t>
  </si>
  <si>
    <t>C_total</t>
  </si>
  <si>
    <t>pF</t>
  </si>
  <si>
    <t>C_1</t>
  </si>
  <si>
    <t>R_C1</t>
  </si>
  <si>
    <t>C_2</t>
  </si>
  <si>
    <t>R_C2</t>
  </si>
  <si>
    <t>Calculated Resonance</t>
  </si>
  <si>
    <t>Volume</t>
  </si>
  <si>
    <t>I (mA)</t>
  </si>
  <si>
    <t>Frequency (MHz)</t>
  </si>
  <si>
    <t>V_in (pp at fundamental) (mV)</t>
  </si>
  <si>
    <t>V_out (pp) (V)</t>
  </si>
  <si>
    <t>Q (basic calculation)</t>
  </si>
  <si>
    <t>L calc</t>
  </si>
  <si>
    <t>Q final</t>
  </si>
  <si>
    <t>R eff</t>
  </si>
  <si>
    <t>P loss Eff</t>
  </si>
  <si>
    <t>Pv</t>
  </si>
  <si>
    <t>C parasitic</t>
  </si>
  <si>
    <t>P loss parasitic</t>
  </si>
  <si>
    <t>R Parasitic Effective</t>
  </si>
  <si>
    <t>Q New</t>
  </si>
  <si>
    <t>AIR</t>
  </si>
  <si>
    <t>mu_0</t>
  </si>
  <si>
    <t>rho</t>
  </si>
  <si>
    <t>Omega</t>
  </si>
  <si>
    <t>Performance Factor (mT*MHz)</t>
  </si>
  <si>
    <t>Loss Density (mW/cm^3)</t>
  </si>
  <si>
    <t>Core Thickness (mm)</t>
  </si>
  <si>
    <t>Skin Depth</t>
  </si>
  <si>
    <t>Correction Factor</t>
  </si>
  <si>
    <t>Q Ratio</t>
  </si>
  <si>
    <t>Corrected Q Ratio</t>
  </si>
  <si>
    <t>Rough real Q</t>
  </si>
  <si>
    <t>Freq</t>
  </si>
  <si>
    <t>Q</t>
  </si>
  <si>
    <t>Air Q</t>
  </si>
  <si>
    <t>Z analyzer</t>
  </si>
  <si>
    <t>AWG</t>
  </si>
  <si>
    <t>Change caps</t>
  </si>
  <si>
    <t xml:space="preserve"> </t>
  </si>
  <si>
    <t>N40</t>
  </si>
  <si>
    <t>665 N40</t>
  </si>
  <si>
    <t>16th divisions!!!</t>
  </si>
  <si>
    <t>v4 - wire turns</t>
  </si>
  <si>
    <t>short probes</t>
  </si>
  <si>
    <t>awg 17</t>
  </si>
  <si>
    <t>Ratio</t>
  </si>
  <si>
    <t>998P</t>
  </si>
  <si>
    <t>F67</t>
  </si>
  <si>
    <t>foil</t>
  </si>
  <si>
    <t>IMPEDANCE ANALYZEWR GIVES 75</t>
  </si>
  <si>
    <t>???</t>
  </si>
  <si>
    <t>?? CONFIRM</t>
  </si>
  <si>
    <t>predicted' (.66 of 1/2)</t>
  </si>
  <si>
    <t>predicted' (.8 of 1/2)</t>
  </si>
  <si>
    <t>Air predicted (.66)</t>
  </si>
  <si>
    <t>Air predicted (.8)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</si>
</sst>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E+00"/>
    <numFmt numFmtId="167" formatCode="0.0000E+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2" borderId="0" xfId="0" applyFill="1"/>
    <xf numFmtId="164" fontId="0" fillId="0" borderId="0" xfId="0" applyNumberFormat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2" fontId="3" fillId="0" borderId="0" xfId="0" applyNumberFormat="1" applyFont="1"/>
    <xf numFmtId="11" fontId="0" fillId="0" borderId="0" xfId="0" applyNumberFormat="1"/>
    <xf numFmtId="10" fontId="3" fillId="0" borderId="0" xfId="1" applyNumberFormat="1" applyFont="1"/>
    <xf numFmtId="165" fontId="0" fillId="0" borderId="0" xfId="0" applyNumberFormat="1"/>
    <xf numFmtId="0" fontId="3" fillId="2" borderId="0" xfId="0" applyFont="1" applyFill="1"/>
    <xf numFmtId="11" fontId="3" fillId="0" borderId="0" xfId="0" applyNumberFormat="1" applyFont="1"/>
    <xf numFmtId="0" fontId="5" fillId="0" borderId="0" xfId="0" applyFont="1"/>
    <xf numFmtId="166" fontId="0" fillId="0" borderId="0" xfId="0" applyNumberFormat="1"/>
    <xf numFmtId="0" fontId="0" fillId="0" borderId="0" xfId="0" quotePrefix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B03D-301B-8F49-BE24-FA28A4997DE5}">
  <dimension ref="A1:P55"/>
  <sheetViews>
    <sheetView workbookViewId="0">
      <selection activeCell="J13" sqref="J13"/>
    </sheetView>
  </sheetViews>
  <sheetFormatPr baseColWidth="10" defaultColWidth="11" defaultRowHeight="16" x14ac:dyDescent="0.2"/>
  <cols>
    <col min="6" max="6" width="12.1640625" bestFit="1" customWidth="1"/>
    <col min="11" max="11" width="19.33203125" bestFit="1" customWidth="1"/>
  </cols>
  <sheetData>
    <row r="1" spans="1:16" x14ac:dyDescent="0.2">
      <c r="A1" t="s">
        <v>2</v>
      </c>
      <c r="B1" t="s">
        <v>4</v>
      </c>
      <c r="C1" t="s">
        <v>47</v>
      </c>
      <c r="D1" t="s">
        <v>8</v>
      </c>
      <c r="E1" t="s">
        <v>48</v>
      </c>
      <c r="F1" t="s">
        <v>49</v>
      </c>
      <c r="G1" t="s">
        <v>50</v>
      </c>
      <c r="H1" t="s">
        <v>60</v>
      </c>
      <c r="K1" s="16" t="s">
        <v>67</v>
      </c>
      <c r="L1" s="16" t="s">
        <v>68</v>
      </c>
      <c r="O1" t="s">
        <v>69</v>
      </c>
      <c r="P1" t="s">
        <v>70</v>
      </c>
    </row>
    <row r="2" spans="1:16" x14ac:dyDescent="0.2">
      <c r="A2" t="s">
        <v>62</v>
      </c>
      <c r="B2">
        <v>1101</v>
      </c>
      <c r="C2">
        <v>10</v>
      </c>
      <c r="D2">
        <v>100</v>
      </c>
      <c r="E2">
        <v>246</v>
      </c>
      <c r="F2">
        <v>74</v>
      </c>
      <c r="G2">
        <v>75</v>
      </c>
      <c r="H2">
        <f t="shared" ref="H2:H4" si="0">E2/F2</f>
        <v>3.3243243243243241</v>
      </c>
      <c r="I2" s="6">
        <f>K2/E2</f>
        <v>0.85609756097560974</v>
      </c>
      <c r="J2" s="6">
        <f>L2/E2</f>
        <v>0.98373983739837401</v>
      </c>
      <c r="K2">
        <v>210.6</v>
      </c>
      <c r="L2">
        <v>242</v>
      </c>
      <c r="O2">
        <v>58.6</v>
      </c>
      <c r="P2">
        <v>71</v>
      </c>
    </row>
    <row r="3" spans="1:16" x14ac:dyDescent="0.2">
      <c r="A3" t="s">
        <v>62</v>
      </c>
      <c r="B3">
        <v>1101</v>
      </c>
      <c r="C3">
        <v>10</v>
      </c>
      <c r="D3">
        <v>10</v>
      </c>
      <c r="E3">
        <v>119</v>
      </c>
      <c r="F3">
        <v>70</v>
      </c>
      <c r="G3">
        <v>85</v>
      </c>
      <c r="H3">
        <f t="shared" si="0"/>
        <v>1.7</v>
      </c>
      <c r="I3" s="6">
        <f t="shared" ref="I3:I8" si="1">K3/E3</f>
        <v>1.9327731092436975</v>
      </c>
      <c r="J3" s="6">
        <f t="shared" ref="J3:J8" si="2">L3/E3</f>
        <v>2.2210084033613446</v>
      </c>
      <c r="K3">
        <v>230</v>
      </c>
      <c r="L3">
        <v>264.3</v>
      </c>
      <c r="O3">
        <v>46.8</v>
      </c>
      <c r="P3">
        <v>56.7</v>
      </c>
    </row>
    <row r="4" spans="1:16" x14ac:dyDescent="0.2">
      <c r="A4" t="s">
        <v>62</v>
      </c>
      <c r="B4">
        <v>1901</v>
      </c>
      <c r="C4">
        <v>10</v>
      </c>
      <c r="D4">
        <v>100</v>
      </c>
      <c r="E4">
        <v>319</v>
      </c>
      <c r="F4">
        <v>91</v>
      </c>
      <c r="G4">
        <v>95</v>
      </c>
      <c r="H4">
        <f t="shared" si="0"/>
        <v>3.5054945054945055</v>
      </c>
      <c r="I4" s="6">
        <f t="shared" si="1"/>
        <v>0.73699059561128522</v>
      </c>
      <c r="J4" s="6">
        <f t="shared" si="2"/>
        <v>0.84702194357366767</v>
      </c>
      <c r="K4">
        <v>235.1</v>
      </c>
      <c r="L4">
        <v>270.2</v>
      </c>
      <c r="O4">
        <v>66.599999999999994</v>
      </c>
      <c r="P4">
        <v>80.7</v>
      </c>
    </row>
    <row r="5" spans="1:16" x14ac:dyDescent="0.2">
      <c r="A5" t="s">
        <v>3</v>
      </c>
      <c r="B5" t="s">
        <v>61</v>
      </c>
      <c r="C5">
        <v>30</v>
      </c>
      <c r="D5">
        <v>100</v>
      </c>
      <c r="E5">
        <v>217</v>
      </c>
      <c r="F5">
        <v>123</v>
      </c>
      <c r="G5">
        <v>119</v>
      </c>
      <c r="H5">
        <f>E5/F5</f>
        <v>1.7642276422764227</v>
      </c>
      <c r="I5" s="6">
        <f t="shared" si="1"/>
        <v>0.89400921658986177</v>
      </c>
      <c r="J5" s="6">
        <f t="shared" si="2"/>
        <v>1.032258064516129</v>
      </c>
      <c r="K5">
        <v>194</v>
      </c>
      <c r="L5">
        <v>224</v>
      </c>
      <c r="O5">
        <v>101.9</v>
      </c>
      <c r="P5">
        <v>123.5</v>
      </c>
    </row>
    <row r="6" spans="1:16" x14ac:dyDescent="0.2">
      <c r="A6" t="s">
        <v>3</v>
      </c>
      <c r="B6">
        <v>964</v>
      </c>
      <c r="C6">
        <v>30</v>
      </c>
      <c r="D6">
        <v>100</v>
      </c>
      <c r="E6">
        <v>230</v>
      </c>
      <c r="F6">
        <v>144</v>
      </c>
      <c r="G6">
        <v>148</v>
      </c>
      <c r="H6">
        <f>E6/F6</f>
        <v>1.5972222222222223</v>
      </c>
      <c r="I6" s="6">
        <f t="shared" si="1"/>
        <v>1.3347826086956522</v>
      </c>
      <c r="J6" s="6">
        <f t="shared" si="2"/>
        <v>1.5434782608695652</v>
      </c>
      <c r="K6">
        <v>307</v>
      </c>
      <c r="L6">
        <v>355</v>
      </c>
      <c r="O6">
        <v>115.7</v>
      </c>
      <c r="P6">
        <v>140.30000000000001</v>
      </c>
    </row>
    <row r="7" spans="1:16" x14ac:dyDescent="0.2">
      <c r="A7" t="s">
        <v>3</v>
      </c>
      <c r="C7">
        <v>30</v>
      </c>
      <c r="D7">
        <v>10</v>
      </c>
      <c r="E7">
        <v>156</v>
      </c>
      <c r="F7">
        <v>126</v>
      </c>
      <c r="H7">
        <f>E7/F7</f>
        <v>1.2380952380952381</v>
      </c>
      <c r="I7" s="6">
        <f t="shared" si="1"/>
        <v>2.1666666666666665</v>
      </c>
      <c r="J7" s="6">
        <f t="shared" si="2"/>
        <v>2.4358974358974357</v>
      </c>
      <c r="K7">
        <v>338</v>
      </c>
      <c r="L7">
        <v>380</v>
      </c>
      <c r="O7">
        <v>109.1</v>
      </c>
      <c r="P7">
        <v>132.19999999999999</v>
      </c>
    </row>
    <row r="8" spans="1:16" x14ac:dyDescent="0.2">
      <c r="A8" t="s">
        <v>54</v>
      </c>
      <c r="C8">
        <v>60</v>
      </c>
      <c r="D8">
        <v>100</v>
      </c>
      <c r="E8">
        <v>149</v>
      </c>
      <c r="F8">
        <v>169</v>
      </c>
      <c r="G8">
        <v>170</v>
      </c>
      <c r="H8">
        <f>E8/F8</f>
        <v>0.88165680473372776</v>
      </c>
      <c r="I8" s="6">
        <f t="shared" si="1"/>
        <v>1.0335570469798658</v>
      </c>
      <c r="J8" s="6">
        <f t="shared" si="2"/>
        <v>1.1677852348993289</v>
      </c>
      <c r="K8">
        <v>154</v>
      </c>
      <c r="L8">
        <v>174</v>
      </c>
      <c r="O8">
        <v>125.8</v>
      </c>
      <c r="P8">
        <v>152.5</v>
      </c>
    </row>
    <row r="32" spans="1:2" x14ac:dyDescent="0.2">
      <c r="A32" t="s">
        <v>36</v>
      </c>
      <c r="B32">
        <f>4*PI()*10^-7</f>
        <v>1.2566370614359173E-6</v>
      </c>
    </row>
    <row r="33" spans="1:12" x14ac:dyDescent="0.2">
      <c r="A33" t="s">
        <v>37</v>
      </c>
      <c r="B33">
        <f>1.68*10^-8</f>
        <v>1.6799999999999998E-8</v>
      </c>
    </row>
    <row r="38" spans="1:12" x14ac:dyDescent="0.2">
      <c r="A38" t="s">
        <v>22</v>
      </c>
      <c r="B38" t="s">
        <v>38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  <c r="H38" t="s">
        <v>44</v>
      </c>
      <c r="I38" s="6" t="s">
        <v>45</v>
      </c>
      <c r="J38" s="6"/>
      <c r="K38" s="6" t="s">
        <v>46</v>
      </c>
      <c r="L38" t="s">
        <v>8</v>
      </c>
    </row>
    <row r="39" spans="1:12" x14ac:dyDescent="0.2">
      <c r="A39">
        <v>10</v>
      </c>
      <c r="B39">
        <f t="shared" ref="B39:B45" si="3">A39*2*PI()*10^6</f>
        <v>62831853.071795866</v>
      </c>
      <c r="C39">
        <v>139.1</v>
      </c>
      <c r="D39">
        <v>500</v>
      </c>
      <c r="E39">
        <v>12.7</v>
      </c>
      <c r="F39">
        <f>SQRT(2*$B$33/(B39*$B$32))</f>
        <v>2.062883834096866E-5</v>
      </c>
      <c r="G39">
        <f>E39*10^-3/(2*F39)</f>
        <v>307.82150187240381</v>
      </c>
      <c r="H39">
        <f>(PI()*C39*1000)/(SQRT(0.5*D39*1000*B39*$B$32))</f>
        <v>98.358553263048748</v>
      </c>
      <c r="I39" s="6">
        <f>(PI()*C39*1000)/(SQRT(0.5*D39*1000*B39*$B$32*G39))</f>
        <v>5.6061234348646307</v>
      </c>
      <c r="J39" s="6"/>
      <c r="K39" s="6"/>
      <c r="L39">
        <v>100</v>
      </c>
    </row>
    <row r="40" spans="1:12" x14ac:dyDescent="0.2">
      <c r="A40">
        <v>10</v>
      </c>
      <c r="B40">
        <f t="shared" si="3"/>
        <v>62831853.071795866</v>
      </c>
      <c r="C40">
        <v>139.1</v>
      </c>
      <c r="D40">
        <v>500</v>
      </c>
      <c r="E40">
        <v>6.35</v>
      </c>
      <c r="F40">
        <f t="shared" ref="F40:F44" si="4">SQRT(2*$B$33/(B40*$B$32))</f>
        <v>2.062883834096866E-5</v>
      </c>
      <c r="G40">
        <f t="shared" ref="G40:G45" si="5">E40*10^-3/(2*F40)</f>
        <v>153.91075093620191</v>
      </c>
      <c r="H40">
        <f t="shared" ref="H40:H45" si="6">(PI()*C40*1000)/(SQRT(0.5*D40*1000*B40*$B$32))</f>
        <v>98.358553263048748</v>
      </c>
      <c r="I40" s="6">
        <f t="shared" ref="I40:I45" si="7">(PI()*C40*1000)/(SQRT(0.5*D40*1000*B40*$B$32*G40))</f>
        <v>7.9282557939232019</v>
      </c>
      <c r="J40" s="6"/>
      <c r="K40" s="6"/>
      <c r="L40">
        <v>100</v>
      </c>
    </row>
    <row r="41" spans="1:12" x14ac:dyDescent="0.2">
      <c r="A41">
        <v>10</v>
      </c>
      <c r="B41">
        <f t="shared" si="3"/>
        <v>62831853.071795866</v>
      </c>
      <c r="C41">
        <v>139.1</v>
      </c>
      <c r="D41">
        <v>500</v>
      </c>
      <c r="E41">
        <v>6.35</v>
      </c>
      <c r="F41">
        <f t="shared" si="4"/>
        <v>2.062883834096866E-5</v>
      </c>
      <c r="G41">
        <f t="shared" si="5"/>
        <v>153.91075093620191</v>
      </c>
      <c r="H41">
        <f t="shared" si="6"/>
        <v>98.358553263048748</v>
      </c>
      <c r="I41" s="6">
        <f t="shared" si="7"/>
        <v>7.9282557939232019</v>
      </c>
      <c r="J41" s="6"/>
      <c r="K41" s="6"/>
      <c r="L41">
        <v>10</v>
      </c>
    </row>
    <row r="42" spans="1:12" x14ac:dyDescent="0.2">
      <c r="A42">
        <v>30</v>
      </c>
      <c r="B42">
        <f t="shared" si="3"/>
        <v>188495559.21538758</v>
      </c>
      <c r="C42">
        <v>135.5</v>
      </c>
      <c r="D42">
        <v>500</v>
      </c>
      <c r="E42">
        <v>6.35</v>
      </c>
      <c r="F42">
        <f t="shared" si="4"/>
        <v>1.1910065369227529E-5</v>
      </c>
      <c r="G42">
        <f t="shared" si="5"/>
        <v>266.58124045258086</v>
      </c>
      <c r="H42">
        <f t="shared" si="6"/>
        <v>55.317643357853441</v>
      </c>
      <c r="I42" s="6">
        <f t="shared" si="7"/>
        <v>3.3880427203360397</v>
      </c>
      <c r="J42" s="6"/>
      <c r="K42" s="6">
        <v>1.59</v>
      </c>
      <c r="L42">
        <v>100</v>
      </c>
    </row>
    <row r="43" spans="1:12" x14ac:dyDescent="0.2">
      <c r="A43">
        <v>30</v>
      </c>
      <c r="B43">
        <f t="shared" si="3"/>
        <v>188495559.21538758</v>
      </c>
      <c r="C43">
        <v>135.5</v>
      </c>
      <c r="D43">
        <v>500</v>
      </c>
      <c r="E43">
        <v>6.35</v>
      </c>
      <c r="F43">
        <f t="shared" si="4"/>
        <v>1.1910065369227529E-5</v>
      </c>
      <c r="G43">
        <f t="shared" si="5"/>
        <v>266.58124045258086</v>
      </c>
      <c r="H43">
        <f t="shared" si="6"/>
        <v>55.317643357853441</v>
      </c>
      <c r="I43" s="6">
        <f t="shared" si="7"/>
        <v>3.3880427203360397</v>
      </c>
      <c r="J43" s="6"/>
      <c r="K43" s="6"/>
      <c r="L43">
        <v>15</v>
      </c>
    </row>
    <row r="44" spans="1:12" x14ac:dyDescent="0.2">
      <c r="A44">
        <v>30</v>
      </c>
      <c r="B44">
        <f t="shared" si="3"/>
        <v>188495559.21538758</v>
      </c>
      <c r="C44">
        <v>135.5</v>
      </c>
      <c r="D44">
        <v>500</v>
      </c>
      <c r="E44">
        <v>6.35</v>
      </c>
      <c r="F44">
        <f t="shared" si="4"/>
        <v>1.1910065369227529E-5</v>
      </c>
      <c r="G44">
        <f t="shared" si="5"/>
        <v>266.58124045258086</v>
      </c>
      <c r="H44">
        <f t="shared" si="6"/>
        <v>55.317643357853441</v>
      </c>
      <c r="I44" s="6">
        <f t="shared" si="7"/>
        <v>3.3880427203360397</v>
      </c>
      <c r="J44" s="6"/>
      <c r="K44" s="6"/>
      <c r="L44">
        <v>100</v>
      </c>
    </row>
    <row r="45" spans="1:12" x14ac:dyDescent="0.2">
      <c r="A45">
        <v>60</v>
      </c>
      <c r="B45">
        <f t="shared" si="3"/>
        <v>376991118.43077517</v>
      </c>
      <c r="C45">
        <v>112</v>
      </c>
      <c r="D45">
        <v>500</v>
      </c>
      <c r="E45">
        <v>9.5250000000000004</v>
      </c>
      <c r="F45">
        <f>SQRT(2*$B$33/(B45*$B$32))</f>
        <v>8.4216879869558483E-6</v>
      </c>
      <c r="G45">
        <f t="shared" si="5"/>
        <v>565.50420858342443</v>
      </c>
      <c r="H45">
        <f t="shared" si="6"/>
        <v>32.331615074619044</v>
      </c>
      <c r="I45" s="6">
        <f t="shared" si="7"/>
        <v>1.3595947501593866</v>
      </c>
      <c r="J45" s="6"/>
      <c r="K45" s="6">
        <v>0.88</v>
      </c>
      <c r="L45">
        <v>170</v>
      </c>
    </row>
    <row r="48" spans="1:12" x14ac:dyDescent="0.2">
      <c r="A48" t="s">
        <v>22</v>
      </c>
      <c r="B48" t="s">
        <v>38</v>
      </c>
      <c r="C48" t="s">
        <v>39</v>
      </c>
      <c r="D48" t="s">
        <v>40</v>
      </c>
      <c r="E48" t="s">
        <v>41</v>
      </c>
      <c r="F48" t="s">
        <v>42</v>
      </c>
      <c r="G48" t="s">
        <v>43</v>
      </c>
      <c r="H48" t="s">
        <v>44</v>
      </c>
      <c r="I48" s="6" t="s">
        <v>45</v>
      </c>
      <c r="J48" s="6"/>
      <c r="K48" s="6" t="s">
        <v>46</v>
      </c>
      <c r="L48" t="s">
        <v>8</v>
      </c>
    </row>
    <row r="49" spans="1:12" x14ac:dyDescent="0.2">
      <c r="A49">
        <v>10</v>
      </c>
      <c r="B49">
        <f t="shared" ref="B49:B55" si="8">A49*2*PI()*10^6</f>
        <v>62831853.071795866</v>
      </c>
      <c r="C49">
        <v>90.75</v>
      </c>
      <c r="D49">
        <v>200</v>
      </c>
      <c r="E49">
        <v>12.7</v>
      </c>
      <c r="F49">
        <f>SQRT(2*$B$33/(B49*$B$32))</f>
        <v>2.062883834096866E-5</v>
      </c>
      <c r="G49">
        <f>E49*10^-3/(2*F49)</f>
        <v>307.82150187240381</v>
      </c>
      <c r="H49">
        <f>(PI()*C49*1000)/(SQRT(0.5*D49*1000*B49*$B$32))</f>
        <v>101.46158447905296</v>
      </c>
      <c r="I49" s="6">
        <f>(PI()*C49*1000)/(SQRT(0.5*D49*1000*B49*$B$32*G49))</f>
        <v>5.7829863048647017</v>
      </c>
      <c r="J49" s="6"/>
      <c r="K49" s="6">
        <v>3.27</v>
      </c>
      <c r="L49">
        <v>100</v>
      </c>
    </row>
    <row r="50" spans="1:12" x14ac:dyDescent="0.2">
      <c r="A50">
        <v>10</v>
      </c>
      <c r="B50">
        <f t="shared" si="8"/>
        <v>62831853.071795866</v>
      </c>
      <c r="C50">
        <v>90.75</v>
      </c>
      <c r="D50">
        <v>200</v>
      </c>
      <c r="E50">
        <v>6.35</v>
      </c>
      <c r="F50">
        <f t="shared" ref="F50:F55" si="9">SQRT(2*$B$33/(B50*$B$32))</f>
        <v>2.062883834096866E-5</v>
      </c>
      <c r="G50">
        <f t="shared" ref="G50:G55" si="10">E50*10^-3/(2*F50)</f>
        <v>153.91075093620191</v>
      </c>
      <c r="H50">
        <f t="shared" ref="H50:H55" si="11">(PI()*C50*1000)/(SQRT(0.5*D50*1000*B50*$B$32))</f>
        <v>101.46158447905296</v>
      </c>
      <c r="I50" s="6">
        <f t="shared" ref="I50:I55" si="12">(PI()*C50*1000)/(SQRT(0.5*D50*1000*B50*$B$32*G50))</f>
        <v>8.17837766335753</v>
      </c>
      <c r="J50" s="6"/>
      <c r="K50" s="6">
        <v>3.65</v>
      </c>
      <c r="L50">
        <v>100</v>
      </c>
    </row>
    <row r="51" spans="1:12" x14ac:dyDescent="0.2">
      <c r="A51">
        <v>10</v>
      </c>
      <c r="B51">
        <f t="shared" si="8"/>
        <v>62831853.071795866</v>
      </c>
      <c r="C51">
        <v>90.75</v>
      </c>
      <c r="D51">
        <v>200</v>
      </c>
      <c r="E51">
        <v>6.35</v>
      </c>
      <c r="F51">
        <f t="shared" si="9"/>
        <v>2.062883834096866E-5</v>
      </c>
      <c r="G51">
        <f t="shared" si="10"/>
        <v>153.91075093620191</v>
      </c>
      <c r="H51">
        <f t="shared" si="11"/>
        <v>101.46158447905296</v>
      </c>
      <c r="I51" s="6">
        <f t="shared" si="12"/>
        <v>8.17837766335753</v>
      </c>
      <c r="J51" s="6"/>
      <c r="K51" s="6">
        <v>2.15</v>
      </c>
      <c r="L51">
        <v>10</v>
      </c>
    </row>
    <row r="52" spans="1:12" x14ac:dyDescent="0.2">
      <c r="A52">
        <v>30</v>
      </c>
      <c r="B52">
        <f t="shared" si="8"/>
        <v>188495559.21538758</v>
      </c>
      <c r="C52">
        <v>104.919</v>
      </c>
      <c r="D52">
        <v>200</v>
      </c>
      <c r="E52">
        <v>6.35</v>
      </c>
      <c r="F52">
        <f t="shared" si="9"/>
        <v>1.1910065369227529E-5</v>
      </c>
      <c r="G52">
        <f t="shared" si="10"/>
        <v>266.58124045258086</v>
      </c>
      <c r="H52">
        <f t="shared" si="11"/>
        <v>67.724923283455993</v>
      </c>
      <c r="I52" s="6">
        <f t="shared" si="12"/>
        <v>4.1479520707610575</v>
      </c>
      <c r="J52" s="6"/>
      <c r="K52" s="6">
        <v>1.48</v>
      </c>
      <c r="L52">
        <v>100</v>
      </c>
    </row>
    <row r="53" spans="1:12" x14ac:dyDescent="0.2">
      <c r="A53">
        <v>30</v>
      </c>
      <c r="B53">
        <f t="shared" si="8"/>
        <v>188495559.21538758</v>
      </c>
      <c r="C53">
        <v>104.919</v>
      </c>
      <c r="D53">
        <v>200</v>
      </c>
      <c r="E53">
        <v>6.35</v>
      </c>
      <c r="F53">
        <f t="shared" si="9"/>
        <v>1.1910065369227529E-5</v>
      </c>
      <c r="G53">
        <f t="shared" si="10"/>
        <v>266.58124045258086</v>
      </c>
      <c r="H53">
        <f t="shared" si="11"/>
        <v>67.724923283455993</v>
      </c>
      <c r="I53" s="6">
        <f t="shared" si="12"/>
        <v>4.1479520707610575</v>
      </c>
      <c r="J53" s="6"/>
      <c r="K53" s="6">
        <v>1.28</v>
      </c>
      <c r="L53">
        <v>15</v>
      </c>
    </row>
    <row r="54" spans="1:12" x14ac:dyDescent="0.2">
      <c r="A54">
        <v>30</v>
      </c>
      <c r="B54">
        <f t="shared" si="8"/>
        <v>188495559.21538758</v>
      </c>
      <c r="C54">
        <v>104.919</v>
      </c>
      <c r="D54">
        <v>200</v>
      </c>
      <c r="E54">
        <v>6.35</v>
      </c>
      <c r="F54">
        <f t="shared" si="9"/>
        <v>1.1910065369227529E-5</v>
      </c>
      <c r="G54">
        <f t="shared" si="10"/>
        <v>266.58124045258086</v>
      </c>
      <c r="H54">
        <f t="shared" si="11"/>
        <v>67.724923283455993</v>
      </c>
      <c r="I54" s="6">
        <f t="shared" si="12"/>
        <v>4.1479520707610575</v>
      </c>
      <c r="J54" s="6"/>
      <c r="K54" s="6">
        <v>1.35</v>
      </c>
      <c r="L54">
        <v>100</v>
      </c>
    </row>
    <row r="55" spans="1:12" x14ac:dyDescent="0.2">
      <c r="A55">
        <v>60</v>
      </c>
      <c r="B55">
        <f t="shared" si="8"/>
        <v>376991118.43077517</v>
      </c>
      <c r="C55">
        <v>74.554000000000002</v>
      </c>
      <c r="D55">
        <v>200</v>
      </c>
      <c r="E55">
        <v>9.5250000000000004</v>
      </c>
      <c r="F55">
        <f t="shared" si="9"/>
        <v>8.4216879869558483E-6</v>
      </c>
      <c r="G55">
        <f t="shared" si="10"/>
        <v>565.50420858342443</v>
      </c>
      <c r="H55">
        <f t="shared" si="11"/>
        <v>34.029089626866799</v>
      </c>
      <c r="I55" s="6">
        <f t="shared" si="12"/>
        <v>1.430976197836491</v>
      </c>
      <c r="J55" s="6"/>
      <c r="K55" s="6">
        <v>0.84499999999999997</v>
      </c>
      <c r="L55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582F-2C67-0F4E-BC46-B1B92669E402}">
  <dimension ref="A1:R55"/>
  <sheetViews>
    <sheetView workbookViewId="0">
      <selection activeCell="B7" sqref="B7"/>
    </sheetView>
  </sheetViews>
  <sheetFormatPr baseColWidth="10" defaultColWidth="11" defaultRowHeight="16" x14ac:dyDescent="0.2"/>
  <sheetData>
    <row r="1" spans="1:12" x14ac:dyDescent="0.2">
      <c r="A1" t="s">
        <v>0</v>
      </c>
      <c r="B1">
        <v>10</v>
      </c>
      <c r="C1" t="s">
        <v>1</v>
      </c>
    </row>
    <row r="2" spans="1:12" x14ac:dyDescent="0.2">
      <c r="A2" t="s">
        <v>2</v>
      </c>
      <c r="B2" t="s">
        <v>62</v>
      </c>
    </row>
    <row r="3" spans="1:12" x14ac:dyDescent="0.2">
      <c r="A3" t="s">
        <v>4</v>
      </c>
      <c r="B3">
        <v>1101</v>
      </c>
    </row>
    <row r="4" spans="1:12" x14ac:dyDescent="0.2">
      <c r="A4" t="s">
        <v>5</v>
      </c>
      <c r="B4">
        <v>11</v>
      </c>
    </row>
    <row r="5" spans="1:12" x14ac:dyDescent="0.2">
      <c r="A5" t="s">
        <v>51</v>
      </c>
      <c r="B5" s="3">
        <v>24</v>
      </c>
      <c r="C5" s="3" t="s">
        <v>66</v>
      </c>
    </row>
    <row r="6" spans="1:12" x14ac:dyDescent="0.2">
      <c r="A6" t="s">
        <v>6</v>
      </c>
      <c r="B6">
        <v>1493</v>
      </c>
      <c r="C6" t="s">
        <v>7</v>
      </c>
    </row>
    <row r="7" spans="1:12" x14ac:dyDescent="0.2">
      <c r="A7" t="s">
        <v>8</v>
      </c>
      <c r="B7" s="1">
        <v>93.81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</row>
    <row r="9" spans="1:12" x14ac:dyDescent="0.2">
      <c r="A9" t="s">
        <v>13</v>
      </c>
      <c r="B9">
        <f>B10*B12/(B10+B12)</f>
        <v>169.89691270699842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>
        <v>204.8</v>
      </c>
      <c r="C10" t="s">
        <v>14</v>
      </c>
      <c r="F10" s="2">
        <f>1/(F9*B10*10^-12)</f>
        <v>25.904124852196507</v>
      </c>
      <c r="G10" s="2"/>
      <c r="H10" s="2"/>
    </row>
    <row r="11" spans="1:12" x14ac:dyDescent="0.2">
      <c r="A11" t="s">
        <v>16</v>
      </c>
      <c r="B11">
        <v>7.1703285533472466E-3</v>
      </c>
      <c r="F11" s="2"/>
      <c r="G11" s="2"/>
      <c r="H11" s="2"/>
    </row>
    <row r="12" spans="1:12" x14ac:dyDescent="0.2">
      <c r="A12" t="s">
        <v>17</v>
      </c>
      <c r="B12" s="3">
        <v>996.9</v>
      </c>
      <c r="C12" t="s">
        <v>14</v>
      </c>
      <c r="F12" s="2">
        <f>1/(F9*B12*10^-12)</f>
        <v>5.3216619216870749</v>
      </c>
      <c r="G12" s="2"/>
      <c r="H12" s="2">
        <f>F12/(F12+F10)</f>
        <v>0.1704252309228593</v>
      </c>
      <c r="L12">
        <f>1/(30*10^6*2*PI()*B10*10^-12)</f>
        <v>25.904124852196507</v>
      </c>
    </row>
    <row r="13" spans="1:12" x14ac:dyDescent="0.2">
      <c r="A13" t="s">
        <v>18</v>
      </c>
      <c r="B13">
        <v>4.0149860710109774E-3</v>
      </c>
      <c r="L13">
        <f>55.8-L12</f>
        <v>29.895875147803491</v>
      </c>
    </row>
    <row r="14" spans="1:12" x14ac:dyDescent="0.2">
      <c r="A14" t="s">
        <v>19</v>
      </c>
      <c r="B14" s="4">
        <f>(1/(2*PI()*SQRT(B9*10^-12*B6*10^-9)))/10^6</f>
        <v>9.9930367420924551</v>
      </c>
      <c r="C14" t="s">
        <v>1</v>
      </c>
    </row>
    <row r="15" spans="1:12" x14ac:dyDescent="0.2">
      <c r="A15" t="s">
        <v>20</v>
      </c>
      <c r="B15" s="5">
        <f>0.635*PI()*((1.27/2)^2-(0.79/2)^2)</f>
        <v>0.49314208201929699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B$12*10^-12*D18*2*B18*10^6*1000*PI()*0.5</f>
        <v>280.3150009562716</v>
      </c>
      <c r="B18">
        <v>9.89</v>
      </c>
      <c r="C18">
        <v>224</v>
      </c>
      <c r="D18">
        <v>9.0500000000000007</v>
      </c>
      <c r="E18" s="1">
        <f>D18*1000/(C18*H$12)</f>
        <v>237.06457955496649</v>
      </c>
      <c r="F18" s="1"/>
      <c r="G18" s="9">
        <f>1/($B$9*10^-12*(2*PI()*B18*10^6)^2)</f>
        <v>1.5242710207623901E-6</v>
      </c>
      <c r="H18" s="1">
        <f>(2*PI()*B18*10^6*G18)/((C18/(D18*1000))*SQRT($B$13^2 + (1/(2*PI()*B18*10^6*$B$12*10^-12))^2) - $B$11 - $B$13)</f>
        <v>243.89227411885207</v>
      </c>
      <c r="I18" s="8">
        <f>(2*PI()*B18*10^6*G18)/H18</f>
        <v>0.38836520205220304</v>
      </c>
      <c r="J18" s="8">
        <f>I18*(A18/1000)^2</f>
        <v>3.0516378206280132E-2</v>
      </c>
      <c r="K18" s="8">
        <f>J18/B$15*1000</f>
        <v>61.881513095217876</v>
      </c>
      <c r="L18" s="2">
        <f xml:space="preserve"> (4*8.85*10^-12*0.01*0.01)/0.0015</f>
        <v>2.3599999999999996E-12</v>
      </c>
      <c r="M18" s="2">
        <f>0.5*D18*D18*2*PI()*B18*10^6*L18*0.02</f>
        <v>1.2011170208494432E-4</v>
      </c>
      <c r="N18" s="10">
        <f>M18/J18</f>
        <v>3.9359750122714716E-3</v>
      </c>
      <c r="O18">
        <f>M18/((A18/1000)^2)</f>
        <v>1.5285957309132325E-3</v>
      </c>
      <c r="P18" s="11">
        <f>2*PI()*B18*10^6*G18/(I18-O18)</f>
        <v>244.85602130029423</v>
      </c>
      <c r="R18" t="str">
        <f>_xlfn.CONCAT("(",A18/1000,",",P18,")")</f>
        <v>(0.280315000956272,244.856021300294)</v>
      </c>
    </row>
    <row r="19" spans="1:18" x14ac:dyDescent="0.2">
      <c r="A19" s="8">
        <f t="shared" ref="A19:A24" si="0">B$12*10^-12*D19*2*B19*10^6*1000*PI()*0.5</f>
        <v>355.89164209807308</v>
      </c>
      <c r="B19">
        <v>9.89</v>
      </c>
      <c r="C19">
        <v>288</v>
      </c>
      <c r="D19">
        <v>11.49</v>
      </c>
      <c r="E19" s="1">
        <f>D19*1000/(C19*H$12)</f>
        <v>234.09581502278644</v>
      </c>
      <c r="F19" s="1"/>
      <c r="G19" s="9">
        <f t="shared" ref="G19:G24" si="1">1/($B$9*10^-12*(2*PI()*B19*10^6)^2)</f>
        <v>1.5242710207623901E-6</v>
      </c>
      <c r="H19" s="1">
        <f>(2*PI()*B19*10^6*G19)/((C19/(D19*1000))*SQRT($B$13^2 + (1/(2*PI()*B19*10^6*$B$12*10^-12))^2) - $B$11 - $B$13)</f>
        <v>240.75117311252316</v>
      </c>
      <c r="I19" s="8">
        <f t="shared" ref="I19:I24" si="2">(2*PI()*B19*10^6*G19)/H19</f>
        <v>0.39343223583325609</v>
      </c>
      <c r="J19" s="8">
        <f t="shared" ref="J19:J24" si="3">I19*(A19/1000)^2</f>
        <v>4.983167883798531E-2</v>
      </c>
      <c r="K19" s="8">
        <f t="shared" ref="K19:K24" si="4">J19/B$15*1000</f>
        <v>101.04933376185762</v>
      </c>
      <c r="L19" s="2">
        <f t="shared" ref="L19:L24" si="5" xml:space="preserve"> (4*8.85*10^-12*0.01*0.01)/0.0015</f>
        <v>2.3599999999999996E-12</v>
      </c>
      <c r="M19" s="2">
        <f t="shared" ref="M19:M24" si="6">0.5*D19*D19*2*PI()*B19*10^6*L19*0.02</f>
        <v>1.9361019407740374E-4</v>
      </c>
      <c r="N19" s="10">
        <f t="shared" ref="N19:N24" si="7">M19/J19</f>
        <v>3.8852833898467823E-3</v>
      </c>
      <c r="O19">
        <f t="shared" ref="O19:O24" si="8">M19/((A19/1000)^2)</f>
        <v>1.5285957309132321E-3</v>
      </c>
      <c r="P19" s="11">
        <f t="shared" ref="P19:P24" si="9">2*PI()*B19*10^6*G19/(I19-O19)</f>
        <v>241.69020806340049</v>
      </c>
      <c r="R19" t="str">
        <f t="shared" ref="R19:R24" si="10">_xlfn.CONCAT("(",A19/1000,",",P19,")")</f>
        <v>(0.355891642098073,241.6902080634)</v>
      </c>
    </row>
    <row r="20" spans="1:18" x14ac:dyDescent="0.2">
      <c r="A20" s="8">
        <f t="shared" si="0"/>
        <v>469.87608447587201</v>
      </c>
      <c r="B20">
        <v>9.89</v>
      </c>
      <c r="C20">
        <v>396</v>
      </c>
      <c r="D20">
        <v>15.17</v>
      </c>
      <c r="E20" s="1">
        <f t="shared" ref="E20:E24" si="11">D20*1000/(C20*H$12)</f>
        <v>224.77939798374368</v>
      </c>
      <c r="F20" s="1"/>
      <c r="G20" s="9">
        <f t="shared" si="1"/>
        <v>1.5242710207623901E-6</v>
      </c>
      <c r="H20" s="1">
        <f t="shared" ref="H20:H24" si="12">(2*PI()*B20*10^6*G20)/((C20/(D20*1000))*SQRT($B$13^2 + (1/(2*PI()*B20*10^6*$B$12*10^-12))^2) - $B$11 - $B$13)</f>
        <v>230.90862931055312</v>
      </c>
      <c r="I20" s="8">
        <f t="shared" si="2"/>
        <v>0.4102023930415768</v>
      </c>
      <c r="J20" s="8">
        <f t="shared" si="3"/>
        <v>9.0565934303705117E-2</v>
      </c>
      <c r="K20" s="8">
        <f t="shared" si="4"/>
        <v>183.65079275502026</v>
      </c>
      <c r="L20" s="2">
        <f t="shared" si="5"/>
        <v>2.3599999999999996E-12</v>
      </c>
      <c r="M20" s="2">
        <f t="shared" si="6"/>
        <v>3.3748876869370211E-4</v>
      </c>
      <c r="N20" s="10">
        <f t="shared" si="7"/>
        <v>3.7264427434929603E-3</v>
      </c>
      <c r="O20">
        <f t="shared" si="8"/>
        <v>1.5285957309132312E-3</v>
      </c>
      <c r="P20" s="11">
        <f t="shared" si="9"/>
        <v>231.77231557406668</v>
      </c>
      <c r="R20" t="str">
        <f t="shared" si="10"/>
        <v>(0.469876084475872,231.772315574067)</v>
      </c>
    </row>
    <row r="21" spans="1:18" x14ac:dyDescent="0.2">
      <c r="A21" s="8">
        <f t="shared" si="0"/>
        <v>661.29560999076239</v>
      </c>
      <c r="B21">
        <v>9.89</v>
      </c>
      <c r="C21">
        <v>592</v>
      </c>
      <c r="D21">
        <v>21.35</v>
      </c>
      <c r="E21" s="1">
        <f t="shared" si="11"/>
        <v>211.61296947582346</v>
      </c>
      <c r="F21" s="1"/>
      <c r="G21" s="9">
        <f t="shared" si="1"/>
        <v>1.5242710207623901E-6</v>
      </c>
      <c r="H21" s="1">
        <f t="shared" si="12"/>
        <v>217.03652925538793</v>
      </c>
      <c r="I21" s="8">
        <f t="shared" si="2"/>
        <v>0.43642087644003302</v>
      </c>
      <c r="J21" s="8">
        <f t="shared" si="3"/>
        <v>0.19085203560260675</v>
      </c>
      <c r="K21" s="8">
        <f t="shared" si="4"/>
        <v>387.01226798798842</v>
      </c>
      <c r="L21" s="2">
        <f t="shared" si="5"/>
        <v>2.3599999999999996E-12</v>
      </c>
      <c r="M21" s="2">
        <f t="shared" si="6"/>
        <v>6.6847307864368656E-4</v>
      </c>
      <c r="N21" s="10">
        <f t="shared" si="7"/>
        <v>3.5025724327907366E-3</v>
      </c>
      <c r="O21">
        <f t="shared" si="8"/>
        <v>1.5285957309132318E-3</v>
      </c>
      <c r="P21" s="11">
        <f t="shared" si="9"/>
        <v>217.79938738552318</v>
      </c>
      <c r="R21" t="str">
        <f t="shared" si="10"/>
        <v>(0.661295609990762,217.799387385523)</v>
      </c>
    </row>
    <row r="22" spans="1:18" x14ac:dyDescent="0.2">
      <c r="A22" s="8">
        <f t="shared" si="0"/>
        <v>984.97425750380546</v>
      </c>
      <c r="B22">
        <v>9.89</v>
      </c>
      <c r="C22">
        <v>1010</v>
      </c>
      <c r="D22">
        <v>31.8</v>
      </c>
      <c r="E22" s="1">
        <f t="shared" si="11"/>
        <v>184.74464340965343</v>
      </c>
      <c r="F22" s="1"/>
      <c r="G22" s="9">
        <f t="shared" si="1"/>
        <v>1.5242710207623901E-6</v>
      </c>
      <c r="H22" s="1">
        <f t="shared" si="12"/>
        <v>188.86497838024437</v>
      </c>
      <c r="I22" s="8">
        <f t="shared" si="2"/>
        <v>0.50151845582742027</v>
      </c>
      <c r="J22" s="8">
        <f t="shared" si="3"/>
        <v>0.48656031077373008</v>
      </c>
      <c r="K22" s="8">
        <f t="shared" si="4"/>
        <v>986.65339770109233</v>
      </c>
      <c r="L22" s="2">
        <f t="shared" si="5"/>
        <v>2.3599999999999996E-12</v>
      </c>
      <c r="M22" s="2">
        <f t="shared" si="6"/>
        <v>1.4830042747947753E-3</v>
      </c>
      <c r="N22" s="10">
        <f t="shared" si="7"/>
        <v>3.0479351520400341E-3</v>
      </c>
      <c r="O22">
        <f t="shared" si="8"/>
        <v>1.5285957309132314E-3</v>
      </c>
      <c r="P22" s="11">
        <f t="shared" si="9"/>
        <v>189.4423864893115</v>
      </c>
      <c r="R22" t="str">
        <f t="shared" si="10"/>
        <v>(0.984974257503805,189.442386489312)</v>
      </c>
    </row>
    <row r="23" spans="1:18" x14ac:dyDescent="0.2">
      <c r="A23" s="8">
        <f t="shared" si="0"/>
        <v>1759.3250888747214</v>
      </c>
      <c r="B23">
        <v>9.89</v>
      </c>
      <c r="C23">
        <v>3000</v>
      </c>
      <c r="D23">
        <v>56.8</v>
      </c>
      <c r="E23" s="1">
        <f t="shared" si="11"/>
        <v>111.09466145833332</v>
      </c>
      <c r="F23" s="1"/>
      <c r="G23" s="9">
        <f t="shared" si="1"/>
        <v>1.5242710207623901E-6</v>
      </c>
      <c r="H23" s="1">
        <f t="shared" si="12"/>
        <v>112.57149122315076</v>
      </c>
      <c r="I23" s="8">
        <f t="shared" si="2"/>
        <v>0.84141438731922824</v>
      </c>
      <c r="J23" s="8">
        <f t="shared" si="3"/>
        <v>2.6043666520715059</v>
      </c>
      <c r="K23" s="8">
        <f t="shared" si="4"/>
        <v>5281.168951161615</v>
      </c>
      <c r="L23" s="2">
        <f t="shared" si="5"/>
        <v>2.3599999999999996E-12</v>
      </c>
      <c r="M23" s="2">
        <f t="shared" si="6"/>
        <v>4.7313473671076059E-3</v>
      </c>
      <c r="N23" s="10">
        <f t="shared" si="7"/>
        <v>1.8166978767541451E-3</v>
      </c>
      <c r="O23">
        <f t="shared" si="8"/>
        <v>1.5285957309132318E-3</v>
      </c>
      <c r="P23" s="11">
        <f t="shared" si="9"/>
        <v>112.77637181838125</v>
      </c>
      <c r="R23" t="str">
        <f t="shared" si="10"/>
        <v>(1.75932508887472,112.776371818381)</v>
      </c>
    </row>
    <row r="24" spans="1:18" x14ac:dyDescent="0.2">
      <c r="A24" s="8">
        <f t="shared" si="0"/>
        <v>2502.7018869908011</v>
      </c>
      <c r="B24">
        <v>9.89</v>
      </c>
      <c r="C24">
        <v>22600</v>
      </c>
      <c r="D24">
        <v>80.8</v>
      </c>
      <c r="E24" s="1">
        <f t="shared" si="11"/>
        <v>20.978239076327434</v>
      </c>
      <c r="F24" s="1"/>
      <c r="G24" s="9">
        <f t="shared" si="1"/>
        <v>1.5242710207623901E-6</v>
      </c>
      <c r="H24" s="1">
        <f t="shared" si="12"/>
        <v>21.03033691300444</v>
      </c>
      <c r="I24" s="8">
        <f t="shared" si="2"/>
        <v>4.5039350871534598</v>
      </c>
      <c r="J24" s="8">
        <f t="shared" si="3"/>
        <v>28.210472792402879</v>
      </c>
      <c r="K24" s="8">
        <f t="shared" si="4"/>
        <v>57205.567768396169</v>
      </c>
      <c r="L24" s="2">
        <f t="shared" si="5"/>
        <v>2.3599999999999996E-12</v>
      </c>
      <c r="M24" s="2">
        <f t="shared" si="6"/>
        <v>9.5743849418497701E-3</v>
      </c>
      <c r="N24" s="10">
        <f t="shared" si="7"/>
        <v>3.393911549198908E-4</v>
      </c>
      <c r="O24">
        <f t="shared" si="8"/>
        <v>1.5285957309132318E-3</v>
      </c>
      <c r="P24" s="11">
        <f t="shared" si="9"/>
        <v>21.037476846567994</v>
      </c>
      <c r="R24" t="str">
        <f t="shared" si="10"/>
        <v>(2.5027018869908,21.037476846568)</v>
      </c>
    </row>
    <row r="25" spans="1:18" x14ac:dyDescent="0.2">
      <c r="A25" s="8"/>
      <c r="E25" s="1"/>
      <c r="F25" s="1"/>
      <c r="G25" s="9"/>
      <c r="H25" s="1"/>
      <c r="I25" s="8"/>
      <c r="J25" s="8"/>
      <c r="K25" s="8"/>
      <c r="L25" s="2"/>
      <c r="M25" s="2"/>
      <c r="N25" s="10"/>
      <c r="P25" s="11"/>
    </row>
    <row r="26" spans="1:18" x14ac:dyDescent="0.2">
      <c r="A26" s="8"/>
      <c r="E26" s="1"/>
      <c r="F26" s="1"/>
      <c r="G26" s="9"/>
      <c r="H26" s="1"/>
      <c r="I26" s="8"/>
      <c r="J26" s="8"/>
      <c r="K26" s="8"/>
      <c r="L26" s="2"/>
      <c r="M26" s="2"/>
      <c r="N26" s="10"/>
      <c r="P26" s="11"/>
    </row>
    <row r="30" spans="1:18" x14ac:dyDescent="0.2">
      <c r="A30" t="s">
        <v>0</v>
      </c>
      <c r="B30">
        <v>10</v>
      </c>
      <c r="C30" t="s">
        <v>1</v>
      </c>
    </row>
    <row r="31" spans="1:18" x14ac:dyDescent="0.2">
      <c r="A31" t="s">
        <v>2</v>
      </c>
      <c r="B31" t="s">
        <v>35</v>
      </c>
    </row>
    <row r="32" spans="1:18" x14ac:dyDescent="0.2">
      <c r="A32" t="s">
        <v>4</v>
      </c>
    </row>
    <row r="33" spans="1:18" x14ac:dyDescent="0.2">
      <c r="A33" t="s">
        <v>5</v>
      </c>
      <c r="B33" t="s">
        <v>65</v>
      </c>
    </row>
    <row r="34" spans="1:18" x14ac:dyDescent="0.2">
      <c r="A34" t="s">
        <v>51</v>
      </c>
      <c r="B34">
        <v>28</v>
      </c>
      <c r="G34" t="s">
        <v>64</v>
      </c>
    </row>
    <row r="35" spans="1:18" x14ac:dyDescent="0.2">
      <c r="A35" t="s">
        <v>6</v>
      </c>
      <c r="B35">
        <v>1443</v>
      </c>
      <c r="C35" t="s">
        <v>7</v>
      </c>
    </row>
    <row r="36" spans="1:18" x14ac:dyDescent="0.2">
      <c r="A36" t="s">
        <v>8</v>
      </c>
      <c r="B36" s="1">
        <f>B35*10^-9*2*PI()*10*10^6</f>
        <v>90.666363982601425</v>
      </c>
      <c r="D36" t="s">
        <v>9</v>
      </c>
      <c r="E36" t="s">
        <v>10</v>
      </c>
    </row>
    <row r="37" spans="1:18" x14ac:dyDescent="0.2">
      <c r="A37" t="s">
        <v>11</v>
      </c>
      <c r="B37" t="s">
        <v>12</v>
      </c>
    </row>
    <row r="38" spans="1:18" x14ac:dyDescent="0.2">
      <c r="A38" t="s">
        <v>13</v>
      </c>
      <c r="B38" t="s">
        <v>12</v>
      </c>
      <c r="C38" t="s">
        <v>14</v>
      </c>
      <c r="F38" s="2">
        <f>30*10^6*2*PI()</f>
        <v>188495559.21538758</v>
      </c>
      <c r="G38" s="2"/>
      <c r="H38" s="2"/>
    </row>
    <row r="39" spans="1:18" x14ac:dyDescent="0.2">
      <c r="A39" t="s">
        <v>15</v>
      </c>
      <c r="B39">
        <f>B40*B42/(B40+B42)</f>
        <v>169.89691270699842</v>
      </c>
      <c r="C39" t="s">
        <v>14</v>
      </c>
      <c r="F39" s="2">
        <f>1/(F38*B39*10^-12)</f>
        <v>31.225786773883581</v>
      </c>
      <c r="G39" s="2"/>
      <c r="H39" s="2"/>
    </row>
    <row r="40" spans="1:18" x14ac:dyDescent="0.2">
      <c r="A40" t="s">
        <v>16</v>
      </c>
      <c r="B40" s="3">
        <v>204.8</v>
      </c>
      <c r="F40" s="2"/>
      <c r="G40" s="2"/>
      <c r="H40" s="2"/>
    </row>
    <row r="41" spans="1:18" x14ac:dyDescent="0.2">
      <c r="A41" t="s">
        <v>17</v>
      </c>
      <c r="B41">
        <v>7.1703285533472466E-3</v>
      </c>
      <c r="C41" t="s">
        <v>14</v>
      </c>
      <c r="F41" s="2">
        <f>1/(F38*B41*10^-12)</f>
        <v>739877.50076714309</v>
      </c>
      <c r="G41" s="2"/>
      <c r="H41" s="2">
        <f>F41/(F41+F39)</f>
        <v>0.99995779778551974</v>
      </c>
      <c r="L41">
        <f>1/(30*10^6*2*PI()*B39*10^-12)</f>
        <v>31.225786773883581</v>
      </c>
    </row>
    <row r="42" spans="1:18" x14ac:dyDescent="0.2">
      <c r="A42" t="s">
        <v>18</v>
      </c>
      <c r="B42" s="3">
        <v>996.9</v>
      </c>
      <c r="L42">
        <f>55.8-L41</f>
        <v>24.574213226116417</v>
      </c>
    </row>
    <row r="43" spans="1:18" x14ac:dyDescent="0.2">
      <c r="A43" t="s">
        <v>19</v>
      </c>
      <c r="B43">
        <v>4.0149860710109774E-3</v>
      </c>
      <c r="C43" t="s">
        <v>1</v>
      </c>
    </row>
    <row r="44" spans="1:18" x14ac:dyDescent="0.2">
      <c r="A44" t="s">
        <v>20</v>
      </c>
      <c r="B44" s="5">
        <f>0.635*PI()*((1.27/2)^2-(0.79/2)^2)</f>
        <v>0.49314208201929699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B$12*10^-12*D47*2*B47*10^6*1000*PI()*0.5</f>
        <v>102.80309823963727</v>
      </c>
      <c r="B47">
        <v>10.1</v>
      </c>
      <c r="C47">
        <v>263.60000000000002</v>
      </c>
      <c r="D47">
        <v>3.25</v>
      </c>
      <c r="E47" s="1">
        <f>D47*1000/(C47*H$12)</f>
        <v>72.344257545760598</v>
      </c>
      <c r="F47" s="1"/>
      <c r="G47" s="9">
        <f>1/($B$9*10^-12*(2*PI()*B47*10^6)^2)</f>
        <v>1.4615444516215372E-6</v>
      </c>
      <c r="H47" s="1">
        <f>(2*PI()*B47*10^6*G47)/((C47/(D47*1000))*SQRT($B$13^2 + (1/(2*PI()*B47*10^6*$B$12*10^-12))^2) - $B$11 - $B$13)</f>
        <v>72.980975440449342</v>
      </c>
      <c r="I47" s="8">
        <f>(2*PI()*B47*10^6*G47)/H47</f>
        <v>1.2708772545837825</v>
      </c>
      <c r="J47" s="8">
        <f>I47*(A47/1000)^2</f>
        <v>1.3431237044637584E-2</v>
      </c>
      <c r="K47" s="8">
        <f>J47/B$15*1000</f>
        <v>27.23603913427938</v>
      </c>
      <c r="L47" s="2">
        <f xml:space="preserve"> (4*8.85*10^-12*0.01*0.01)/0.0015</f>
        <v>2.3599999999999996E-12</v>
      </c>
      <c r="M47" s="2">
        <f>0.5*D47*D47*2*PI()*B47*10^6*L47*0.02</f>
        <v>1.5819034276216629E-5</v>
      </c>
      <c r="N47" s="10">
        <f>M47/J47</f>
        <v>1.1777793976566271E-3</v>
      </c>
      <c r="O47">
        <f>M47/((A47/1000)^2)</f>
        <v>1.4968130473991951E-3</v>
      </c>
      <c r="P47" s="11">
        <f>2*PI()*B47*10^6*G47/(I47-O47)</f>
        <v>73.067032285723371</v>
      </c>
      <c r="R47" t="str">
        <f>_xlfn.CONCAT("(",A47/1000,",",P47,")")</f>
        <v>(0.102803098239637,73.0670322857234)</v>
      </c>
    </row>
    <row r="48" spans="1:18" x14ac:dyDescent="0.2">
      <c r="A48" s="8">
        <f t="shared" ref="A48:A55" si="13">B$12*10^-12*D48*2*B48*10^6*1000*PI()*0.5</f>
        <v>129.69006239461933</v>
      </c>
      <c r="B48">
        <v>10.1</v>
      </c>
      <c r="C48">
        <v>332</v>
      </c>
      <c r="D48">
        <v>4.0999999999999996</v>
      </c>
      <c r="E48" s="1">
        <f t="shared" ref="E48:E55" si="14">D48*1000/(C48*H$12)</f>
        <v>72.462261153990951</v>
      </c>
      <c r="F48" s="1"/>
      <c r="G48" s="9">
        <f t="shared" ref="G48:G55" si="15">1/($B$9*10^-12*(2*PI()*B48*10^6)^2)</f>
        <v>1.4615444516215372E-6</v>
      </c>
      <c r="H48" s="1">
        <f t="shared" ref="H48:H55" si="16">(2*PI()*B48*10^6*G48)/((C48/(D48*1000))*SQRT($B$13^2 + (1/(2*PI()*B48*10^6*$B$12*10^-12))^2) - $B$11 - $B$13)</f>
        <v>73.101067069319313</v>
      </c>
      <c r="I48" s="8">
        <f t="shared" ref="I48:I55" si="17">(2*PI()*B48*10^6*G48)/H48</f>
        <v>1.2687894366391821</v>
      </c>
      <c r="J48" s="8">
        <f t="shared" ref="J48:J55" si="18">I48*(A48/1000)^2</f>
        <v>2.1340419515260986E-2</v>
      </c>
      <c r="K48" s="8">
        <f t="shared" ref="K48:K55" si="19">J48/B$15*1000</f>
        <v>43.274383374213677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2.5175665437462869E-5</v>
      </c>
      <c r="N48" s="10">
        <f t="shared" ref="N48:N55" si="22">M48/J48</f>
        <v>1.1797174567941E-3</v>
      </c>
      <c r="O48">
        <f t="shared" ref="O48:O55" si="23">M48/((A48/1000)^2)</f>
        <v>1.4968130473991946E-3</v>
      </c>
      <c r="P48" s="11">
        <f t="shared" ref="P48:P55" si="24">2*PI()*B48*10^6*G48/(I48-O48)</f>
        <v>73.187407531601835</v>
      </c>
      <c r="R48" t="str">
        <f t="shared" ref="R48:R55" si="25">_xlfn.CONCAT("(",A48/1000,",",P48,")")</f>
        <v>(0.129690062394619,73.1874075316018)</v>
      </c>
    </row>
    <row r="49" spans="1:18" x14ac:dyDescent="0.2">
      <c r="A49" s="8">
        <f t="shared" si="13"/>
        <v>171.12761891582699</v>
      </c>
      <c r="B49">
        <v>10.1</v>
      </c>
      <c r="C49">
        <v>439.2</v>
      </c>
      <c r="D49">
        <v>5.41</v>
      </c>
      <c r="E49" s="1">
        <f t="shared" si="14"/>
        <v>72.277153862847214</v>
      </c>
      <c r="F49" s="1"/>
      <c r="G49" s="9">
        <f t="shared" si="15"/>
        <v>1.4615444516215372E-6</v>
      </c>
      <c r="H49" s="1">
        <f t="shared" si="16"/>
        <v>72.912685926010553</v>
      </c>
      <c r="I49" s="8">
        <f t="shared" si="17"/>
        <v>1.2720675493798745</v>
      </c>
      <c r="J49" s="8">
        <f t="shared" si="18"/>
        <v>3.7252068168533194E-2</v>
      </c>
      <c r="K49" s="8">
        <f t="shared" si="19"/>
        <v>75.540233792247108</v>
      </c>
      <c r="L49" s="2">
        <f t="shared" si="20"/>
        <v>2.3599999999999996E-12</v>
      </c>
      <c r="M49" s="2">
        <f t="shared" si="21"/>
        <v>4.3833664104117007E-5</v>
      </c>
      <c r="N49" s="10">
        <f t="shared" si="22"/>
        <v>1.1766773298547565E-3</v>
      </c>
      <c r="O49">
        <f t="shared" si="23"/>
        <v>1.4968130473991944E-3</v>
      </c>
      <c r="P49" s="11">
        <f t="shared" si="24"/>
        <v>72.998581702211084</v>
      </c>
      <c r="R49" t="str">
        <f t="shared" si="25"/>
        <v>(0.171127618915827,72.9985817022111)</v>
      </c>
    </row>
    <row r="50" spans="1:18" x14ac:dyDescent="0.2">
      <c r="A50" s="8">
        <f t="shared" si="13"/>
        <v>235.97265011313664</v>
      </c>
      <c r="B50">
        <v>10.1</v>
      </c>
      <c r="C50">
        <v>608.79999999999995</v>
      </c>
      <c r="D50">
        <v>7.46</v>
      </c>
      <c r="E50" s="1">
        <f t="shared" si="14"/>
        <v>71.900232142123855</v>
      </c>
      <c r="F50" s="1"/>
      <c r="G50" s="9">
        <f t="shared" si="15"/>
        <v>1.4615444516215372E-6</v>
      </c>
      <c r="H50" s="1">
        <f t="shared" si="16"/>
        <v>72.529124103422873</v>
      </c>
      <c r="I50" s="8">
        <f t="shared" si="17"/>
        <v>1.2787947304085472</v>
      </c>
      <c r="J50" s="8">
        <f t="shared" si="18"/>
        <v>7.1207244112748244E-2</v>
      </c>
      <c r="K50" s="8">
        <f t="shared" si="19"/>
        <v>144.3949861694461</v>
      </c>
      <c r="L50" s="2">
        <f t="shared" si="20"/>
        <v>2.3599999999999996E-12</v>
      </c>
      <c r="M50" s="2">
        <f t="shared" si="21"/>
        <v>8.334717802852519E-5</v>
      </c>
      <c r="N50" s="10">
        <f t="shared" si="22"/>
        <v>1.1704873439078024E-3</v>
      </c>
      <c r="O50">
        <f t="shared" si="23"/>
        <v>1.4968130473991946E-3</v>
      </c>
      <c r="P50" s="11">
        <f t="shared" si="24"/>
        <v>72.614118009542068</v>
      </c>
      <c r="R50" t="str">
        <f t="shared" si="25"/>
        <v>(0.235972650113137,72.6141180095421)</v>
      </c>
    </row>
    <row r="51" spans="1:18" x14ac:dyDescent="0.2">
      <c r="A51" s="8">
        <f t="shared" si="13"/>
        <v>335.92889332459936</v>
      </c>
      <c r="B51">
        <v>10.1</v>
      </c>
      <c r="C51">
        <v>868</v>
      </c>
      <c r="D51">
        <v>10.62</v>
      </c>
      <c r="E51" s="1">
        <f t="shared" si="14"/>
        <v>71.791148383496534</v>
      </c>
      <c r="F51" s="1"/>
      <c r="G51" s="9">
        <f t="shared" si="15"/>
        <v>1.4615444516215372E-6</v>
      </c>
      <c r="H51" s="1">
        <f t="shared" si="16"/>
        <v>72.418125216204842</v>
      </c>
      <c r="I51" s="8">
        <f t="shared" si="17"/>
        <v>1.2807548031338747</v>
      </c>
      <c r="J51" s="8">
        <f t="shared" si="18"/>
        <v>0.14453090154511375</v>
      </c>
      <c r="K51" s="8">
        <f t="shared" si="19"/>
        <v>293.08166310466714</v>
      </c>
      <c r="L51" s="2">
        <f t="shared" si="20"/>
        <v>2.3599999999999996E-12</v>
      </c>
      <c r="M51" s="2">
        <f t="shared" si="21"/>
        <v>1.6891269012284275E-4</v>
      </c>
      <c r="N51" s="10">
        <f t="shared" si="22"/>
        <v>1.1686960249820244E-3</v>
      </c>
      <c r="O51">
        <f t="shared" si="23"/>
        <v>1.4968130473991946E-3</v>
      </c>
      <c r="P51" s="11">
        <f t="shared" si="24"/>
        <v>72.502859019340562</v>
      </c>
      <c r="R51" t="str">
        <f t="shared" si="25"/>
        <v>(0.335928893324599,72.5028590193406)</v>
      </c>
    </row>
    <row r="52" spans="1:18" x14ac:dyDescent="0.2">
      <c r="A52" s="8">
        <f t="shared" si="13"/>
        <v>487.12852704320443</v>
      </c>
      <c r="B52">
        <v>10.1</v>
      </c>
      <c r="C52">
        <v>1258</v>
      </c>
      <c r="D52">
        <v>15.4</v>
      </c>
      <c r="E52" s="1">
        <f t="shared" si="14"/>
        <v>71.830053283982508</v>
      </c>
      <c r="F52" s="1"/>
      <c r="G52" s="9">
        <f t="shared" si="15"/>
        <v>1.4615444516215372E-6</v>
      </c>
      <c r="H52" s="1">
        <f t="shared" si="16"/>
        <v>72.457712812453863</v>
      </c>
      <c r="I52" s="8">
        <f t="shared" si="17"/>
        <v>1.2800550570050988</v>
      </c>
      <c r="J52" s="8">
        <f t="shared" si="18"/>
        <v>0.30374964308796254</v>
      </c>
      <c r="K52" s="8">
        <f t="shared" si="19"/>
        <v>615.94752133945167</v>
      </c>
      <c r="L52" s="2">
        <f t="shared" si="20"/>
        <v>2.3599999999999996E-12</v>
      </c>
      <c r="M52" s="2">
        <f t="shared" si="21"/>
        <v>3.551850574151514E-4</v>
      </c>
      <c r="N52" s="10">
        <f t="shared" si="22"/>
        <v>1.169334896345191E-3</v>
      </c>
      <c r="O52">
        <f t="shared" si="23"/>
        <v>1.4968130473991944E-3</v>
      </c>
      <c r="P52" s="11">
        <f t="shared" si="24"/>
        <v>72.542539335167973</v>
      </c>
      <c r="R52" t="str">
        <f t="shared" si="25"/>
        <v>(0.487128527043204,72.542539335168)</v>
      </c>
    </row>
    <row r="53" spans="1:18" x14ac:dyDescent="0.2">
      <c r="A53" s="8">
        <f t="shared" si="13"/>
        <v>687.989965142188</v>
      </c>
      <c r="B53">
        <v>10.1</v>
      </c>
      <c r="C53">
        <v>1762</v>
      </c>
      <c r="D53">
        <v>21.75</v>
      </c>
      <c r="E53" s="1">
        <f t="shared" si="14"/>
        <v>72.43016358807462</v>
      </c>
      <c r="F53" s="1"/>
      <c r="G53" s="9">
        <f t="shared" si="15"/>
        <v>1.4615444516215372E-6</v>
      </c>
      <c r="H53" s="1">
        <f t="shared" si="16"/>
        <v>73.068401210051022</v>
      </c>
      <c r="I53" s="8">
        <f t="shared" si="17"/>
        <v>1.2693566599052175</v>
      </c>
      <c r="J53" s="8">
        <f t="shared" si="18"/>
        <v>0.6008248317224909</v>
      </c>
      <c r="K53" s="8">
        <f t="shared" si="19"/>
        <v>1218.3604961520607</v>
      </c>
      <c r="L53" s="2">
        <f t="shared" si="20"/>
        <v>2.3599999999999996E-12</v>
      </c>
      <c r="M53" s="2">
        <f t="shared" si="21"/>
        <v>7.0848680731765482E-4</v>
      </c>
      <c r="N53" s="10">
        <f t="shared" si="22"/>
        <v>1.1791902895998993E-3</v>
      </c>
      <c r="O53">
        <f t="shared" si="23"/>
        <v>1.4968130473991942E-3</v>
      </c>
      <c r="P53" s="11">
        <f t="shared" si="24"/>
        <v>73.154664480044815</v>
      </c>
      <c r="R53" t="str">
        <f t="shared" si="25"/>
        <v>(0.687989965142188,73.1546644800448)</v>
      </c>
    </row>
    <row r="54" spans="1:18" x14ac:dyDescent="0.2">
      <c r="A54" s="8">
        <f t="shared" si="13"/>
        <v>837.92432995938191</v>
      </c>
      <c r="B54">
        <v>10.1</v>
      </c>
      <c r="C54">
        <v>2160</v>
      </c>
      <c r="D54">
        <v>26.49</v>
      </c>
      <c r="E54" s="1">
        <f t="shared" si="14"/>
        <v>71.960523817274293</v>
      </c>
      <c r="F54" s="1"/>
      <c r="G54" s="9">
        <f t="shared" si="15"/>
        <v>1.4615444516215372E-6</v>
      </c>
      <c r="H54" s="1">
        <f t="shared" si="16"/>
        <v>72.590475553252205</v>
      </c>
      <c r="I54" s="8">
        <f t="shared" si="17"/>
        <v>1.2777139286897718</v>
      </c>
      <c r="J54" s="8">
        <f t="shared" si="18"/>
        <v>0.89710490395661002</v>
      </c>
      <c r="K54" s="8">
        <f t="shared" si="19"/>
        <v>1819.1611234701031</v>
      </c>
      <c r="L54" s="2">
        <f t="shared" si="20"/>
        <v>2.3599999999999996E-12</v>
      </c>
      <c r="M54" s="2">
        <f t="shared" si="21"/>
        <v>1.0509381599252223E-3</v>
      </c>
      <c r="N54" s="10">
        <f t="shared" si="22"/>
        <v>1.1714774440426566E-3</v>
      </c>
      <c r="O54">
        <f t="shared" si="23"/>
        <v>1.4968130473991949E-3</v>
      </c>
      <c r="P54" s="11">
        <f t="shared" si="24"/>
        <v>72.675613395076496</v>
      </c>
      <c r="R54" t="str">
        <f t="shared" si="25"/>
        <v>(0.837924329959382,72.6756133950765)</v>
      </c>
    </row>
    <row r="55" spans="1:18" x14ac:dyDescent="0.2">
      <c r="A55" s="8">
        <f t="shared" si="13"/>
        <v>910.36097456515722</v>
      </c>
      <c r="B55">
        <v>10.1</v>
      </c>
      <c r="C55">
        <v>2344</v>
      </c>
      <c r="D55">
        <v>28.78</v>
      </c>
      <c r="E55" s="1">
        <f t="shared" si="14"/>
        <v>72.044244447258947</v>
      </c>
      <c r="F55" s="1"/>
      <c r="G55" s="9">
        <f t="shared" si="15"/>
        <v>1.4615444516215372E-6</v>
      </c>
      <c r="H55" s="1">
        <f t="shared" si="16"/>
        <v>72.675669272032536</v>
      </c>
      <c r="I55" s="8">
        <f t="shared" si="17"/>
        <v>1.276216134418142</v>
      </c>
      <c r="J55" s="8">
        <f t="shared" si="18"/>
        <v>1.0576731876527767</v>
      </c>
      <c r="K55" s="8">
        <f t="shared" si="19"/>
        <v>2144.7636010333213</v>
      </c>
      <c r="L55" s="2">
        <f t="shared" si="20"/>
        <v>2.3599999999999996E-12</v>
      </c>
      <c r="M55" s="2">
        <f t="shared" si="21"/>
        <v>1.2404944464087697E-3</v>
      </c>
      <c r="N55" s="10">
        <f t="shared" si="22"/>
        <v>1.1728523147700434E-3</v>
      </c>
      <c r="O55">
        <f t="shared" si="23"/>
        <v>1.4968130473991946E-3</v>
      </c>
      <c r="P55" s="11">
        <f t="shared" si="24"/>
        <v>72.761007187737675</v>
      </c>
      <c r="R55" t="str">
        <f t="shared" si="25"/>
        <v>(0.910360974565157,72.7610071877377)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1E8D-D72D-AC4C-8C3F-A63045465EA3}">
  <dimension ref="A1:R55"/>
  <sheetViews>
    <sheetView topLeftCell="A4" workbookViewId="0">
      <selection activeCell="B15" sqref="B15"/>
    </sheetView>
  </sheetViews>
  <sheetFormatPr baseColWidth="10" defaultColWidth="11" defaultRowHeight="16" x14ac:dyDescent="0.2"/>
  <sheetData>
    <row r="1" spans="1:12" x14ac:dyDescent="0.2">
      <c r="A1" t="s">
        <v>0</v>
      </c>
      <c r="B1">
        <v>10</v>
      </c>
      <c r="C1" t="s">
        <v>1</v>
      </c>
    </row>
    <row r="2" spans="1:12" x14ac:dyDescent="0.2">
      <c r="A2" t="s">
        <v>2</v>
      </c>
      <c r="B2" t="s">
        <v>62</v>
      </c>
    </row>
    <row r="3" spans="1:12" x14ac:dyDescent="0.2">
      <c r="A3" t="s">
        <v>4</v>
      </c>
      <c r="B3">
        <v>1901</v>
      </c>
    </row>
    <row r="4" spans="1:12" x14ac:dyDescent="0.2">
      <c r="A4" t="s">
        <v>5</v>
      </c>
      <c r="B4">
        <v>8</v>
      </c>
    </row>
    <row r="5" spans="1:12" x14ac:dyDescent="0.2">
      <c r="A5" t="s">
        <v>51</v>
      </c>
      <c r="B5">
        <v>22</v>
      </c>
    </row>
    <row r="6" spans="1:12" x14ac:dyDescent="0.2">
      <c r="A6" t="s">
        <v>6</v>
      </c>
      <c r="B6">
        <v>1650</v>
      </c>
      <c r="C6" t="s">
        <v>7</v>
      </c>
    </row>
    <row r="7" spans="1:12" x14ac:dyDescent="0.2">
      <c r="A7" t="s">
        <v>8</v>
      </c>
      <c r="B7" s="1">
        <f>B6*10*10^6*2*PI()*10^-9</f>
        <v>103.67255756846318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</row>
    <row r="9" spans="1:12" x14ac:dyDescent="0.2">
      <c r="A9" t="s">
        <v>13</v>
      </c>
      <c r="B9">
        <f>B10*B12/(B10+B12)</f>
        <v>169.89691270699842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>
        <v>204.8</v>
      </c>
      <c r="C10" t="s">
        <v>14</v>
      </c>
      <c r="F10" s="2">
        <f>1/(F9*B10*10^-12)</f>
        <v>25.904124852196507</v>
      </c>
      <c r="G10" s="2"/>
      <c r="H10" s="2"/>
    </row>
    <row r="11" spans="1:12" x14ac:dyDescent="0.2">
      <c r="A11" t="s">
        <v>16</v>
      </c>
      <c r="B11">
        <v>7.1703285533472466E-3</v>
      </c>
      <c r="F11" s="2"/>
      <c r="G11" s="2"/>
      <c r="H11" s="2"/>
    </row>
    <row r="12" spans="1:12" x14ac:dyDescent="0.2">
      <c r="A12" t="s">
        <v>17</v>
      </c>
      <c r="B12" s="3">
        <v>996.9</v>
      </c>
      <c r="C12" t="s">
        <v>14</v>
      </c>
      <c r="F12" s="2">
        <f>1/(F9*B12*10^-12)</f>
        <v>5.3216619216870749</v>
      </c>
      <c r="G12" s="2"/>
      <c r="H12" s="2">
        <f>F12/(F12+F10)</f>
        <v>0.1704252309228593</v>
      </c>
      <c r="L12">
        <f>1/(30*10^6*2*PI()*B10*10^-12)</f>
        <v>25.904124852196507</v>
      </c>
    </row>
    <row r="13" spans="1:12" x14ac:dyDescent="0.2">
      <c r="A13" t="s">
        <v>18</v>
      </c>
      <c r="B13">
        <v>4.0149860710109774E-3</v>
      </c>
      <c r="L13">
        <f>55.8-L12</f>
        <v>29.895875147803491</v>
      </c>
    </row>
    <row r="14" spans="1:12" x14ac:dyDescent="0.2">
      <c r="A14" t="s">
        <v>19</v>
      </c>
      <c r="B14" s="4">
        <f>(1/(2*PI()*SQRT(B9*10^-12*B6*10^-9)))/10^6</f>
        <v>9.5057287196119962</v>
      </c>
      <c r="C14" t="s">
        <v>1</v>
      </c>
    </row>
    <row r="15" spans="1:12" x14ac:dyDescent="0.2">
      <c r="A15" t="s">
        <v>20</v>
      </c>
      <c r="B15" s="5">
        <f>0.635*PI()*((1.27/2)^2-(0.79/2)^2)</f>
        <v>0.49314208201929699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B$12*10^-12*D18*2*B18*10^6*1000*PI()*0.5</f>
        <v>275.62160497692901</v>
      </c>
      <c r="B18">
        <v>9.4629999999999992</v>
      </c>
      <c r="C18">
        <v>179.4</v>
      </c>
      <c r="D18">
        <v>9.3000000000000007</v>
      </c>
      <c r="E18" s="1">
        <f>D18*1000/(C18*H$12)</f>
        <v>304.17717260660532</v>
      </c>
      <c r="F18" s="1"/>
      <c r="G18" s="9">
        <f>1/($B$9*10^-12*(2*PI()*B18*10^6)^2)</f>
        <v>1.6649342827216994E-6</v>
      </c>
      <c r="H18" s="1">
        <f>(2*PI()*B18*10^6*G18)/((C18/(D18*1000))*SQRT($B$13^2 + (1/(2*PI()*B18*10^6*$B$12*10^-12))^2) - $B$11 - $B$13)</f>
        <v>315.00357445513663</v>
      </c>
      <c r="I18" s="8">
        <f>(2*PI()*B18*10^6*G18)/H18</f>
        <v>0.31426088016001019</v>
      </c>
      <c r="J18" s="8">
        <f>I18*(A18/1000)^2</f>
        <v>2.387354086016449E-2</v>
      </c>
      <c r="K18" s="8">
        <f>J18/B$15*1000</f>
        <v>48.411080154441784</v>
      </c>
      <c r="L18" s="2">
        <f xml:space="preserve"> (4*8.85*10^-12*0.01*0.01)/0.0015</f>
        <v>2.3599999999999996E-12</v>
      </c>
      <c r="M18" s="2">
        <f>0.5*D18*D18*2*PI()*B18*10^6*L18*0.02</f>
        <v>1.2136308528505643E-4</v>
      </c>
      <c r="N18" s="10">
        <f>M18/J18</f>
        <v>5.0835812750157847E-3</v>
      </c>
      <c r="O18">
        <f>M18/((A18/1000)^2)</f>
        <v>1.5975707258514074E-3</v>
      </c>
      <c r="P18" s="11">
        <f>2*PI()*B18*10^6*G18/(I18-O18)</f>
        <v>316.61310289644564</v>
      </c>
      <c r="R18" t="str">
        <f>_xlfn.CONCAT("(",A18/1000,",",P18,")")</f>
        <v>(0.275621604976929,316.613102896446)</v>
      </c>
    </row>
    <row r="19" spans="1:18" x14ac:dyDescent="0.2">
      <c r="A19" s="8">
        <f t="shared" ref="A19:A24" si="0">B$12*10^-12*D19*2*B19*10^6*1000*PI()*0.5</f>
        <v>346.74976110000745</v>
      </c>
      <c r="B19">
        <v>9.4629999999999992</v>
      </c>
      <c r="C19">
        <v>229.2</v>
      </c>
      <c r="D19">
        <v>11.7</v>
      </c>
      <c r="E19" s="1">
        <f>D19*1000/(C19*H$12)</f>
        <v>299.52795218422773</v>
      </c>
      <c r="F19" s="1"/>
      <c r="G19" s="9">
        <f t="shared" ref="G19:G24" si="1">1/($B$9*10^-12*(2*PI()*B19*10^6)^2)</f>
        <v>1.6649342827216994E-6</v>
      </c>
      <c r="H19" s="1">
        <f>(2*PI()*B19*10^6*G19)/((C19/(D19*1000))*SQRT($B$13^2 + (1/(2*PI()*B19*10^6*$B$12*10^-12))^2) - $B$11 - $B$13)</f>
        <v>310.02022116951878</v>
      </c>
      <c r="I19" s="8">
        <f t="shared" ref="I19:I24" si="2">(2*PI()*B19*10^6*G19)/H19</f>
        <v>0.31931239900538966</v>
      </c>
      <c r="J19" s="8">
        <f t="shared" ref="J19:J24" si="3">I19*(A19/1000)^2</f>
        <v>3.8392653004889109E-2</v>
      </c>
      <c r="K19" s="8">
        <f t="shared" ref="K19:K24" si="4">J19/B$15*1000</f>
        <v>77.85312672502117</v>
      </c>
      <c r="L19" s="2">
        <f t="shared" ref="L19:L24" si="5" xml:space="preserve"> (4*8.85*10^-12*0.01*0.01)/0.0015</f>
        <v>2.3599999999999996E-12</v>
      </c>
      <c r="M19" s="2">
        <f t="shared" ref="M19:M24" si="6">0.5*D19*D19*2*PI()*B19*10^6*L19*0.02</f>
        <v>1.9208455017541185E-4</v>
      </c>
      <c r="N19" s="10">
        <f t="shared" ref="N19:N24" si="7">M19/J19</f>
        <v>5.0031590718919803E-3</v>
      </c>
      <c r="O19">
        <f t="shared" ref="O19:O24" si="8">M19/((A19/1000)^2)</f>
        <v>1.597570725851407E-3</v>
      </c>
      <c r="P19" s="11">
        <f t="shared" ref="P19:P24" si="9">2*PI()*B19*10^6*G19/(I19-O19)</f>
        <v>311.5791009751747</v>
      </c>
      <c r="R19" t="str">
        <f t="shared" ref="R19:R24" si="10">_xlfn.CONCAT("(",A19/1000,",",P19,")")</f>
        <v>(0.346749761100007,311.579100975175)</v>
      </c>
    </row>
    <row r="20" spans="1:18" x14ac:dyDescent="0.2">
      <c r="A20" s="8">
        <f t="shared" si="0"/>
        <v>459.36934162821495</v>
      </c>
      <c r="B20">
        <v>9.4629999999999992</v>
      </c>
      <c r="C20">
        <v>311</v>
      </c>
      <c r="D20">
        <v>15.5</v>
      </c>
      <c r="E20" s="1">
        <f t="shared" ref="E20:E24" si="11">D20*1000/(C20*H$12)</f>
        <v>292.44043282757229</v>
      </c>
      <c r="F20" s="1"/>
      <c r="G20" s="9">
        <f t="shared" si="1"/>
        <v>1.6649342827216994E-6</v>
      </c>
      <c r="H20" s="1">
        <f t="shared" ref="H20:H24" si="12">(2*PI()*B20*10^6*G20)/((C20/(D20*1000))*SQRT($B$13^2 + (1/(2*PI()*B20*10^6*$B$12*10^-12))^2) - $B$11 - $B$13)</f>
        <v>302.43375069050506</v>
      </c>
      <c r="I20" s="8">
        <f t="shared" si="2"/>
        <v>0.32732226590386443</v>
      </c>
      <c r="J20" s="8">
        <f t="shared" si="3"/>
        <v>6.9071607406053809E-2</v>
      </c>
      <c r="K20" s="8">
        <f t="shared" si="4"/>
        <v>140.06431396651928</v>
      </c>
      <c r="L20" s="2">
        <f t="shared" si="5"/>
        <v>2.3599999999999996E-12</v>
      </c>
      <c r="M20" s="2">
        <f t="shared" si="6"/>
        <v>3.3711968134737894E-4</v>
      </c>
      <c r="N20" s="10">
        <f t="shared" si="7"/>
        <v>4.8807273206419102E-3</v>
      </c>
      <c r="O20">
        <f t="shared" si="8"/>
        <v>1.5975707258514074E-3</v>
      </c>
      <c r="P20" s="11">
        <f t="shared" si="9"/>
        <v>303.91708712082556</v>
      </c>
      <c r="R20" t="str">
        <f t="shared" si="10"/>
        <v>(0.459369341628215,303.917087120826)</v>
      </c>
    </row>
    <row r="21" spans="1:18" x14ac:dyDescent="0.2">
      <c r="A21" s="8">
        <f t="shared" si="0"/>
        <v>661.49185194462962</v>
      </c>
      <c r="B21">
        <v>9.4629999999999992</v>
      </c>
      <c r="C21">
        <v>459</v>
      </c>
      <c r="D21">
        <v>22.32</v>
      </c>
      <c r="E21" s="1">
        <f t="shared" si="11"/>
        <v>285.33011642156862</v>
      </c>
      <c r="F21" s="1"/>
      <c r="G21" s="9">
        <f t="shared" si="1"/>
        <v>1.6649342827216994E-6</v>
      </c>
      <c r="H21" s="1">
        <f t="shared" si="12"/>
        <v>294.83549455766439</v>
      </c>
      <c r="I21" s="8">
        <f t="shared" si="2"/>
        <v>0.33575774419677029</v>
      </c>
      <c r="J21" s="8">
        <f t="shared" si="3"/>
        <v>0.14691800975556854</v>
      </c>
      <c r="K21" s="8">
        <f t="shared" si="4"/>
        <v>297.92227253041352</v>
      </c>
      <c r="L21" s="2">
        <f t="shared" si="5"/>
        <v>2.3599999999999996E-12</v>
      </c>
      <c r="M21" s="2">
        <f t="shared" si="6"/>
        <v>6.9905137124192513E-4</v>
      </c>
      <c r="N21" s="10">
        <f t="shared" si="7"/>
        <v>4.7581053705053299E-3</v>
      </c>
      <c r="O21">
        <f t="shared" si="8"/>
        <v>1.5975707258514076E-3</v>
      </c>
      <c r="P21" s="11">
        <f t="shared" si="9"/>
        <v>296.24505976752994</v>
      </c>
      <c r="R21" t="str">
        <f t="shared" si="10"/>
        <v>(0.66149185194463,296.24505976753)</v>
      </c>
    </row>
    <row r="22" spans="1:18" x14ac:dyDescent="0.2">
      <c r="A22" s="8">
        <f t="shared" si="0"/>
        <v>1001.7215320666882</v>
      </c>
      <c r="B22">
        <v>9.4629999999999992</v>
      </c>
      <c r="C22">
        <v>754</v>
      </c>
      <c r="D22">
        <v>33.799999999999997</v>
      </c>
      <c r="E22" s="1">
        <f t="shared" si="11"/>
        <v>263.03374191810343</v>
      </c>
      <c r="F22" s="1"/>
      <c r="G22" s="9">
        <f t="shared" si="1"/>
        <v>1.6649342827216994E-6</v>
      </c>
      <c r="H22" s="1">
        <f t="shared" si="12"/>
        <v>271.09064196113383</v>
      </c>
      <c r="I22" s="8">
        <f t="shared" si="2"/>
        <v>0.36516679382836525</v>
      </c>
      <c r="J22" s="8">
        <f t="shared" si="3"/>
        <v>0.36642516875373765</v>
      </c>
      <c r="K22" s="8">
        <f t="shared" si="4"/>
        <v>743.04177662817904</v>
      </c>
      <c r="L22" s="2">
        <f t="shared" si="5"/>
        <v>2.3599999999999996E-12</v>
      </c>
      <c r="M22" s="2">
        <f t="shared" si="6"/>
        <v>1.6030759989947951E-3</v>
      </c>
      <c r="N22" s="10">
        <f t="shared" si="7"/>
        <v>4.3749068996736138E-3</v>
      </c>
      <c r="O22">
        <f t="shared" si="8"/>
        <v>1.597570725851407E-3</v>
      </c>
      <c r="P22" s="11">
        <f t="shared" si="9"/>
        <v>272.28184970405999</v>
      </c>
      <c r="R22" t="str">
        <f t="shared" si="10"/>
        <v>(1.00172153206669,272.28184970406)</v>
      </c>
    </row>
    <row r="23" spans="1:18" x14ac:dyDescent="0.2">
      <c r="A23" s="8">
        <f t="shared" si="0"/>
        <v>1640.3931005884972</v>
      </c>
      <c r="B23">
        <v>9.4629999999999992</v>
      </c>
      <c r="C23">
        <v>1580</v>
      </c>
      <c r="D23">
        <v>55.35</v>
      </c>
      <c r="E23" s="1">
        <f t="shared" si="11"/>
        <v>205.55433828619462</v>
      </c>
      <c r="F23" s="1"/>
      <c r="G23" s="9">
        <f t="shared" si="1"/>
        <v>1.6649342827216994E-6</v>
      </c>
      <c r="H23" s="1">
        <f t="shared" si="12"/>
        <v>210.44199767969013</v>
      </c>
      <c r="I23" s="8">
        <f t="shared" si="2"/>
        <v>0.47040658068878627</v>
      </c>
      <c r="J23" s="8">
        <f t="shared" si="3"/>
        <v>1.2658121402117235</v>
      </c>
      <c r="K23" s="8">
        <f t="shared" si="4"/>
        <v>2566.8305065926038</v>
      </c>
      <c r="L23" s="2">
        <f t="shared" si="5"/>
        <v>2.3599999999999996E-12</v>
      </c>
      <c r="M23" s="2">
        <f t="shared" si="6"/>
        <v>4.2988863307748615E-3</v>
      </c>
      <c r="N23" s="10">
        <f t="shared" si="7"/>
        <v>3.3961487603174803E-3</v>
      </c>
      <c r="O23">
        <f t="shared" si="8"/>
        <v>1.5975707258514063E-3</v>
      </c>
      <c r="P23" s="11">
        <f t="shared" si="9"/>
        <v>211.15912548192532</v>
      </c>
      <c r="R23" t="str">
        <f t="shared" si="10"/>
        <v>(1.6403931005885,211.159125481925)</v>
      </c>
    </row>
    <row r="24" spans="1:18" x14ac:dyDescent="0.2">
      <c r="A24" s="8">
        <f t="shared" si="0"/>
        <v>2163.4814154103033</v>
      </c>
      <c r="B24">
        <v>9.4629999999999992</v>
      </c>
      <c r="C24">
        <v>2770</v>
      </c>
      <c r="D24">
        <v>73</v>
      </c>
      <c r="E24" s="1">
        <f t="shared" si="11"/>
        <v>154.63549892824906</v>
      </c>
      <c r="F24" s="1"/>
      <c r="G24" s="9">
        <f t="shared" si="1"/>
        <v>1.6649342827216994E-6</v>
      </c>
      <c r="H24" s="1">
        <f t="shared" si="12"/>
        <v>157.38538883890394</v>
      </c>
      <c r="I24" s="8">
        <f t="shared" si="2"/>
        <v>0.62898659965918313</v>
      </c>
      <c r="J24" s="8">
        <f t="shared" si="3"/>
        <v>2.944067281775578</v>
      </c>
      <c r="K24" s="8">
        <f t="shared" si="4"/>
        <v>5970.0183560087544</v>
      </c>
      <c r="L24" s="2">
        <f t="shared" si="5"/>
        <v>2.3599999999999996E-12</v>
      </c>
      <c r="M24" s="2">
        <f t="shared" si="6"/>
        <v>7.4776723492203222E-3</v>
      </c>
      <c r="N24" s="10">
        <f t="shared" si="7"/>
        <v>2.5399121805091732E-3</v>
      </c>
      <c r="O24">
        <f t="shared" si="8"/>
        <v>1.5975707258514061E-3</v>
      </c>
      <c r="P24" s="11">
        <f t="shared" si="9"/>
        <v>157.78615180779622</v>
      </c>
      <c r="R24" t="str">
        <f t="shared" si="10"/>
        <v>(2.1634814154103,157.786151807796)</v>
      </c>
    </row>
    <row r="25" spans="1:18" x14ac:dyDescent="0.2">
      <c r="A25" s="8"/>
      <c r="E25" s="1"/>
      <c r="F25" s="1"/>
      <c r="G25" s="9"/>
      <c r="H25" s="1"/>
      <c r="I25" s="8"/>
      <c r="J25" s="8"/>
      <c r="K25" s="8"/>
      <c r="L25" s="2"/>
      <c r="M25" s="2"/>
      <c r="N25" s="10"/>
      <c r="P25" s="11"/>
    </row>
    <row r="26" spans="1:18" x14ac:dyDescent="0.2">
      <c r="A26" s="8"/>
      <c r="E26" s="1"/>
      <c r="F26" s="1"/>
      <c r="G26" s="9"/>
      <c r="H26" s="1"/>
      <c r="I26" s="8"/>
      <c r="J26" s="8"/>
      <c r="K26" s="8"/>
      <c r="L26" s="2"/>
      <c r="M26" s="2"/>
      <c r="N26" s="10"/>
      <c r="P26" s="11"/>
    </row>
    <row r="30" spans="1:18" x14ac:dyDescent="0.2">
      <c r="A30" t="s">
        <v>0</v>
      </c>
      <c r="B30">
        <v>10</v>
      </c>
      <c r="C30" t="s">
        <v>1</v>
      </c>
    </row>
    <row r="31" spans="1:18" x14ac:dyDescent="0.2">
      <c r="A31" t="s">
        <v>2</v>
      </c>
      <c r="B31" t="s">
        <v>35</v>
      </c>
    </row>
    <row r="32" spans="1:18" x14ac:dyDescent="0.2">
      <c r="A32" t="s">
        <v>4</v>
      </c>
    </row>
    <row r="33" spans="1:18" x14ac:dyDescent="0.2">
      <c r="A33" t="s">
        <v>5</v>
      </c>
      <c r="B33" t="s">
        <v>65</v>
      </c>
    </row>
    <row r="34" spans="1:18" x14ac:dyDescent="0.2">
      <c r="A34" t="s">
        <v>51</v>
      </c>
      <c r="B34">
        <v>26</v>
      </c>
    </row>
    <row r="35" spans="1:18" x14ac:dyDescent="0.2">
      <c r="A35" t="s">
        <v>6</v>
      </c>
      <c r="B35">
        <v>1617</v>
      </c>
      <c r="C35" t="s">
        <v>7</v>
      </c>
    </row>
    <row r="36" spans="1:18" x14ac:dyDescent="0.2">
      <c r="A36" t="s">
        <v>8</v>
      </c>
      <c r="B36" s="1">
        <f>B35*10*10^6*2*PI()*10^-9</f>
        <v>101.59910641709391</v>
      </c>
      <c r="D36" t="s">
        <v>9</v>
      </c>
      <c r="E36" t="s">
        <v>10</v>
      </c>
    </row>
    <row r="37" spans="1:18" x14ac:dyDescent="0.2">
      <c r="A37" t="s">
        <v>11</v>
      </c>
      <c r="B37" t="s">
        <v>12</v>
      </c>
    </row>
    <row r="38" spans="1:18" x14ac:dyDescent="0.2">
      <c r="A38" t="s">
        <v>13</v>
      </c>
      <c r="B38" t="s">
        <v>12</v>
      </c>
      <c r="C38" t="s">
        <v>14</v>
      </c>
      <c r="F38" s="2">
        <f>30*10^6*2*PI()</f>
        <v>188495559.21538758</v>
      </c>
      <c r="G38" s="2"/>
      <c r="H38" s="2"/>
    </row>
    <row r="39" spans="1:18" x14ac:dyDescent="0.2">
      <c r="A39" t="s">
        <v>15</v>
      </c>
      <c r="B39">
        <f>B40*B42/(B40+B42)</f>
        <v>169.89691270699842</v>
      </c>
      <c r="C39" t="s">
        <v>14</v>
      </c>
      <c r="F39" s="2">
        <f>1/(F38*B39*10^-12)</f>
        <v>31.225786773883581</v>
      </c>
      <c r="G39" s="2"/>
      <c r="H39" s="2"/>
    </row>
    <row r="40" spans="1:18" x14ac:dyDescent="0.2">
      <c r="A40" t="s">
        <v>16</v>
      </c>
      <c r="B40" s="3">
        <v>204.8</v>
      </c>
      <c r="F40" s="2"/>
      <c r="G40" s="2"/>
      <c r="H40" s="2"/>
    </row>
    <row r="41" spans="1:18" x14ac:dyDescent="0.2">
      <c r="A41" t="s">
        <v>17</v>
      </c>
      <c r="B41">
        <v>7.1703285533472466E-3</v>
      </c>
      <c r="C41" t="s">
        <v>14</v>
      </c>
      <c r="F41" s="2">
        <f>1/(F38*B41*10^-12)</f>
        <v>739877.50076714309</v>
      </c>
      <c r="G41" s="2"/>
      <c r="H41" s="2">
        <f>F41/(F41+F39)</f>
        <v>0.99995779778551974</v>
      </c>
      <c r="L41">
        <f>1/(30*10^6*2*PI()*B39*10^-12)</f>
        <v>31.225786773883581</v>
      </c>
    </row>
    <row r="42" spans="1:18" x14ac:dyDescent="0.2">
      <c r="A42" t="s">
        <v>18</v>
      </c>
      <c r="B42" s="3">
        <v>996.9</v>
      </c>
      <c r="L42">
        <f>55.8-L41</f>
        <v>24.574213226116417</v>
      </c>
    </row>
    <row r="43" spans="1:18" x14ac:dyDescent="0.2">
      <c r="A43" t="s">
        <v>19</v>
      </c>
      <c r="B43">
        <v>4.0149860710109774E-3</v>
      </c>
      <c r="C43" t="s">
        <v>1</v>
      </c>
    </row>
    <row r="44" spans="1:18" x14ac:dyDescent="0.2">
      <c r="A44" t="s">
        <v>20</v>
      </c>
      <c r="B44" s="5">
        <f>0.635*PI()*((1.27/2)^2-(0.79/2)^2)</f>
        <v>0.49314208201929699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B$12*10^-12*D47*2*B47*10^6*1000*PI()*0.5</f>
        <v>123.90866043421202</v>
      </c>
      <c r="B47">
        <v>9.42</v>
      </c>
      <c r="C47">
        <v>278</v>
      </c>
      <c r="D47">
        <v>4.2</v>
      </c>
      <c r="E47" s="1">
        <f>D47*1000/(C47*H$12)</f>
        <v>88.648339141187037</v>
      </c>
      <c r="F47" s="1"/>
      <c r="G47" s="9">
        <f>1/($B$9*10^-12*(2*PI()*B47*10^6)^2)</f>
        <v>1.6801690119264812E-6</v>
      </c>
      <c r="H47" s="1">
        <f>(2*PI()*B47*10^6*G47)/((C47/(D47*1000))*SQRT($B$13^2 + (1/(2*PI()*B47*10^6*$B$12*10^-12))^2) - $B$11 - $B$13)</f>
        <v>89.54114387045594</v>
      </c>
      <c r="I47" s="8">
        <f>(2*PI()*B47*10^6*G47)/H47</f>
        <v>1.1106087828453388</v>
      </c>
      <c r="J47" s="8">
        <f>I47*(A47/1000)^2</f>
        <v>1.7051572164797642E-2</v>
      </c>
      <c r="K47" s="8">
        <f>J47/B$15*1000</f>
        <v>34.577402307618115</v>
      </c>
      <c r="L47" s="2">
        <f xml:space="preserve"> (4*8.85*10^-12*0.01*0.01)/0.0015</f>
        <v>2.3599999999999996E-12</v>
      </c>
      <c r="M47" s="2">
        <f>0.5*D47*D47*2*PI()*B47*10^6*L47*0.02</f>
        <v>2.4640036959051245E-5</v>
      </c>
      <c r="N47" s="10">
        <f>M47/J47</f>
        <v>1.4450302131037347E-3</v>
      </c>
      <c r="O47">
        <f>M47/((A47/1000)^2)</f>
        <v>1.6048632461498793E-3</v>
      </c>
      <c r="P47" s="11">
        <f>2*PI()*B47*10^6*G47/(I47-O47)</f>
        <v>89.670720771201104</v>
      </c>
      <c r="R47" t="str">
        <f>_xlfn.CONCAT("(",A47/1000,",",P47,")")</f>
        <v>(0.123908660434212,89.6707207712011)</v>
      </c>
    </row>
    <row r="48" spans="1:18" x14ac:dyDescent="0.2">
      <c r="A48" s="8">
        <f t="shared" ref="A48:A55" si="13">B$12*10^-12*D48*2*B48*10^6*1000*PI()*0.5</f>
        <v>156.06590802309086</v>
      </c>
      <c r="B48">
        <v>9.42</v>
      </c>
      <c r="C48">
        <v>350.2</v>
      </c>
      <c r="D48">
        <v>5.29</v>
      </c>
      <c r="E48" s="1">
        <f t="shared" ref="E48:E55" si="14">D48*1000/(C48*H$12)</f>
        <v>88.635079619681605</v>
      </c>
      <c r="F48" s="1"/>
      <c r="G48" s="9">
        <f t="shared" ref="G48:G55" si="15">1/($B$9*10^-12*(2*PI()*B48*10^6)^2)</f>
        <v>1.6801690119264812E-6</v>
      </c>
      <c r="H48" s="1">
        <f t="shared" ref="H48:H55" si="16">(2*PI()*B48*10^6*G48)/((C48/(D48*1000))*SQRT($B$13^2 + (1/(2*PI()*B48*10^6*$B$12*10^-12))^2) - $B$11 - $B$13)</f>
        <v>89.527615942569128</v>
      </c>
      <c r="I48" s="8">
        <f t="shared" ref="I48:I55" si="17">(2*PI()*B48*10^6*G48)/H48</f>
        <v>1.1107765996174779</v>
      </c>
      <c r="J48" s="8">
        <f t="shared" ref="J48:J55" si="18">I48*(A48/1000)^2</f>
        <v>2.705470538936755E-2</v>
      </c>
      <c r="K48" s="8">
        <f t="shared" ref="K48:K55" si="19">J48/B$15*1000</f>
        <v>54.861887427219976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3.9088960219148872E-5</v>
      </c>
      <c r="N48" s="10">
        <f t="shared" ref="N48:N55" si="22">M48/J48</f>
        <v>1.4448118971020383E-3</v>
      </c>
      <c r="O48">
        <f t="shared" ref="O48:O55" si="23">M48/((A48/1000)^2)</f>
        <v>1.6048632461498796E-3</v>
      </c>
      <c r="P48" s="11">
        <f t="shared" ref="P48:P55" si="24">2*PI()*B48*10^6*G48/(I48-O48)</f>
        <v>89.657153664844401</v>
      </c>
      <c r="R48" t="str">
        <f t="shared" ref="R48:R55" si="25">_xlfn.CONCAT("(",A48/1000,",",P48,")")</f>
        <v>(0.156065908023091,89.6571536648444)</v>
      </c>
    </row>
    <row r="49" spans="1:18" x14ac:dyDescent="0.2">
      <c r="A49" s="8">
        <f t="shared" si="13"/>
        <v>204.15426909636838</v>
      </c>
      <c r="B49">
        <v>9.42</v>
      </c>
      <c r="C49">
        <v>460</v>
      </c>
      <c r="D49">
        <v>6.92</v>
      </c>
      <c r="E49" s="1">
        <f t="shared" si="14"/>
        <v>88.270253057065204</v>
      </c>
      <c r="F49" s="1"/>
      <c r="G49" s="9">
        <f t="shared" si="15"/>
        <v>1.6801690119264812E-6</v>
      </c>
      <c r="H49" s="1">
        <f t="shared" si="16"/>
        <v>89.155420351446821</v>
      </c>
      <c r="I49" s="8">
        <f t="shared" si="17"/>
        <v>1.1154137394735826</v>
      </c>
      <c r="J49" s="8">
        <f t="shared" si="18"/>
        <v>4.6489290866436508E-2</v>
      </c>
      <c r="K49" s="8">
        <f t="shared" si="19"/>
        <v>94.271595472189588</v>
      </c>
      <c r="L49" s="2">
        <f t="shared" si="20"/>
        <v>2.3599999999999996E-12</v>
      </c>
      <c r="M49" s="2">
        <f t="shared" si="21"/>
        <v>6.6889040013373694E-5</v>
      </c>
      <c r="N49" s="10">
        <f t="shared" si="22"/>
        <v>1.4388053413321696E-3</v>
      </c>
      <c r="O49">
        <f t="shared" si="23"/>
        <v>1.6048632461498796E-3</v>
      </c>
      <c r="P49" s="11">
        <f t="shared" si="24"/>
        <v>89.283882478451687</v>
      </c>
      <c r="R49" t="str">
        <f t="shared" si="25"/>
        <v>(0.204154269096368,89.2838824784517)</v>
      </c>
    </row>
    <row r="50" spans="1:18" x14ac:dyDescent="0.2">
      <c r="A50" s="8">
        <f t="shared" si="13"/>
        <v>282.33473341795457</v>
      </c>
      <c r="B50">
        <v>9.42</v>
      </c>
      <c r="C50">
        <v>638</v>
      </c>
      <c r="D50">
        <v>9.57</v>
      </c>
      <c r="E50" s="1">
        <f t="shared" si="14"/>
        <v>88.015136718749986</v>
      </c>
      <c r="F50" s="1"/>
      <c r="G50" s="9">
        <f t="shared" si="15"/>
        <v>1.6801690119264812E-6</v>
      </c>
      <c r="H50" s="1">
        <f t="shared" si="16"/>
        <v>88.895169320298095</v>
      </c>
      <c r="I50" s="8">
        <f t="shared" si="17"/>
        <v>1.1186792439782145</v>
      </c>
      <c r="J50" s="8">
        <f t="shared" si="18"/>
        <v>8.9173168602563371E-2</v>
      </c>
      <c r="K50" s="8">
        <f t="shared" si="19"/>
        <v>180.82652414780932</v>
      </c>
      <c r="L50" s="2">
        <f t="shared" si="20"/>
        <v>2.3599999999999996E-12</v>
      </c>
      <c r="M50" s="2">
        <f t="shared" si="21"/>
        <v>1.279283061729599E-4</v>
      </c>
      <c r="N50" s="10">
        <f t="shared" si="22"/>
        <v>1.4346053659158914E-3</v>
      </c>
      <c r="O50">
        <f t="shared" si="23"/>
        <v>1.6048632461498789E-3</v>
      </c>
      <c r="P50" s="11">
        <f t="shared" si="24"/>
        <v>89.022882024539797</v>
      </c>
      <c r="R50" t="str">
        <f t="shared" si="25"/>
        <v>(0.282334733417955,89.0228820245398)</v>
      </c>
    </row>
    <row r="51" spans="1:18" x14ac:dyDescent="0.2">
      <c r="A51" s="8">
        <f t="shared" si="13"/>
        <v>401.5230639308632</v>
      </c>
      <c r="B51">
        <v>9.42</v>
      </c>
      <c r="C51">
        <v>906</v>
      </c>
      <c r="D51">
        <v>13.61</v>
      </c>
      <c r="E51" s="1">
        <f t="shared" si="14"/>
        <v>88.144665985444249</v>
      </c>
      <c r="F51" s="1"/>
      <c r="G51" s="9">
        <f t="shared" si="15"/>
        <v>1.6801690119264812E-6</v>
      </c>
      <c r="H51" s="1">
        <f t="shared" si="16"/>
        <v>89.027303720223387</v>
      </c>
      <c r="I51" s="8">
        <f t="shared" si="17"/>
        <v>1.1170188992925385</v>
      </c>
      <c r="J51" s="8">
        <f t="shared" si="18"/>
        <v>0.18008664801854604</v>
      </c>
      <c r="K51" s="8">
        <f t="shared" si="19"/>
        <v>365.18207345261425</v>
      </c>
      <c r="L51" s="2">
        <f t="shared" si="20"/>
        <v>2.3599999999999996E-12</v>
      </c>
      <c r="M51" s="2">
        <f t="shared" si="21"/>
        <v>2.5873728968269139E-4</v>
      </c>
      <c r="N51" s="10">
        <f t="shared" si="22"/>
        <v>1.4367377733414506E-3</v>
      </c>
      <c r="O51">
        <f t="shared" si="23"/>
        <v>1.6048632461498798E-3</v>
      </c>
      <c r="P51" s="11">
        <f t="shared" si="24"/>
        <v>89.155396646282327</v>
      </c>
      <c r="R51" t="str">
        <f t="shared" si="25"/>
        <v>(0.401523063930863,89.1553966462823)</v>
      </c>
    </row>
    <row r="52" spans="1:18" x14ac:dyDescent="0.2">
      <c r="A52" s="8">
        <f t="shared" si="13"/>
        <v>587.0910339620998</v>
      </c>
      <c r="B52">
        <v>9.42</v>
      </c>
      <c r="C52">
        <v>1303.5999999999999</v>
      </c>
      <c r="D52">
        <v>19.899999999999999</v>
      </c>
      <c r="E52" s="1">
        <f t="shared" si="14"/>
        <v>89.572528418897662</v>
      </c>
      <c r="F52" s="1"/>
      <c r="G52" s="9">
        <f t="shared" si="15"/>
        <v>1.6801690119264812E-6</v>
      </c>
      <c r="H52" s="1">
        <f t="shared" si="16"/>
        <v>90.48414151811582</v>
      </c>
      <c r="I52" s="8">
        <f t="shared" si="17"/>
        <v>1.099034362708039</v>
      </c>
      <c r="J52" s="8">
        <f t="shared" si="18"/>
        <v>0.37881063848910418</v>
      </c>
      <c r="K52" s="8">
        <f t="shared" si="19"/>
        <v>768.15719505820039</v>
      </c>
      <c r="L52" s="2">
        <f t="shared" si="20"/>
        <v>2.3599999999999996E-12</v>
      </c>
      <c r="M52" s="2">
        <f t="shared" si="21"/>
        <v>5.5315765511076433E-4</v>
      </c>
      <c r="N52" s="10">
        <f t="shared" si="22"/>
        <v>1.4602484695705688E-3</v>
      </c>
      <c r="O52">
        <f t="shared" si="23"/>
        <v>1.6048632461498791E-3</v>
      </c>
      <c r="P52" s="11">
        <f t="shared" si="24"/>
        <v>90.616464071093532</v>
      </c>
      <c r="R52" t="str">
        <f t="shared" si="25"/>
        <v>(0.5870910339621,90.6164640710935)</v>
      </c>
    </row>
    <row r="53" spans="1:18" x14ac:dyDescent="0.2">
      <c r="A53" s="8">
        <f t="shared" si="13"/>
        <v>811.30670522400715</v>
      </c>
      <c r="B53">
        <v>9.42</v>
      </c>
      <c r="C53">
        <v>1816</v>
      </c>
      <c r="D53">
        <v>27.5</v>
      </c>
      <c r="E53" s="1">
        <f t="shared" si="14"/>
        <v>88.855222458356266</v>
      </c>
      <c r="F53" s="1"/>
      <c r="G53" s="9">
        <f t="shared" si="15"/>
        <v>1.6801690119264812E-6</v>
      </c>
      <c r="H53" s="1">
        <f t="shared" si="16"/>
        <v>89.752220310347624</v>
      </c>
      <c r="I53" s="8">
        <f t="shared" si="17"/>
        <v>1.1079968881514266</v>
      </c>
      <c r="J53" s="8">
        <f t="shared" si="18"/>
        <v>0.72930412721859106</v>
      </c>
      <c r="K53" s="8">
        <f t="shared" si="19"/>
        <v>1478.892501390812</v>
      </c>
      <c r="L53" s="2">
        <f t="shared" si="20"/>
        <v>2.3599999999999996E-12</v>
      </c>
      <c r="M53" s="2">
        <f t="shared" si="21"/>
        <v>1.0563507908323416E-3</v>
      </c>
      <c r="N53" s="10">
        <f t="shared" si="22"/>
        <v>1.4484366006004053E-3</v>
      </c>
      <c r="O53">
        <f t="shared" si="23"/>
        <v>1.60486324614988E-3</v>
      </c>
      <c r="P53" s="11">
        <f t="shared" si="24"/>
        <v>89.882409281701385</v>
      </c>
      <c r="R53" t="str">
        <f t="shared" si="25"/>
        <v>(0.811306705224007,89.8824092817014)</v>
      </c>
    </row>
    <row r="54" spans="1:18" x14ac:dyDescent="0.2">
      <c r="A54" s="8">
        <f t="shared" si="13"/>
        <v>985.36887107206701</v>
      </c>
      <c r="B54">
        <v>9.42</v>
      </c>
      <c r="C54">
        <v>2200</v>
      </c>
      <c r="D54">
        <v>33.4</v>
      </c>
      <c r="E54" s="1">
        <f t="shared" si="14"/>
        <v>89.081986860795439</v>
      </c>
      <c r="F54" s="1"/>
      <c r="G54" s="9">
        <f t="shared" si="15"/>
        <v>1.6801690119264812E-6</v>
      </c>
      <c r="H54" s="1">
        <f t="shared" si="16"/>
        <v>89.983592185396247</v>
      </c>
      <c r="I54" s="8">
        <f t="shared" si="17"/>
        <v>1.1051479318991417</v>
      </c>
      <c r="J54" s="8">
        <f t="shared" si="18"/>
        <v>1.0730453870915488</v>
      </c>
      <c r="K54" s="8">
        <f t="shared" si="19"/>
        <v>2175.9355492390523</v>
      </c>
      <c r="L54" s="2">
        <f t="shared" si="20"/>
        <v>2.3599999999999996E-12</v>
      </c>
      <c r="M54" s="2">
        <f t="shared" si="21"/>
        <v>1.5582448769863497E-3</v>
      </c>
      <c r="N54" s="10">
        <f t="shared" si="22"/>
        <v>1.4521705192824291E-3</v>
      </c>
      <c r="O54">
        <f t="shared" si="23"/>
        <v>1.6048632461498793E-3</v>
      </c>
      <c r="P54" s="11">
        <f t="shared" si="24"/>
        <v>90.114453738476499</v>
      </c>
      <c r="R54" t="str">
        <f t="shared" si="25"/>
        <v>(0.985368871072067,90.1144537384765)</v>
      </c>
    </row>
    <row r="55" spans="1:18" x14ac:dyDescent="0.2">
      <c r="A55" s="8">
        <f t="shared" si="13"/>
        <v>1072.3999539960969</v>
      </c>
      <c r="B55">
        <v>9.42</v>
      </c>
      <c r="C55">
        <v>2408</v>
      </c>
      <c r="D55">
        <v>36.35</v>
      </c>
      <c r="E55" s="1">
        <f t="shared" si="14"/>
        <v>88.575587478586996</v>
      </c>
      <c r="F55" s="1"/>
      <c r="G55" s="9">
        <f t="shared" si="15"/>
        <v>1.6801690119264812E-6</v>
      </c>
      <c r="H55" s="1">
        <f t="shared" si="16"/>
        <v>89.466920031158224</v>
      </c>
      <c r="I55" s="8">
        <f t="shared" si="17"/>
        <v>1.1115301697422146</v>
      </c>
      <c r="J55" s="8">
        <f t="shared" si="18"/>
        <v>1.2783060030296767</v>
      </c>
      <c r="K55" s="8">
        <f t="shared" si="19"/>
        <v>2592.1657259411409</v>
      </c>
      <c r="L55" s="2">
        <f t="shared" si="20"/>
        <v>2.3599999999999996E-12</v>
      </c>
      <c r="M55" s="2">
        <f t="shared" si="21"/>
        <v>1.8456595938109975E-3</v>
      </c>
      <c r="N55" s="10">
        <f t="shared" si="22"/>
        <v>1.4438323761577058E-3</v>
      </c>
      <c r="O55">
        <f t="shared" si="23"/>
        <v>1.6048632461498798E-3</v>
      </c>
      <c r="P55" s="11">
        <f t="shared" si="24"/>
        <v>89.596282043956634</v>
      </c>
      <c r="R55" t="str">
        <f t="shared" si="25"/>
        <v>(1.0723999539961,89.5962820439566)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5FA7-D768-C548-A5AE-79DF77F62E13}">
  <dimension ref="A1:R55"/>
  <sheetViews>
    <sheetView workbookViewId="0">
      <selection activeCell="B7" sqref="B7"/>
    </sheetView>
  </sheetViews>
  <sheetFormatPr baseColWidth="10" defaultColWidth="11" defaultRowHeight="16" x14ac:dyDescent="0.2"/>
  <sheetData>
    <row r="1" spans="1:12" x14ac:dyDescent="0.2">
      <c r="A1" t="s">
        <v>0</v>
      </c>
      <c r="B1">
        <v>10</v>
      </c>
      <c r="C1" t="s">
        <v>1</v>
      </c>
    </row>
    <row r="2" spans="1:12" x14ac:dyDescent="0.2">
      <c r="A2" t="s">
        <v>2</v>
      </c>
      <c r="B2" t="s">
        <v>62</v>
      </c>
    </row>
    <row r="3" spans="1:12" x14ac:dyDescent="0.2">
      <c r="A3" t="s">
        <v>4</v>
      </c>
      <c r="B3">
        <v>1101</v>
      </c>
    </row>
    <row r="4" spans="1:12" x14ac:dyDescent="0.2">
      <c r="A4" t="s">
        <v>5</v>
      </c>
      <c r="B4">
        <v>4</v>
      </c>
      <c r="C4" t="s">
        <v>63</v>
      </c>
    </row>
    <row r="5" spans="1:12" x14ac:dyDescent="0.2">
      <c r="A5" t="s">
        <v>51</v>
      </c>
      <c r="B5" t="s">
        <v>63</v>
      </c>
    </row>
    <row r="6" spans="1:12" x14ac:dyDescent="0.2">
      <c r="A6" t="s">
        <v>6</v>
      </c>
      <c r="B6">
        <v>210.7</v>
      </c>
      <c r="C6" t="s">
        <v>7</v>
      </c>
    </row>
    <row r="7" spans="1:12" x14ac:dyDescent="0.2">
      <c r="A7" t="s">
        <v>8</v>
      </c>
      <c r="B7" s="1">
        <f>B6*10*10^6*2*PI()*10^-9</f>
        <v>13.238671442227389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</row>
    <row r="9" spans="1:12" x14ac:dyDescent="0.2">
      <c r="A9" t="s">
        <v>13</v>
      </c>
      <c r="B9">
        <f>981.7+214.2</f>
        <v>1195.9000000000001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/>
      <c r="C10" t="s">
        <v>14</v>
      </c>
      <c r="F10" s="2" t="e">
        <f>1/(F9*B10*10^-12)</f>
        <v>#DIV/0!</v>
      </c>
      <c r="G10" s="2"/>
      <c r="H10" s="2"/>
    </row>
    <row r="11" spans="1:12" x14ac:dyDescent="0.2">
      <c r="A11" t="s">
        <v>16</v>
      </c>
      <c r="F11" s="2"/>
      <c r="G11" s="2"/>
      <c r="H11" s="2"/>
    </row>
    <row r="12" spans="1:12" x14ac:dyDescent="0.2">
      <c r="A12" t="s">
        <v>17</v>
      </c>
      <c r="B12" s="3"/>
      <c r="C12" t="s">
        <v>14</v>
      </c>
      <c r="F12" s="2" t="e">
        <f>1/(F9*B12*10^-12)</f>
        <v>#DIV/0!</v>
      </c>
      <c r="G12" s="2"/>
      <c r="H12" s="2" t="e">
        <f>F12/(F12+F10)</f>
        <v>#DIV/0!</v>
      </c>
      <c r="L12" t="e">
        <f>1/(30*10^6*2*PI()*B10*10^-12)</f>
        <v>#DIV/0!</v>
      </c>
    </row>
    <row r="13" spans="1:12" x14ac:dyDescent="0.2">
      <c r="A13" t="s">
        <v>18</v>
      </c>
      <c r="L13" t="e">
        <f>55.8-L12</f>
        <v>#DIV/0!</v>
      </c>
    </row>
    <row r="14" spans="1:12" x14ac:dyDescent="0.2">
      <c r="A14" t="s">
        <v>19</v>
      </c>
      <c r="B14" s="4">
        <f>(1/(2*PI()*SQRT(B9*10^-12*B6*10^-9)))/10^6</f>
        <v>10.026293899755109</v>
      </c>
      <c r="C14" t="s">
        <v>1</v>
      </c>
    </row>
    <row r="15" spans="1:12" x14ac:dyDescent="0.2">
      <c r="A15" t="s">
        <v>20</v>
      </c>
      <c r="B15" s="5">
        <f>0.635*PI()*((1.27/2)^2-(0.79/2)^2)</f>
        <v>0.49314208201929699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B$9*10^-12*D18*2*B18*10^6*1000*PI()*0.5</f>
        <v>364.42032668449048</v>
      </c>
      <c r="B18">
        <v>9.69</v>
      </c>
      <c r="C18">
        <v>84.2</v>
      </c>
      <c r="D18">
        <v>10.01</v>
      </c>
      <c r="E18" s="1">
        <f>D18*1000/(C18)</f>
        <v>118.88361045130641</v>
      </c>
      <c r="F18" s="1"/>
      <c r="G18" s="9">
        <f>1/($B$9*10^-12*(2*PI()*B18*10^6)^2)</f>
        <v>2.2557857211376152E-7</v>
      </c>
      <c r="H18" s="1" t="e">
        <f>(2*PI()*B18*10^6*G18)/((C18/(D18*1000))*SQRT($B$13^2 + (1/(2*PI()*B18*10^6*$B$12*10^-12))^2) - $B$11 - $B$13)</f>
        <v>#DIV/0!</v>
      </c>
      <c r="I18" s="8">
        <f>(2*PI()*B18*10^6*G18)/E18</f>
        <v>0.11552593781753982</v>
      </c>
      <c r="J18" s="8">
        <f>I18*(A18/1000)^2</f>
        <v>1.5342095753417048E-2</v>
      </c>
      <c r="K18" s="8">
        <f>J18/B$15*1000</f>
        <v>31.110903556627928</v>
      </c>
      <c r="L18" s="2">
        <f xml:space="preserve"> (4*8.85*10^-12*0.01*0.01)/0.0015</f>
        <v>2.3599999999999996E-12</v>
      </c>
      <c r="M18" s="2">
        <f>0.5*D18*D18*2*PI()*B18*10^6*L18*0.02</f>
        <v>1.4397391135485791E-4</v>
      </c>
      <c r="N18" s="10">
        <f>M18/J18</f>
        <v>9.3842401761044612E-3</v>
      </c>
      <c r="O18">
        <f>M18/((A18/1000)^2)</f>
        <v>1.084123147049503E-3</v>
      </c>
      <c r="P18" s="11">
        <f>2*PI()*B18*10^6*G18/(I18-O18)</f>
        <v>120.00981134445173</v>
      </c>
      <c r="R18" t="str">
        <f>_xlfn.CONCAT("(",A18/1000,",",E18,")")</f>
        <v>(0.36442032668449,118.883610451306)</v>
      </c>
    </row>
    <row r="19" spans="1:18" x14ac:dyDescent="0.2">
      <c r="A19" s="8">
        <f t="shared" ref="A19:A26" si="0">B$9*10^-12*D19*2*B19*10^6*1000*PI()*0.5</f>
        <v>452.15788785428293</v>
      </c>
      <c r="B19">
        <v>9.69</v>
      </c>
      <c r="C19">
        <v>105</v>
      </c>
      <c r="D19">
        <v>12.42</v>
      </c>
      <c r="E19" s="1">
        <f t="shared" ref="E19:E26" si="1">D19*1000/(C19)</f>
        <v>118.28571428571429</v>
      </c>
      <c r="F19" s="1"/>
      <c r="G19" s="9">
        <f t="shared" ref="G19:G24" si="2">1/($B$9*10^-12*(2*PI()*B19*10^6)^2)</f>
        <v>2.2557857211376152E-7</v>
      </c>
      <c r="H19" s="1" t="e">
        <f>(2*PI()*B19*10^6*G19)/((C19/(D19*1000))*SQRT($B$13^2 + (1/(2*PI()*B19*10^6*$B$12*10^-12))^2) - $B$11 - $B$13)</f>
        <v>#DIV/0!</v>
      </c>
      <c r="I19" s="8">
        <f t="shared" ref="I19:I24" si="3">(2*PI()*B19*10^6*G19)/E19</f>
        <v>0.11610988420248279</v>
      </c>
      <c r="J19" s="8">
        <f t="shared" ref="J19:J24" si="4">I19*(A19/1000)^2</f>
        <v>2.3738289112349854E-2</v>
      </c>
      <c r="K19" s="8">
        <f t="shared" ref="K19:K24" si="5">J19/B$15*1000</f>
        <v>48.136814881316418</v>
      </c>
      <c r="L19" s="2">
        <f t="shared" ref="L19:L24" si="6" xml:space="preserve"> (4*8.85*10^-12*0.01*0.01)/0.0015</f>
        <v>2.3599999999999996E-12</v>
      </c>
      <c r="M19" s="2">
        <f t="shared" ref="M19:M24" si="7">0.5*D19*D19*2*PI()*B19*10^6*L19*0.02</f>
        <v>2.2164546002967564E-4</v>
      </c>
      <c r="N19" s="10">
        <f t="shared" ref="N19:N24" si="8">M19/J19</f>
        <v>9.3370444255969787E-3</v>
      </c>
      <c r="O19">
        <f t="shared" ref="O19:O24" si="9">M19/((A19/1000)^2)</f>
        <v>1.0841231470495026E-3</v>
      </c>
      <c r="P19" s="11">
        <f t="shared" ref="P19:P24" si="10">2*PI()*B19*10^6*G19/(I19-O19)</f>
        <v>119.40056264355847</v>
      </c>
      <c r="R19" t="str">
        <f t="shared" ref="R19:R24" si="11">_xlfn.CONCAT("(",A19/1000,",",E19,")")</f>
        <v>(0.452157887854283,118.285714285714)</v>
      </c>
    </row>
    <row r="20" spans="1:18" x14ac:dyDescent="0.2">
      <c r="A20" s="8">
        <f t="shared" si="0"/>
        <v>592.68360823411638</v>
      </c>
      <c r="B20">
        <v>9.69</v>
      </c>
      <c r="C20">
        <v>139.6</v>
      </c>
      <c r="D20">
        <v>16.28</v>
      </c>
      <c r="E20" s="1">
        <f t="shared" si="1"/>
        <v>116.61891117478511</v>
      </c>
      <c r="F20" s="1"/>
      <c r="G20" s="9">
        <f t="shared" si="2"/>
        <v>2.2557857211376152E-7</v>
      </c>
      <c r="H20" s="1" t="e">
        <f t="shared" ref="H20:H24" si="12">(2*PI()*B20*10^6*G20)/((C20/(D20*1000))*SQRT($B$13^2 + (1/(2*PI()*B20*10^6*$B$12*10^-12))^2) - $B$11 - $B$13)</f>
        <v>#DIV/0!</v>
      </c>
      <c r="I20" s="8">
        <f t="shared" si="3"/>
        <v>0.11776941192614902</v>
      </c>
      <c r="J20" s="8">
        <f t="shared" si="4"/>
        <v>4.1369315854741309E-2</v>
      </c>
      <c r="K20" s="8">
        <f t="shared" si="5"/>
        <v>83.889242802690887</v>
      </c>
      <c r="L20" s="2">
        <f t="shared" si="6"/>
        <v>2.3599999999999996E-12</v>
      </c>
      <c r="M20" s="2">
        <f t="shared" si="7"/>
        <v>3.8082412200420344E-4</v>
      </c>
      <c r="N20" s="10">
        <f t="shared" si="8"/>
        <v>9.2054730453212819E-3</v>
      </c>
      <c r="O20">
        <f t="shared" si="9"/>
        <v>1.0841231470495034E-3</v>
      </c>
      <c r="P20" s="11">
        <f t="shared" si="10"/>
        <v>117.70241760743954</v>
      </c>
      <c r="R20" t="str">
        <f t="shared" si="11"/>
        <v>(0.592683608234116,116.618911174785)</v>
      </c>
    </row>
    <row r="21" spans="1:18" x14ac:dyDescent="0.2">
      <c r="A21" s="8">
        <f t="shared" si="0"/>
        <v>826.77179011036753</v>
      </c>
      <c r="B21">
        <v>9.69</v>
      </c>
      <c r="C21">
        <v>196.8</v>
      </c>
      <c r="D21">
        <v>22.71</v>
      </c>
      <c r="E21" s="1">
        <f t="shared" si="1"/>
        <v>115.39634146341463</v>
      </c>
      <c r="F21" s="1"/>
      <c r="G21" s="9">
        <f t="shared" si="2"/>
        <v>2.2557857211376152E-7</v>
      </c>
      <c r="H21" s="1" t="e">
        <f t="shared" si="12"/>
        <v>#DIV/0!</v>
      </c>
      <c r="I21" s="8">
        <f t="shared" si="3"/>
        <v>0.11901712319776218</v>
      </c>
      <c r="J21" s="8">
        <f t="shared" si="4"/>
        <v>8.1354344146860158E-2</v>
      </c>
      <c r="K21" s="8">
        <f t="shared" si="5"/>
        <v>164.97140907896946</v>
      </c>
      <c r="L21" s="2">
        <f t="shared" si="6"/>
        <v>2.3599999999999996E-12</v>
      </c>
      <c r="M21" s="2">
        <f t="shared" si="7"/>
        <v>7.4105410408962635E-4</v>
      </c>
      <c r="N21" s="10">
        <f t="shared" si="8"/>
        <v>9.1089678352256377E-3</v>
      </c>
      <c r="O21">
        <f t="shared" si="9"/>
        <v>1.084123147049503E-3</v>
      </c>
      <c r="P21" s="11">
        <f t="shared" si="10"/>
        <v>116.45714585922852</v>
      </c>
      <c r="R21" t="str">
        <f t="shared" si="11"/>
        <v>(0.826771790110367,115.396341463415)</v>
      </c>
    </row>
    <row r="22" spans="1:18" x14ac:dyDescent="0.2">
      <c r="A22" s="8">
        <f t="shared" si="0"/>
        <v>1179.5423161416074</v>
      </c>
      <c r="B22">
        <v>9.69</v>
      </c>
      <c r="C22">
        <v>285.8</v>
      </c>
      <c r="D22">
        <v>32.4</v>
      </c>
      <c r="E22" s="1">
        <f t="shared" si="1"/>
        <v>113.36599020293912</v>
      </c>
      <c r="F22" s="1"/>
      <c r="G22" s="9">
        <f t="shared" si="2"/>
        <v>2.2557857211376152E-7</v>
      </c>
      <c r="H22" s="1" t="e">
        <f t="shared" si="12"/>
        <v>#DIV/0!</v>
      </c>
      <c r="I22" s="8">
        <f t="shared" si="3"/>
        <v>0.12114868457406357</v>
      </c>
      <c r="J22" s="8">
        <f t="shared" si="4"/>
        <v>0.16855659697663566</v>
      </c>
      <c r="K22" s="8">
        <f t="shared" si="5"/>
        <v>341.80128430012979</v>
      </c>
      <c r="L22" s="2">
        <f t="shared" si="6"/>
        <v>2.3599999999999996E-12</v>
      </c>
      <c r="M22" s="2">
        <f t="shared" si="7"/>
        <v>1.5083622988786999E-3</v>
      </c>
      <c r="N22" s="10">
        <f t="shared" si="8"/>
        <v>8.9486992851889411E-3</v>
      </c>
      <c r="O22">
        <f t="shared" si="9"/>
        <v>1.084123147049503E-3</v>
      </c>
      <c r="P22" s="11">
        <f t="shared" si="10"/>
        <v>114.38962859054031</v>
      </c>
      <c r="R22" t="str">
        <f t="shared" si="11"/>
        <v>(1.17954231614161,113.365990202939)</v>
      </c>
    </row>
    <row r="23" spans="1:18" x14ac:dyDescent="0.2">
      <c r="A23" s="8">
        <f t="shared" si="0"/>
        <v>1731.0875658189336</v>
      </c>
      <c r="B23">
        <v>9.69</v>
      </c>
      <c r="C23">
        <v>426.2</v>
      </c>
      <c r="D23">
        <v>47.55</v>
      </c>
      <c r="E23" s="1">
        <f t="shared" si="1"/>
        <v>111.56733927733458</v>
      </c>
      <c r="F23" s="1"/>
      <c r="G23" s="9">
        <f t="shared" si="2"/>
        <v>2.2557857211376152E-7</v>
      </c>
      <c r="H23" s="1" t="e">
        <f t="shared" si="12"/>
        <v>#DIV/0!</v>
      </c>
      <c r="I23" s="8">
        <f t="shared" si="3"/>
        <v>0.12310180270932038</v>
      </c>
      <c r="J23" s="8">
        <f t="shared" si="4"/>
        <v>0.36889476027601475</v>
      </c>
      <c r="K23" s="8">
        <f t="shared" si="5"/>
        <v>748.04964679850548</v>
      </c>
      <c r="L23" s="2">
        <f t="shared" si="6"/>
        <v>2.3599999999999996E-12</v>
      </c>
      <c r="M23" s="2">
        <f t="shared" si="7"/>
        <v>3.2487529803674055E-3</v>
      </c>
      <c r="N23" s="10">
        <f t="shared" si="8"/>
        <v>8.8067203175686767E-3</v>
      </c>
      <c r="O23">
        <f t="shared" si="9"/>
        <v>1.0841231470495026E-3</v>
      </c>
      <c r="P23" s="11">
        <f t="shared" si="10"/>
        <v>112.55861148804365</v>
      </c>
      <c r="R23" t="str">
        <f t="shared" si="11"/>
        <v>(1.73108756581893,111.567339277335)</v>
      </c>
    </row>
    <row r="24" spans="1:18" x14ac:dyDescent="0.2">
      <c r="A24" s="8">
        <f t="shared" si="0"/>
        <v>2488.324608280212</v>
      </c>
      <c r="B24">
        <v>9.69</v>
      </c>
      <c r="C24">
        <v>630</v>
      </c>
      <c r="D24">
        <v>68.349999999999994</v>
      </c>
      <c r="E24" s="1">
        <f t="shared" si="1"/>
        <v>108.49206349206349</v>
      </c>
      <c r="F24" s="1"/>
      <c r="G24" s="9">
        <f t="shared" si="2"/>
        <v>2.2557857211376152E-7</v>
      </c>
      <c r="H24" s="1" t="e">
        <f t="shared" si="12"/>
        <v>#DIV/0!</v>
      </c>
      <c r="I24" s="8">
        <f t="shared" si="3"/>
        <v>0.12659120074278007</v>
      </c>
      <c r="J24" s="8">
        <f t="shared" si="4"/>
        <v>0.78382225160826646</v>
      </c>
      <c r="K24" s="8">
        <f t="shared" si="5"/>
        <v>1589.4450710811473</v>
      </c>
      <c r="L24" s="2">
        <f t="shared" si="6"/>
        <v>2.3599999999999996E-12</v>
      </c>
      <c r="M24" s="2">
        <f t="shared" si="7"/>
        <v>6.7126296389873373E-3</v>
      </c>
      <c r="N24" s="10">
        <f t="shared" si="8"/>
        <v>8.5639692228871959E-3</v>
      </c>
      <c r="O24">
        <f t="shared" si="9"/>
        <v>1.0841231470495032E-3</v>
      </c>
      <c r="P24" s="11">
        <f t="shared" si="10"/>
        <v>109.4292118948155</v>
      </c>
      <c r="R24" t="str">
        <f t="shared" si="11"/>
        <v>(2.48832460828021,108.492063492063)</v>
      </c>
    </row>
    <row r="25" spans="1:18" x14ac:dyDescent="0.2">
      <c r="A25" s="8">
        <f t="shared" si="0"/>
        <v>3181.8518034190279</v>
      </c>
      <c r="B25">
        <v>9.69</v>
      </c>
      <c r="C25">
        <v>832</v>
      </c>
      <c r="D25">
        <v>87.4</v>
      </c>
      <c r="E25" s="1">
        <f t="shared" si="1"/>
        <v>105.04807692307692</v>
      </c>
      <c r="F25" s="1"/>
      <c r="G25" s="9"/>
      <c r="H25" s="1"/>
      <c r="I25" s="8"/>
      <c r="J25" s="8"/>
      <c r="K25" s="8"/>
      <c r="L25" s="2"/>
      <c r="M25" s="2"/>
      <c r="N25" s="10"/>
      <c r="P25" s="11"/>
    </row>
    <row r="26" spans="1:18" x14ac:dyDescent="0.2">
      <c r="A26" s="8">
        <f t="shared" si="0"/>
        <v>3615.0787652117788</v>
      </c>
      <c r="B26">
        <v>9.69</v>
      </c>
      <c r="C26">
        <v>990</v>
      </c>
      <c r="D26">
        <v>99.3</v>
      </c>
      <c r="E26" s="1">
        <f t="shared" si="1"/>
        <v>100.3030303030303</v>
      </c>
      <c r="F26" s="1"/>
      <c r="G26" s="9"/>
      <c r="H26" s="1"/>
      <c r="I26" s="8"/>
      <c r="J26" s="8"/>
      <c r="K26" s="8"/>
      <c r="L26" s="2"/>
      <c r="M26" s="2"/>
      <c r="N26" s="10"/>
      <c r="P26" s="11"/>
    </row>
    <row r="30" spans="1:18" x14ac:dyDescent="0.2">
      <c r="A30" t="s">
        <v>0</v>
      </c>
      <c r="B30">
        <v>10</v>
      </c>
      <c r="C30" t="s">
        <v>1</v>
      </c>
    </row>
    <row r="31" spans="1:18" x14ac:dyDescent="0.2">
      <c r="A31" t="s">
        <v>2</v>
      </c>
      <c r="B31" t="s">
        <v>35</v>
      </c>
    </row>
    <row r="32" spans="1:18" x14ac:dyDescent="0.2">
      <c r="A32" t="s">
        <v>4</v>
      </c>
    </row>
    <row r="33" spans="1:18" x14ac:dyDescent="0.2">
      <c r="A33" t="s">
        <v>5</v>
      </c>
      <c r="B33">
        <v>16</v>
      </c>
    </row>
    <row r="34" spans="1:18" x14ac:dyDescent="0.2">
      <c r="A34" t="s">
        <v>51</v>
      </c>
      <c r="B34">
        <v>22</v>
      </c>
    </row>
    <row r="35" spans="1:18" x14ac:dyDescent="0.2">
      <c r="A35" t="s">
        <v>6</v>
      </c>
      <c r="B35">
        <v>209.8</v>
      </c>
      <c r="C35" t="s">
        <v>7</v>
      </c>
    </row>
    <row r="36" spans="1:18" x14ac:dyDescent="0.2">
      <c r="A36" t="s">
        <v>8</v>
      </c>
      <c r="B36" s="1">
        <f>B35*10*10^6*2*PI()*10^-9</f>
        <v>13.182122774462773</v>
      </c>
      <c r="D36" t="s">
        <v>9</v>
      </c>
      <c r="E36" t="s">
        <v>10</v>
      </c>
    </row>
    <row r="37" spans="1:18" x14ac:dyDescent="0.2">
      <c r="A37" t="s">
        <v>11</v>
      </c>
      <c r="B37" t="s">
        <v>12</v>
      </c>
    </row>
    <row r="38" spans="1:18" x14ac:dyDescent="0.2">
      <c r="A38" t="s">
        <v>13</v>
      </c>
      <c r="B38">
        <f>981.7+214.2</f>
        <v>1195.9000000000001</v>
      </c>
      <c r="C38" t="s">
        <v>14</v>
      </c>
      <c r="F38" s="2">
        <f>30*10^6*2*PI()</f>
        <v>188495559.21538758</v>
      </c>
      <c r="G38" s="2"/>
    </row>
    <row r="39" spans="1:18" x14ac:dyDescent="0.2">
      <c r="A39" t="s">
        <v>15</v>
      </c>
      <c r="B39" s="3"/>
      <c r="C39" t="s">
        <v>14</v>
      </c>
      <c r="F39" s="2" t="e">
        <f>1/(F38*B39*10^-12)</f>
        <v>#DIV/0!</v>
      </c>
      <c r="G39" s="2"/>
    </row>
    <row r="40" spans="1:18" x14ac:dyDescent="0.2">
      <c r="A40" t="s">
        <v>16</v>
      </c>
      <c r="B40">
        <f>(0.00717*0.004015)/((0.00717+0.004015))</f>
        <v>2.5737639696021457E-3</v>
      </c>
      <c r="F40" s="2"/>
      <c r="G40" s="2"/>
    </row>
    <row r="41" spans="1:18" x14ac:dyDescent="0.2">
      <c r="A41" t="s">
        <v>17</v>
      </c>
      <c r="B41" s="3"/>
      <c r="C41" t="s">
        <v>14</v>
      </c>
      <c r="F41" s="2" t="e">
        <f>1/(F38*B41*10^-12)</f>
        <v>#DIV/0!</v>
      </c>
      <c r="G41" s="2"/>
      <c r="L41" t="e">
        <f>1/(30*10^6*2*PI()*B39*10^-12)</f>
        <v>#DIV/0!</v>
      </c>
    </row>
    <row r="42" spans="1:18" x14ac:dyDescent="0.2">
      <c r="A42" t="s">
        <v>18</v>
      </c>
      <c r="L42" t="e">
        <f>55.8-L41</f>
        <v>#DIV/0!</v>
      </c>
    </row>
    <row r="43" spans="1:18" x14ac:dyDescent="0.2">
      <c r="A43" t="s">
        <v>19</v>
      </c>
      <c r="B43" s="4">
        <f>(1/(2*PI()*SQRT(B38*10^-12*B35*10^-9)))/10^6</f>
        <v>10.047776282459678</v>
      </c>
      <c r="C43" t="s">
        <v>1</v>
      </c>
    </row>
    <row r="44" spans="1:18" x14ac:dyDescent="0.2">
      <c r="A44" t="s">
        <v>20</v>
      </c>
      <c r="B44" s="5">
        <f>0.635*PI()*((1.27/2)^2-(0.79/2)^2)</f>
        <v>0.49314208201929699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B$38*10^-12*D47*2*B47*10^6*1000*PI()*0.5</f>
        <v>345.88276173247726</v>
      </c>
      <c r="B47">
        <v>9.56</v>
      </c>
      <c r="C47">
        <v>138.19999999999999</v>
      </c>
      <c r="D47">
        <v>9.6300000000000008</v>
      </c>
      <c r="E47" s="1">
        <f>D47*1000/(C47)</f>
        <v>69.681620839363248</v>
      </c>
      <c r="F47" s="1"/>
      <c r="G47" s="9">
        <f>1/($B$9*10^-12*(2*PI()*B47*10^6)^2)</f>
        <v>2.3175526694485131E-7</v>
      </c>
      <c r="H47" s="1" t="e">
        <f>(2*PI()*B47*10^6*G47)/((C47/(D47*1000))*SQRT($B$13^2 + (1/(2*PI()*B47*10^6*$B$12*10^-12))^2) - $B$11 - $B$13)</f>
        <v>#DIV/0!</v>
      </c>
      <c r="I47" s="8">
        <f>(2*PI()*B47*10^6*G47)/E47</f>
        <v>0.19977867545028266</v>
      </c>
      <c r="J47" s="8">
        <f>I47*(A47/1000)^2</f>
        <v>2.3900498835714188E-2</v>
      </c>
      <c r="K47" s="8">
        <f>J47/B$15*1000</f>
        <v>48.465745891827872</v>
      </c>
      <c r="L47" s="2">
        <f xml:space="preserve"> (4*8.85*10^-12*0.01*0.01)/0.0015</f>
        <v>2.3599999999999996E-12</v>
      </c>
      <c r="M47" s="2">
        <f>0.5*D47*D47*2*PI()*B47*10^6*L47*0.02</f>
        <v>1.3146263649705935E-4</v>
      </c>
      <c r="N47" s="10">
        <f>M47/J47</f>
        <v>5.5004139202574518E-3</v>
      </c>
      <c r="O47">
        <f>M47/((A47/1000)^2)</f>
        <v>1.0988654074173304E-3</v>
      </c>
      <c r="P47" s="11">
        <f>2*PI()*B47*10^6*G47/(I47-O47)</f>
        <v>70.067018442957817</v>
      </c>
      <c r="R47" t="str">
        <f>_xlfn.CONCAT("(",A47/1000,",",E47,")")</f>
        <v>(0.345882761732477,69.6816208393632)</v>
      </c>
    </row>
    <row r="48" spans="1:18" x14ac:dyDescent="0.2">
      <c r="A48" s="8">
        <f t="shared" ref="A48:A55" si="13">B$38*10^-12*D48*2*B48*10^6*1000*PI()*0.5</f>
        <v>431.00655667598397</v>
      </c>
      <c r="B48">
        <v>9.56</v>
      </c>
      <c r="C48">
        <v>173.2</v>
      </c>
      <c r="D48">
        <v>12</v>
      </c>
      <c r="E48" s="1">
        <f t="shared" ref="E48:E55" si="14">D48*1000/(C48)</f>
        <v>69.284064665127019</v>
      </c>
      <c r="F48" s="1"/>
      <c r="G48" s="9">
        <f t="shared" ref="G48:G55" si="15">1/($B$9*10^-12*(2*PI()*B48*10^6)^2)</f>
        <v>2.3175526694485131E-7</v>
      </c>
      <c r="H48" s="1" t="e">
        <f t="shared" ref="H48:H55" si="16">(2*PI()*B48*10^6*G48)/((C48/(D48*1000))*SQRT($B$13^2 + (1/(2*PI()*B48*10^6*$B$12*10^-12))^2) - $B$11 - $B$13)</f>
        <v>#DIV/0!</v>
      </c>
      <c r="I48" s="8">
        <f t="shared" ref="I48:I55" si="17">(2*PI()*B48*10^6*G48)/E48</f>
        <v>0.20092501763285919</v>
      </c>
      <c r="J48" s="8">
        <f t="shared" ref="J48:J55" si="18">I48*(A48/1000)^2</f>
        <v>3.7325167808140214E-2</v>
      </c>
      <c r="K48" s="8">
        <f t="shared" ref="K48:K55" si="19">J48/B$15*1000</f>
        <v>75.688466202889686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2.0413254762210661E-4</v>
      </c>
      <c r="N48" s="10">
        <f t="shared" ref="N48:N55" si="22">M48/J48</f>
        <v>5.469032280615428E-3</v>
      </c>
      <c r="O48">
        <f t="shared" ref="O48:O55" si="23">M48/((A48/1000)^2)</f>
        <v>1.0988654074173309E-3</v>
      </c>
      <c r="P48" s="11">
        <f t="shared" ref="P48:P55" si="24">2*PI()*B48*10^6*G48/(I48-O48)</f>
        <v>69.665065155292481</v>
      </c>
      <c r="R48" t="str">
        <f t="shared" ref="R48:R55" si="25">_xlfn.CONCAT("(",A48/1000,",",E48,")")</f>
        <v>(0.431006556675984,69.284064665127)</v>
      </c>
    </row>
    <row r="49" spans="1:18" x14ac:dyDescent="0.2">
      <c r="A49" s="8">
        <f t="shared" si="13"/>
        <v>559.59017941765262</v>
      </c>
      <c r="B49">
        <v>9.56</v>
      </c>
      <c r="C49">
        <v>227</v>
      </c>
      <c r="D49">
        <v>15.58</v>
      </c>
      <c r="E49" s="1">
        <f t="shared" si="14"/>
        <v>68.634361233480178</v>
      </c>
      <c r="F49" s="1"/>
      <c r="G49" s="9">
        <f t="shared" si="15"/>
        <v>2.3175526694485131E-7</v>
      </c>
      <c r="H49" s="1" t="e">
        <f t="shared" si="16"/>
        <v>#DIV/0!</v>
      </c>
      <c r="I49" s="8">
        <f t="shared" si="17"/>
        <v>0.20282700478788923</v>
      </c>
      <c r="J49" s="8">
        <f t="shared" si="18"/>
        <v>6.3513485363903582E-2</v>
      </c>
      <c r="K49" s="8">
        <f t="shared" si="19"/>
        <v>128.79348098590833</v>
      </c>
      <c r="L49" s="2">
        <f t="shared" si="20"/>
        <v>2.3599999999999996E-12</v>
      </c>
      <c r="M49" s="2">
        <f t="shared" si="21"/>
        <v>3.4409999814318556E-4</v>
      </c>
      <c r="N49" s="10">
        <f t="shared" si="22"/>
        <v>5.4177470527974961E-3</v>
      </c>
      <c r="O49">
        <f t="shared" si="23"/>
        <v>1.0988654074173304E-3</v>
      </c>
      <c r="P49" s="11">
        <f t="shared" si="24"/>
        <v>69.008230370187022</v>
      </c>
      <c r="R49" t="str">
        <f t="shared" si="25"/>
        <v>(0.559590179417653,68.6343612334802)</v>
      </c>
    </row>
    <row r="50" spans="1:18" x14ac:dyDescent="0.2">
      <c r="A50" s="8">
        <f t="shared" si="13"/>
        <v>774.01594136395465</v>
      </c>
      <c r="B50">
        <v>9.56</v>
      </c>
      <c r="C50">
        <v>314.60000000000002</v>
      </c>
      <c r="D50">
        <v>21.55</v>
      </c>
      <c r="E50" s="1">
        <f t="shared" si="14"/>
        <v>68.499682136045763</v>
      </c>
      <c r="F50" s="1"/>
      <c r="G50" s="9">
        <f t="shared" si="15"/>
        <v>2.3175526694485131E-7</v>
      </c>
      <c r="H50" s="1" t="e">
        <f t="shared" si="16"/>
        <v>#DIV/0!</v>
      </c>
      <c r="I50" s="8">
        <f t="shared" si="17"/>
        <v>0.20322578850612466</v>
      </c>
      <c r="J50" s="8">
        <f t="shared" si="18"/>
        <v>0.12175270757655011</v>
      </c>
      <c r="K50" s="8">
        <f t="shared" si="19"/>
        <v>246.89174178363032</v>
      </c>
      <c r="L50" s="2">
        <f t="shared" si="20"/>
        <v>2.3599999999999996E-12</v>
      </c>
      <c r="M50" s="2">
        <f t="shared" si="21"/>
        <v>6.5833101004913466E-4</v>
      </c>
      <c r="N50" s="10">
        <f t="shared" si="22"/>
        <v>5.4071159742810591E-3</v>
      </c>
      <c r="O50">
        <f t="shared" si="23"/>
        <v>1.0988654074173306E-3</v>
      </c>
      <c r="P50" s="11">
        <f t="shared" si="24"/>
        <v>68.872081467933015</v>
      </c>
      <c r="R50" t="str">
        <f t="shared" si="25"/>
        <v>(0.774015941363955,68.4996821360458)</v>
      </c>
    </row>
    <row r="51" spans="1:18" x14ac:dyDescent="0.2">
      <c r="A51" s="8">
        <f t="shared" si="13"/>
        <v>1097.2708588709427</v>
      </c>
      <c r="B51">
        <v>9.56</v>
      </c>
      <c r="C51">
        <v>450.2</v>
      </c>
      <c r="D51">
        <v>30.55</v>
      </c>
      <c r="E51" s="1">
        <f t="shared" si="14"/>
        <v>67.858729453576188</v>
      </c>
      <c r="F51" s="1"/>
      <c r="G51" s="9">
        <f t="shared" si="15"/>
        <v>2.3175526694485131E-7</v>
      </c>
      <c r="H51" s="1" t="e">
        <f t="shared" si="16"/>
        <v>#DIV/0!</v>
      </c>
      <c r="I51" s="8">
        <f t="shared" si="17"/>
        <v>0.20514533688757658</v>
      </c>
      <c r="J51" s="8">
        <f t="shared" si="18"/>
        <v>0.24699567033184927</v>
      </c>
      <c r="K51" s="8">
        <f t="shared" si="19"/>
        <v>500.86106892452176</v>
      </c>
      <c r="L51" s="2">
        <f t="shared" si="20"/>
        <v>2.3599999999999996E-12</v>
      </c>
      <c r="M51" s="2">
        <f t="shared" si="21"/>
        <v>1.3230376182436193E-3</v>
      </c>
      <c r="N51" s="10">
        <f t="shared" si="22"/>
        <v>5.3565214988022325E-3</v>
      </c>
      <c r="O51">
        <f t="shared" si="23"/>
        <v>1.0988654074173304E-3</v>
      </c>
      <c r="P51" s="11">
        <f t="shared" si="24"/>
        <v>68.224173706774536</v>
      </c>
      <c r="R51" t="str">
        <f t="shared" si="25"/>
        <v>(1.09727085887094,67.8587294535762)</v>
      </c>
    </row>
    <row r="52" spans="1:18" x14ac:dyDescent="0.2">
      <c r="A52" s="8">
        <f t="shared" si="13"/>
        <v>1600.1118416595907</v>
      </c>
      <c r="B52">
        <v>9.56</v>
      </c>
      <c r="C52">
        <v>657</v>
      </c>
      <c r="D52">
        <v>44.55</v>
      </c>
      <c r="E52" s="1">
        <f t="shared" si="14"/>
        <v>67.808219178082197</v>
      </c>
      <c r="F52" s="1"/>
      <c r="G52" s="9">
        <f t="shared" si="15"/>
        <v>2.3175526694485131E-7</v>
      </c>
      <c r="H52" s="1" t="e">
        <f t="shared" si="16"/>
        <v>#DIV/0!</v>
      </c>
      <c r="I52" s="8">
        <f t="shared" si="17"/>
        <v>0.20529814944640939</v>
      </c>
      <c r="J52" s="8">
        <f t="shared" si="18"/>
        <v>0.52563673998517568</v>
      </c>
      <c r="K52" s="8">
        <f t="shared" si="19"/>
        <v>1065.893094811177</v>
      </c>
      <c r="L52" s="2">
        <f t="shared" si="20"/>
        <v>2.3599999999999996E-12</v>
      </c>
      <c r="M52" s="2">
        <f t="shared" si="21"/>
        <v>2.8134887333122502E-3</v>
      </c>
      <c r="N52" s="10">
        <f t="shared" si="22"/>
        <v>5.3525344012132752E-3</v>
      </c>
      <c r="O52">
        <f t="shared" si="23"/>
        <v>1.0988654074173304E-3</v>
      </c>
      <c r="P52" s="11">
        <f t="shared" si="24"/>
        <v>68.173118138154649</v>
      </c>
      <c r="R52" t="str">
        <f t="shared" si="25"/>
        <v>(1.60011184165959,67.8082191780822)</v>
      </c>
    </row>
    <row r="53" spans="1:18" x14ac:dyDescent="0.2">
      <c r="A53" s="8">
        <f t="shared" si="13"/>
        <v>2298.7016356052482</v>
      </c>
      <c r="B53">
        <v>9.56</v>
      </c>
      <c r="C53">
        <v>932</v>
      </c>
      <c r="D53">
        <v>64</v>
      </c>
      <c r="E53" s="1">
        <f t="shared" si="14"/>
        <v>68.669527896995703</v>
      </c>
      <c r="F53" s="1"/>
      <c r="G53" s="9">
        <f t="shared" si="15"/>
        <v>2.3175526694485131E-7</v>
      </c>
      <c r="H53" s="1" t="e">
        <f t="shared" si="16"/>
        <v>#DIV/0!</v>
      </c>
      <c r="I53" s="8">
        <f t="shared" si="17"/>
        <v>0.20272313413015094</v>
      </c>
      <c r="J53" s="8">
        <f t="shared" si="18"/>
        <v>1.071194962192046</v>
      </c>
      <c r="K53" s="8">
        <f t="shared" si="19"/>
        <v>2172.1832332900144</v>
      </c>
      <c r="L53" s="2">
        <f t="shared" si="20"/>
        <v>2.3599999999999996E-12</v>
      </c>
      <c r="M53" s="2">
        <f t="shared" si="21"/>
        <v>5.8064369101399217E-3</v>
      </c>
      <c r="N53" s="10">
        <f t="shared" si="22"/>
        <v>5.4205229814168338E-3</v>
      </c>
      <c r="O53">
        <f t="shared" si="23"/>
        <v>1.0988654074173306E-3</v>
      </c>
      <c r="P53" s="11">
        <f t="shared" si="24"/>
        <v>69.043781300257663</v>
      </c>
      <c r="R53" t="str">
        <f t="shared" si="25"/>
        <v>(2.29870163560525,68.6695278969957)</v>
      </c>
    </row>
    <row r="54" spans="1:18" x14ac:dyDescent="0.2">
      <c r="A54" s="8">
        <f t="shared" si="13"/>
        <v>2779.992290560097</v>
      </c>
      <c r="B54">
        <v>9.56</v>
      </c>
      <c r="C54">
        <v>1142</v>
      </c>
      <c r="D54">
        <v>77.400000000000006</v>
      </c>
      <c r="E54" s="1">
        <f t="shared" si="14"/>
        <v>67.775831873905432</v>
      </c>
      <c r="F54" s="1"/>
      <c r="G54" s="9">
        <f t="shared" si="15"/>
        <v>2.3175526694485131E-7</v>
      </c>
      <c r="H54" s="1" t="e">
        <f t="shared" si="16"/>
        <v>#DIV/0!</v>
      </c>
      <c r="I54" s="8">
        <f t="shared" si="17"/>
        <v>0.20539625305398176</v>
      </c>
      <c r="J54" s="8">
        <f t="shared" si="18"/>
        <v>1.5873755979098156</v>
      </c>
      <c r="K54" s="8">
        <f t="shared" si="19"/>
        <v>3218.9011154957579</v>
      </c>
      <c r="L54" s="2">
        <f t="shared" si="20"/>
        <v>2.3599999999999996E-12</v>
      </c>
      <c r="M54" s="2">
        <f t="shared" si="21"/>
        <v>8.4924243124486921E-3</v>
      </c>
      <c r="N54" s="10">
        <f t="shared" si="22"/>
        <v>5.3499778651197186E-3</v>
      </c>
      <c r="O54">
        <f t="shared" si="23"/>
        <v>1.0988654074173309E-3</v>
      </c>
      <c r="P54" s="11">
        <f t="shared" si="24"/>
        <v>68.140381406149146</v>
      </c>
      <c r="R54" t="str">
        <f t="shared" si="25"/>
        <v>(2.7799922905601,67.7758318739054)</v>
      </c>
    </row>
    <row r="55" spans="1:18" x14ac:dyDescent="0.2">
      <c r="A55" s="8">
        <f t="shared" si="13"/>
        <v>3042.1879458713211</v>
      </c>
      <c r="B55">
        <v>9.56</v>
      </c>
      <c r="C55">
        <v>1254</v>
      </c>
      <c r="D55">
        <v>84.7</v>
      </c>
      <c r="E55" s="1">
        <f t="shared" si="14"/>
        <v>67.543859649122808</v>
      </c>
      <c r="F55" s="1"/>
      <c r="G55" s="9">
        <f t="shared" si="15"/>
        <v>2.3175526694485131E-7</v>
      </c>
      <c r="H55" s="1" t="e">
        <f t="shared" si="16"/>
        <v>#DIV/0!</v>
      </c>
      <c r="I55" s="8">
        <f t="shared" si="17"/>
        <v>0.20610166470843058</v>
      </c>
      <c r="J55" s="8">
        <f t="shared" si="18"/>
        <v>1.9074518420613187</v>
      </c>
      <c r="K55" s="8">
        <f t="shared" si="19"/>
        <v>3867.9559332084723</v>
      </c>
      <c r="L55" s="2">
        <f t="shared" si="20"/>
        <v>2.3599999999999996E-12</v>
      </c>
      <c r="M55" s="2">
        <f t="shared" si="21"/>
        <v>1.0169897698404715E-2</v>
      </c>
      <c r="N55" s="10">
        <f t="shared" si="22"/>
        <v>5.3316668207017224E-3</v>
      </c>
      <c r="O55">
        <f t="shared" si="23"/>
        <v>1.0988654074173304E-3</v>
      </c>
      <c r="P55" s="11">
        <f t="shared" si="24"/>
        <v>67.905911343562792</v>
      </c>
      <c r="R55" t="str">
        <f t="shared" si="25"/>
        <v>(3.04218794587132,67.5438596491228)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5E18-B4A5-0541-BFB4-7BAEEBB689AB}">
  <dimension ref="A1:R55"/>
  <sheetViews>
    <sheetView topLeftCell="A28" workbookViewId="0">
      <selection activeCell="A47" sqref="A47:A55"/>
    </sheetView>
  </sheetViews>
  <sheetFormatPr baseColWidth="10" defaultColWidth="11" defaultRowHeight="16" x14ac:dyDescent="0.2"/>
  <sheetData>
    <row r="1" spans="1:12" x14ac:dyDescent="0.2">
      <c r="A1" t="s">
        <v>0</v>
      </c>
      <c r="B1">
        <v>30</v>
      </c>
      <c r="C1" t="s">
        <v>1</v>
      </c>
    </row>
    <row r="2" spans="1:12" x14ac:dyDescent="0.2">
      <c r="A2" t="s">
        <v>2</v>
      </c>
      <c r="B2" t="s">
        <v>3</v>
      </c>
    </row>
    <row r="3" spans="1:12" x14ac:dyDescent="0.2">
      <c r="A3" t="s">
        <v>4</v>
      </c>
      <c r="B3" t="s">
        <v>61</v>
      </c>
    </row>
    <row r="4" spans="1:12" x14ac:dyDescent="0.2">
      <c r="A4" t="s">
        <v>5</v>
      </c>
      <c r="B4">
        <v>10</v>
      </c>
    </row>
    <row r="5" spans="1:12" x14ac:dyDescent="0.2">
      <c r="A5" t="s">
        <v>51</v>
      </c>
      <c r="B5">
        <v>22</v>
      </c>
    </row>
    <row r="6" spans="1:12" x14ac:dyDescent="0.2">
      <c r="A6" t="s">
        <v>6</v>
      </c>
      <c r="B6">
        <v>600</v>
      </c>
      <c r="C6" t="s">
        <v>7</v>
      </c>
    </row>
    <row r="7" spans="1:12" x14ac:dyDescent="0.2">
      <c r="A7" t="s">
        <v>8</v>
      </c>
      <c r="B7" s="1">
        <v>113.1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</row>
    <row r="9" spans="1:12" x14ac:dyDescent="0.2">
      <c r="A9" t="s">
        <v>13</v>
      </c>
      <c r="B9">
        <f>B10*B12/(B10+B12)</f>
        <v>48.077794539146176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>
        <v>58.35</v>
      </c>
      <c r="C10" t="s">
        <v>14</v>
      </c>
      <c r="F10" s="2">
        <f>1/(F9*B10*10^-12)</f>
        <v>90.919704708309254</v>
      </c>
      <c r="G10" s="2"/>
      <c r="H10" s="2"/>
    </row>
    <row r="11" spans="1:12" x14ac:dyDescent="0.2">
      <c r="A11" t="s">
        <v>16</v>
      </c>
      <c r="B11">
        <v>2.0149821257547922E-2</v>
      </c>
      <c r="F11" s="2"/>
      <c r="G11" s="2"/>
      <c r="H11" s="2"/>
    </row>
    <row r="12" spans="1:12" x14ac:dyDescent="0.2">
      <c r="A12" t="s">
        <v>17</v>
      </c>
      <c r="B12" s="3">
        <v>273.10000000000002</v>
      </c>
      <c r="C12" t="s">
        <v>14</v>
      </c>
      <c r="F12" s="2">
        <f>1/(F9*B12*10^-12)</f>
        <v>19.425722335151391</v>
      </c>
      <c r="G12" s="2"/>
      <c r="H12" s="2">
        <f>F12/(F12+F10)</f>
        <v>0.17604465228541258</v>
      </c>
      <c r="L12">
        <f>1/(30*10^6*2*PI()*B10*10^-12)</f>
        <v>90.919704708309254</v>
      </c>
    </row>
    <row r="13" spans="1:12" x14ac:dyDescent="0.2">
      <c r="A13" t="s">
        <v>18</v>
      </c>
      <c r="B13">
        <v>9.7628686888237767E-3</v>
      </c>
      <c r="L13">
        <f>55.8-L12</f>
        <v>-35.119704708309257</v>
      </c>
    </row>
    <row r="14" spans="1:12" x14ac:dyDescent="0.2">
      <c r="A14" t="s">
        <v>19</v>
      </c>
      <c r="B14" s="4">
        <f>(1/(2*PI()*SQRT(B9*10^-12*B6*10^-9)))/10^6</f>
        <v>29.632769159794083</v>
      </c>
      <c r="C14" t="s">
        <v>1</v>
      </c>
    </row>
    <row r="15" spans="1:12" x14ac:dyDescent="0.2">
      <c r="A15" t="s">
        <v>20</v>
      </c>
      <c r="B15" s="5">
        <f>0.25*2.54*PI()*((2.54*0.7/2)^2-(2.54*0.29/2)^2)</f>
        <v>1.3060207926120317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B$12*10^-12*D18*2*B18*10^6*1000*PI()*0.5</f>
        <v>351.04280203060239</v>
      </c>
      <c r="B18">
        <v>28.14</v>
      </c>
      <c r="C18">
        <v>414</v>
      </c>
      <c r="D18">
        <v>14.54</v>
      </c>
      <c r="E18" s="1">
        <f>D18*1000/(C18*H$12)</f>
        <v>199.49923210345699</v>
      </c>
      <c r="F18" s="1"/>
      <c r="G18" s="9">
        <f>1/($B$9*10^-12*(2*PI()*B18*10^6)^2)</f>
        <v>6.6534598411964177E-7</v>
      </c>
      <c r="H18" s="1">
        <f>(2*PI()*B18*10^6*G18)/((C18/(D18*1000))*SQRT($B$13^2 + (1/(2*PI()*B18*10^6*$B$12*10^-12))^2) - $B$11 - $B$13)</f>
        <v>210.16015041780369</v>
      </c>
      <c r="I18" s="8">
        <f>(2*PI()*B18*10^6*G18)/H18</f>
        <v>0.55975905892186284</v>
      </c>
      <c r="J18" s="8">
        <f>I18*(A18/1000)^2</f>
        <v>6.8979695938426455E-2</v>
      </c>
      <c r="K18" s="8">
        <f>J18/B$15*1000</f>
        <v>52.816690460545871</v>
      </c>
      <c r="L18" s="2">
        <f xml:space="preserve"> (4*8.85*10^-12*0.01*0.01)/0.0015</f>
        <v>2.3599999999999996E-12</v>
      </c>
      <c r="M18" s="2">
        <f>0.5*D18*D18*2*PI()*B18*10^6*L18*0.02</f>
        <v>8.8215475108010947E-4</v>
      </c>
      <c r="N18" s="10">
        <f>M18/J18</f>
        <v>1.2788614665213222E-2</v>
      </c>
      <c r="O18">
        <f>M18/((A18/1000)^2)</f>
        <v>7.1585429099140863E-3</v>
      </c>
      <c r="P18" s="11">
        <f>2*PI()*B18*10^6*G18/(I18-O18)</f>
        <v>212.88262426849283</v>
      </c>
      <c r="R18" t="str">
        <f>_xlfn.CONCAT("(",A18/1000,",",P18,")")</f>
        <v>(0.351042802030602,212.882624268493)</v>
      </c>
    </row>
    <row r="19" spans="1:18" x14ac:dyDescent="0.2">
      <c r="A19" s="8">
        <f t="shared" ref="A19:A26" si="0">B$12*10^-12*D19*2*B19*10^6*1000*PI()*0.5</f>
        <v>440.61424601502711</v>
      </c>
      <c r="B19">
        <v>28.14</v>
      </c>
      <c r="C19">
        <v>524</v>
      </c>
      <c r="D19">
        <v>18.25</v>
      </c>
      <c r="E19" s="1">
        <f t="shared" ref="E19:E26" si="1">D19*1000/(C19*H$12)</f>
        <v>197.83755895262206</v>
      </c>
      <c r="F19" s="1"/>
      <c r="G19" s="9">
        <f t="shared" ref="G19:G26" si="2">1/($B$9*10^-12*(2*PI()*B19*10^6)^2)</f>
        <v>6.6534598411964177E-7</v>
      </c>
      <c r="H19" s="1">
        <f t="shared" ref="H19:H26" si="3">(2*PI()*B19*10^6*G19)/((C19/(D19*1000))*SQRT($B$13^2 + (1/(2*PI()*B19*10^6*$B$12*10^-12))^2) - $B$11 - $B$13)</f>
        <v>208.3169580077103</v>
      </c>
      <c r="I19" s="8">
        <f t="shared" ref="I19:I26" si="4">(2*PI()*B19*10^6*G19)/H19</f>
        <v>0.56471181773109824</v>
      </c>
      <c r="J19" s="8">
        <f t="shared" ref="J19:J26" si="5">I19*(A19/1000)^2</f>
        <v>0.10963366832311278</v>
      </c>
      <c r="K19" s="8">
        <f t="shared" ref="K19:K26" si="6">J19/B$15*1000</f>
        <v>83.944810789609463</v>
      </c>
      <c r="L19" s="2">
        <f t="shared" ref="L19:L26" si="7" xml:space="preserve"> (4*8.85*10^-12*0.01*0.01)/0.0015</f>
        <v>2.3599999999999996E-12</v>
      </c>
      <c r="M19" s="2">
        <f t="shared" ref="M19:M26" si="8">0.5*D19*D19*2*PI()*B19*10^6*L19*0.02</f>
        <v>1.3897660619456031E-3</v>
      </c>
      <c r="N19" s="10">
        <f t="shared" ref="N19:N26" si="9">M19/J19</f>
        <v>1.2676453166281722E-2</v>
      </c>
      <c r="O19">
        <f t="shared" ref="O19:O26" si="10">M19/((A19/1000)^2)</f>
        <v>7.1585429099140872E-3</v>
      </c>
      <c r="P19" s="11">
        <f t="shared" ref="P19:P26" si="11">2*PI()*B19*10^6*G19/(I19-O19)</f>
        <v>210.99158292716618</v>
      </c>
      <c r="R19" t="str">
        <f t="shared" ref="R19:R26" si="12">_xlfn.CONCAT("(",A19/1000,",",P19,")")</f>
        <v>(0.440614246015027,210.991582927166)</v>
      </c>
    </row>
    <row r="20" spans="1:18" x14ac:dyDescent="0.2">
      <c r="A20" s="8">
        <f t="shared" si="0"/>
        <v>575.81642561415867</v>
      </c>
      <c r="B20">
        <v>28.14</v>
      </c>
      <c r="C20">
        <v>696</v>
      </c>
      <c r="D20">
        <v>23.85</v>
      </c>
      <c r="E20" s="1">
        <f t="shared" si="1"/>
        <v>194.65085098838756</v>
      </c>
      <c r="F20" s="1"/>
      <c r="G20" s="9">
        <f t="shared" si="2"/>
        <v>6.6534598411964177E-7</v>
      </c>
      <c r="H20" s="1">
        <f t="shared" si="3"/>
        <v>204.78672246708197</v>
      </c>
      <c r="I20" s="8">
        <f t="shared" si="4"/>
        <v>0.5744466565192311</v>
      </c>
      <c r="J20" s="8">
        <f t="shared" si="5"/>
        <v>0.19046615061854238</v>
      </c>
      <c r="K20" s="8">
        <f t="shared" si="6"/>
        <v>145.83699715653952</v>
      </c>
      <c r="L20" s="2">
        <f t="shared" si="7"/>
        <v>2.3599999999999996E-12</v>
      </c>
      <c r="M20" s="2">
        <f t="shared" si="8"/>
        <v>2.3735191015831956E-3</v>
      </c>
      <c r="N20" s="10">
        <f t="shared" si="9"/>
        <v>1.2461632126628002E-2</v>
      </c>
      <c r="O20">
        <f t="shared" si="10"/>
        <v>7.1585429099140906E-3</v>
      </c>
      <c r="P20" s="11">
        <f t="shared" si="11"/>
        <v>207.37090236613565</v>
      </c>
      <c r="R20" t="str">
        <f t="shared" si="12"/>
        <v>(0.575816425614159,207.370902366136)</v>
      </c>
    </row>
    <row r="21" spans="1:18" x14ac:dyDescent="0.2">
      <c r="A21" s="8">
        <f t="shared" si="0"/>
        <v>780.79258718498511</v>
      </c>
      <c r="B21">
        <v>28.14</v>
      </c>
      <c r="C21">
        <v>972</v>
      </c>
      <c r="D21">
        <v>32.340000000000003</v>
      </c>
      <c r="E21" s="1">
        <f t="shared" si="1"/>
        <v>188.99526061336974</v>
      </c>
      <c r="F21" s="1"/>
      <c r="G21" s="9">
        <f t="shared" si="2"/>
        <v>6.6534598411964177E-7</v>
      </c>
      <c r="H21" s="1">
        <f t="shared" si="3"/>
        <v>198.5362564458469</v>
      </c>
      <c r="I21" s="8">
        <f t="shared" si="4"/>
        <v>0.59253181321485415</v>
      </c>
      <c r="J21" s="8">
        <f t="shared" si="5"/>
        <v>0.36122935505519743</v>
      </c>
      <c r="K21" s="8">
        <f t="shared" si="6"/>
        <v>276.58775197042723</v>
      </c>
      <c r="L21" s="2">
        <f t="shared" si="7"/>
        <v>2.3599999999999996E-12</v>
      </c>
      <c r="M21" s="2">
        <f t="shared" si="8"/>
        <v>4.3641130835713879E-3</v>
      </c>
      <c r="N21" s="10">
        <f t="shared" si="9"/>
        <v>1.2081280279407337E-2</v>
      </c>
      <c r="O21">
        <f t="shared" si="10"/>
        <v>7.1585429099140898E-3</v>
      </c>
      <c r="P21" s="11">
        <f t="shared" si="11"/>
        <v>200.96416079857033</v>
      </c>
      <c r="R21" t="str">
        <f t="shared" si="12"/>
        <v>(0.780792587184985,200.96416079857)</v>
      </c>
    </row>
    <row r="22" spans="1:18" x14ac:dyDescent="0.2">
      <c r="A22" s="8">
        <f t="shared" si="0"/>
        <v>1096.1033846072455</v>
      </c>
      <c r="B22">
        <v>28.14</v>
      </c>
      <c r="C22">
        <v>1396</v>
      </c>
      <c r="D22">
        <v>45.4</v>
      </c>
      <c r="E22" s="1">
        <f t="shared" si="1"/>
        <v>184.7343247815401</v>
      </c>
      <c r="F22" s="1"/>
      <c r="G22" s="9">
        <f t="shared" si="2"/>
        <v>6.6534598411964177E-7</v>
      </c>
      <c r="H22" s="1">
        <f t="shared" si="3"/>
        <v>193.83959924668585</v>
      </c>
      <c r="I22" s="8">
        <f t="shared" si="4"/>
        <v>0.60688862584283465</v>
      </c>
      <c r="J22" s="8">
        <f t="shared" si="5"/>
        <v>0.72914186659643698</v>
      </c>
      <c r="K22" s="8">
        <f t="shared" si="6"/>
        <v>558.29269389973399</v>
      </c>
      <c r="L22" s="2">
        <f t="shared" si="7"/>
        <v>2.3599999999999996E-12</v>
      </c>
      <c r="M22" s="2">
        <f t="shared" si="8"/>
        <v>8.6005786188472124E-3</v>
      </c>
      <c r="N22" s="10">
        <f t="shared" si="9"/>
        <v>1.1795480430980974E-2</v>
      </c>
      <c r="O22">
        <f t="shared" si="10"/>
        <v>7.1585429099140906E-3</v>
      </c>
      <c r="P22" s="11">
        <f t="shared" si="11"/>
        <v>196.15332191682771</v>
      </c>
      <c r="R22" t="str">
        <f t="shared" si="12"/>
        <v>(1.09610338460725,196.153321916828)</v>
      </c>
    </row>
    <row r="23" spans="1:18" x14ac:dyDescent="0.2">
      <c r="A23" s="8">
        <f t="shared" si="0"/>
        <v>1558.4465523435617</v>
      </c>
      <c r="B23">
        <v>28.14</v>
      </c>
      <c r="C23">
        <v>2030</v>
      </c>
      <c r="D23">
        <v>64.55</v>
      </c>
      <c r="E23" s="1">
        <f t="shared" si="1"/>
        <v>180.62479685607067</v>
      </c>
      <c r="F23" s="1"/>
      <c r="G23" s="9">
        <f t="shared" si="2"/>
        <v>6.6534598411964177E-7</v>
      </c>
      <c r="H23" s="1">
        <f t="shared" si="3"/>
        <v>189.31993813601017</v>
      </c>
      <c r="I23" s="8">
        <f t="shared" si="4"/>
        <v>0.62137696208327176</v>
      </c>
      <c r="J23" s="8">
        <f t="shared" si="5"/>
        <v>1.5091728114856995</v>
      </c>
      <c r="K23" s="8">
        <f t="shared" si="6"/>
        <v>1155.5503710376352</v>
      </c>
      <c r="L23" s="2">
        <f t="shared" si="7"/>
        <v>2.3599999999999996E-12</v>
      </c>
      <c r="M23" s="2">
        <f t="shared" si="8"/>
        <v>1.7386351584834373E-2</v>
      </c>
      <c r="N23" s="10">
        <f t="shared" si="9"/>
        <v>1.1520451105740797E-2</v>
      </c>
      <c r="O23">
        <f t="shared" si="10"/>
        <v>7.1585429099140854E-3</v>
      </c>
      <c r="P23" s="11">
        <f t="shared" si="11"/>
        <v>191.52640876362969</v>
      </c>
      <c r="R23" t="str">
        <f t="shared" si="12"/>
        <v>(1.55844655234356,191.52640876363)</v>
      </c>
    </row>
    <row r="24" spans="1:18" x14ac:dyDescent="0.2">
      <c r="A24" s="8">
        <f t="shared" si="0"/>
        <v>2151.1632504076119</v>
      </c>
      <c r="B24">
        <v>28.14</v>
      </c>
      <c r="C24">
        <v>2860</v>
      </c>
      <c r="D24">
        <v>89.1</v>
      </c>
      <c r="E24" s="1">
        <f t="shared" si="1"/>
        <v>176.96559224836861</v>
      </c>
      <c r="F24" s="1"/>
      <c r="G24" s="9">
        <f t="shared" si="2"/>
        <v>6.6534598411964177E-7</v>
      </c>
      <c r="H24" s="1">
        <f t="shared" si="3"/>
        <v>185.30386721368635</v>
      </c>
      <c r="I24" s="8">
        <f t="shared" si="4"/>
        <v>0.63484399861493146</v>
      </c>
      <c r="J24" s="8">
        <f t="shared" si="5"/>
        <v>2.9377427175603192</v>
      </c>
      <c r="K24" s="8">
        <f t="shared" si="6"/>
        <v>2249.384339191764</v>
      </c>
      <c r="L24" s="2">
        <f t="shared" si="7"/>
        <v>2.3599999999999996E-12</v>
      </c>
      <c r="M24" s="2">
        <f t="shared" si="8"/>
        <v>3.3126181152889837E-2</v>
      </c>
      <c r="N24" s="10">
        <f t="shared" si="9"/>
        <v>1.127606612889499E-2</v>
      </c>
      <c r="O24">
        <f t="shared" si="10"/>
        <v>7.1585429099140872E-3</v>
      </c>
      <c r="P24" s="11">
        <f t="shared" si="11"/>
        <v>187.41719590844201</v>
      </c>
      <c r="R24" t="str">
        <f t="shared" si="12"/>
        <v>(2.15116325040761,187.417195908442)</v>
      </c>
    </row>
    <row r="25" spans="1:18" x14ac:dyDescent="0.2">
      <c r="A25" s="8">
        <f t="shared" si="0"/>
        <v>3160.350948129701</v>
      </c>
      <c r="B25">
        <v>28.14</v>
      </c>
      <c r="C25">
        <v>4580</v>
      </c>
      <c r="D25">
        <v>130.9</v>
      </c>
      <c r="E25" s="1">
        <f t="shared" si="1"/>
        <v>162.34964058927642</v>
      </c>
      <c r="F25" s="1"/>
      <c r="G25" s="9">
        <f t="shared" si="2"/>
        <v>6.6534598411964177E-7</v>
      </c>
      <c r="H25" s="1">
        <f t="shared" si="3"/>
        <v>169.34023807746328</v>
      </c>
      <c r="I25" s="8">
        <f t="shared" si="4"/>
        <v>0.69469046079251373</v>
      </c>
      <c r="J25" s="8">
        <f t="shared" si="5"/>
        <v>6.9384419688603494</v>
      </c>
      <c r="K25" s="8">
        <f t="shared" si="6"/>
        <v>5312.658120077489</v>
      </c>
      <c r="L25" s="2">
        <f t="shared" si="7"/>
        <v>2.3599999999999996E-12</v>
      </c>
      <c r="M25" s="2">
        <f t="shared" si="8"/>
        <v>7.1498224555109444E-2</v>
      </c>
      <c r="N25" s="10">
        <f t="shared" si="9"/>
        <v>1.0304651228041205E-2</v>
      </c>
      <c r="O25">
        <f t="shared" si="10"/>
        <v>7.158542909914088E-3</v>
      </c>
      <c r="P25" s="11">
        <f t="shared" si="11"/>
        <v>171.10339892734194</v>
      </c>
      <c r="R25" t="str">
        <f t="shared" si="12"/>
        <v>(3.1603509481297,171.103398927342)</v>
      </c>
    </row>
    <row r="26" spans="1:18" x14ac:dyDescent="0.2">
      <c r="A26" s="8">
        <f t="shared" si="0"/>
        <v>4104.3518806879229</v>
      </c>
      <c r="B26">
        <v>28.14</v>
      </c>
      <c r="C26">
        <v>9200</v>
      </c>
      <c r="D26">
        <v>170</v>
      </c>
      <c r="E26" s="1">
        <f t="shared" si="1"/>
        <v>104.96348869267166</v>
      </c>
      <c r="F26" s="1"/>
      <c r="G26" s="9">
        <f t="shared" si="2"/>
        <v>6.6534598411964177E-7</v>
      </c>
      <c r="H26" s="1">
        <f t="shared" si="3"/>
        <v>107.84173041846671</v>
      </c>
      <c r="I26" s="8">
        <f t="shared" si="4"/>
        <v>1.0908490392750834</v>
      </c>
      <c r="J26" s="8">
        <f t="shared" si="5"/>
        <v>18.376120417570586</v>
      </c>
      <c r="K26" s="8">
        <f t="shared" si="6"/>
        <v>14070.312296344444</v>
      </c>
      <c r="L26" s="2">
        <f t="shared" si="7"/>
        <v>2.3599999999999996E-12</v>
      </c>
      <c r="M26" s="2">
        <f t="shared" si="8"/>
        <v>0.12059069751241264</v>
      </c>
      <c r="N26" s="10">
        <f t="shared" si="9"/>
        <v>6.5623589077653272E-3</v>
      </c>
      <c r="O26">
        <f t="shared" si="10"/>
        <v>7.1585429099140924E-3</v>
      </c>
      <c r="P26" s="11">
        <f t="shared" si="11"/>
        <v>108.55410139271567</v>
      </c>
      <c r="R26" t="str">
        <f t="shared" si="12"/>
        <v>(4.10435188068792,108.554101392716)</v>
      </c>
    </row>
    <row r="30" spans="1:18" x14ac:dyDescent="0.2">
      <c r="A30" t="s">
        <v>0</v>
      </c>
      <c r="B30">
        <v>30</v>
      </c>
      <c r="C30" t="s">
        <v>1</v>
      </c>
    </row>
    <row r="31" spans="1:18" x14ac:dyDescent="0.2">
      <c r="A31" t="s">
        <v>2</v>
      </c>
      <c r="B31" t="s">
        <v>35</v>
      </c>
    </row>
    <row r="32" spans="1:18" x14ac:dyDescent="0.2">
      <c r="A32" t="s">
        <v>4</v>
      </c>
    </row>
    <row r="33" spans="1:18" x14ac:dyDescent="0.2">
      <c r="A33" t="s">
        <v>5</v>
      </c>
      <c r="B33">
        <v>31</v>
      </c>
    </row>
    <row r="34" spans="1:18" x14ac:dyDescent="0.2">
      <c r="A34" t="s">
        <v>51</v>
      </c>
      <c r="B34">
        <v>24</v>
      </c>
    </row>
    <row r="35" spans="1:18" x14ac:dyDescent="0.2">
      <c r="A35" t="s">
        <v>6</v>
      </c>
      <c r="B35">
        <v>605</v>
      </c>
      <c r="C35" t="s">
        <v>7</v>
      </c>
    </row>
    <row r="36" spans="1:18" x14ac:dyDescent="0.2">
      <c r="A36" t="s">
        <v>8</v>
      </c>
      <c r="B36" s="1">
        <v>114.8</v>
      </c>
      <c r="D36" t="s">
        <v>9</v>
      </c>
      <c r="E36" t="s">
        <v>10</v>
      </c>
    </row>
    <row r="37" spans="1:18" x14ac:dyDescent="0.2">
      <c r="A37" t="s">
        <v>11</v>
      </c>
      <c r="B37" t="s">
        <v>12</v>
      </c>
    </row>
    <row r="38" spans="1:18" x14ac:dyDescent="0.2">
      <c r="A38" t="s">
        <v>13</v>
      </c>
      <c r="B38">
        <f>B39*B41/(B39+B41)</f>
        <v>48.077794539146176</v>
      </c>
      <c r="C38" t="s">
        <v>14</v>
      </c>
      <c r="F38" s="2">
        <f>30*10^6*2*PI()</f>
        <v>188495559.21538758</v>
      </c>
      <c r="G38" s="2"/>
      <c r="H38" s="2"/>
    </row>
    <row r="39" spans="1:18" x14ac:dyDescent="0.2">
      <c r="A39" t="s">
        <v>15</v>
      </c>
      <c r="B39" s="3">
        <v>58.35</v>
      </c>
      <c r="C39" t="s">
        <v>14</v>
      </c>
      <c r="F39" s="2">
        <f>1/(F38*B39*10^-12)</f>
        <v>90.919704708309254</v>
      </c>
      <c r="G39" s="2"/>
      <c r="H39" s="2"/>
    </row>
    <row r="40" spans="1:18" x14ac:dyDescent="0.2">
      <c r="A40" t="s">
        <v>16</v>
      </c>
      <c r="B40">
        <v>2.0149821257547922E-2</v>
      </c>
      <c r="F40" s="2"/>
      <c r="G40" s="2"/>
      <c r="H40" s="2"/>
    </row>
    <row r="41" spans="1:18" x14ac:dyDescent="0.2">
      <c r="A41" t="s">
        <v>17</v>
      </c>
      <c r="B41" s="3">
        <v>273.10000000000002</v>
      </c>
      <c r="C41" t="s">
        <v>14</v>
      </c>
      <c r="F41" s="2">
        <f>1/(F38*B41*10^-12)</f>
        <v>19.425722335151391</v>
      </c>
      <c r="G41" s="2"/>
      <c r="H41" s="2">
        <f>F41/(F41+F39)</f>
        <v>0.17604465228541258</v>
      </c>
      <c r="L41">
        <f>1/(30*10^6*2*PI()*B39*10^-12)</f>
        <v>90.919704708309254</v>
      </c>
    </row>
    <row r="42" spans="1:18" x14ac:dyDescent="0.2">
      <c r="A42" t="s">
        <v>18</v>
      </c>
      <c r="B42">
        <v>9.7628686888237767E-3</v>
      </c>
      <c r="L42">
        <f>55.8-L41</f>
        <v>-35.119704708309257</v>
      </c>
    </row>
    <row r="43" spans="1:18" x14ac:dyDescent="0.2">
      <c r="A43" t="s">
        <v>19</v>
      </c>
      <c r="B43" s="4">
        <f>(1/(2*PI()*SQRT(B38*10^-12*B35*10^-9)))/10^6</f>
        <v>29.510065654841139</v>
      </c>
      <c r="C43" t="s">
        <v>1</v>
      </c>
    </row>
    <row r="44" spans="1:18" x14ac:dyDescent="0.2">
      <c r="A44" t="s">
        <v>20</v>
      </c>
      <c r="B44" s="5">
        <f>0.25*2.54*PI()*((2.54*0.7/2)^2-(2.54*0.29/2)^2)</f>
        <v>1.3060207926120317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B$12*10^-12*D47*2*B47*10^6*1000*PI()*0.5</f>
        <v>255.41684273374017</v>
      </c>
      <c r="B47">
        <v>28.57</v>
      </c>
      <c r="C47">
        <v>506</v>
      </c>
      <c r="D47">
        <v>10.42</v>
      </c>
      <c r="E47" s="1">
        <f>D47*1000/(C47*H$12)</f>
        <v>116.975353174079</v>
      </c>
      <c r="F47" s="1"/>
      <c r="G47" s="9">
        <f>1/($B$9*10^-12*(2*PI()*B47*10^6)^2)</f>
        <v>6.4546878620201594E-7</v>
      </c>
      <c r="H47" s="1">
        <f>(2*PI()*B47*10^6*G47)/((C47/(D47*1000))*SQRT($B$13^2 + (1/(2*PI()*B47*10^6*$B$12*10^-12))^2) - $B$11 - $B$13)</f>
        <v>120.61780878370249</v>
      </c>
      <c r="I47" s="8">
        <f>(2*PI()*B47*10^6*G47)/H47</f>
        <v>0.96062507674969855</v>
      </c>
      <c r="J47" s="8">
        <f>I47*(A47/1000)^2</f>
        <v>6.2669031619188006E-2</v>
      </c>
      <c r="K47" s="8">
        <f>J47/B$15*1000</f>
        <v>47.984712015074749</v>
      </c>
      <c r="L47" s="2">
        <f xml:space="preserve"> (4*8.85*10^-12*0.01*0.01)/0.0015</f>
        <v>2.3599999999999996E-12</v>
      </c>
      <c r="M47" s="2">
        <f>0.5*D47*D47*2*PI()*B47*10^6*L47*0.02</f>
        <v>4.5997851798124865E-4</v>
      </c>
      <c r="N47" s="10">
        <f>M47/J47</f>
        <v>7.3398057397206125E-3</v>
      </c>
      <c r="O47">
        <f>M47/((A47/1000)^2)</f>
        <v>7.0508014520469916E-3</v>
      </c>
      <c r="P47" s="11">
        <f>2*PI()*B47*10^6*G47/(I47-O47)</f>
        <v>121.5096661285846</v>
      </c>
      <c r="R47" t="str">
        <f>_xlfn.CONCAT("(",A47/1000,",",P47,")")</f>
        <v>(0.25541684273374,121.509666128585)</v>
      </c>
    </row>
    <row r="48" spans="1:18" x14ac:dyDescent="0.2">
      <c r="A48" s="8">
        <f t="shared" ref="A48:A55" si="13">B$12*10^-12*D48*2*B48*10^6*1000*PI()*0.5</f>
        <v>319.88385774235218</v>
      </c>
      <c r="B48">
        <v>28.57</v>
      </c>
      <c r="C48">
        <v>634</v>
      </c>
      <c r="D48">
        <v>13.05</v>
      </c>
      <c r="E48" s="1">
        <f t="shared" ref="E48:E55" si="14">D48*1000/(C48*H$12)</f>
        <v>116.92258723735536</v>
      </c>
      <c r="F48" s="1"/>
      <c r="G48" s="9">
        <f t="shared" ref="G48:G55" si="15">1/($B$9*10^-12*(2*PI()*B48*10^6)^2)</f>
        <v>6.4546878620201594E-7</v>
      </c>
      <c r="H48" s="1">
        <f t="shared" ref="H48:H55" si="16">(2*PI()*B48*10^6*G48)/((C48/(D48*1000))*SQRT($B$13^2 + (1/(2*PI()*B48*10^6*$B$12*10^-12))^2) - $B$11 - $B$13)</f>
        <v>120.56170634488329</v>
      </c>
      <c r="I48" s="8">
        <f t="shared" ref="I48:I55" si="17">(2*PI()*B48*10^6*G48)/H48</f>
        <v>0.96107209604985977</v>
      </c>
      <c r="J48" s="8">
        <f t="shared" ref="J48:J55" si="18">I48*(A48/1000)^2</f>
        <v>9.8342358106311784E-2</v>
      </c>
      <c r="K48" s="8">
        <f t="shared" ref="K48:K55" si="19">J48/B$15*1000</f>
        <v>75.299228513527581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7.2147807035876689E-4</v>
      </c>
      <c r="N48" s="10">
        <f t="shared" ref="N48:N55" si="22">M48/J48</f>
        <v>7.3363918076768302E-3</v>
      </c>
      <c r="O48">
        <f t="shared" ref="O48:O55" si="23">M48/((A48/1000)^2)</f>
        <v>7.0508014520469908E-3</v>
      </c>
      <c r="P48" s="11">
        <f t="shared" ref="P48:P55" si="24">2*PI()*B48*10^6*G48/(I48-O48)</f>
        <v>121.45273116683563</v>
      </c>
      <c r="R48" t="str">
        <f t="shared" ref="R48:R55" si="25">_xlfn.CONCAT("(",A48/1000,",",P48,")")</f>
        <v>(0.319883857742352,121.452731166836)</v>
      </c>
    </row>
    <row r="49" spans="1:18" x14ac:dyDescent="0.2">
      <c r="A49" s="8">
        <f t="shared" si="13"/>
        <v>417.19718458044707</v>
      </c>
      <c r="B49">
        <v>28.57</v>
      </c>
      <c r="C49">
        <v>832</v>
      </c>
      <c r="D49">
        <v>17.02</v>
      </c>
      <c r="E49" s="1">
        <f t="shared" si="14"/>
        <v>116.2019436754334</v>
      </c>
      <c r="F49" s="1"/>
      <c r="G49" s="9">
        <f t="shared" si="15"/>
        <v>6.4546878620201594E-7</v>
      </c>
      <c r="H49" s="1">
        <f t="shared" si="16"/>
        <v>119.79565267810332</v>
      </c>
      <c r="I49" s="8">
        <f t="shared" si="17"/>
        <v>0.96721783495406854</v>
      </c>
      <c r="J49" s="8">
        <f t="shared" si="18"/>
        <v>0.16834764055890916</v>
      </c>
      <c r="K49" s="8">
        <f t="shared" si="19"/>
        <v>128.90119476751602</v>
      </c>
      <c r="L49" s="2">
        <f t="shared" si="20"/>
        <v>2.3599999999999996E-12</v>
      </c>
      <c r="M49" s="2">
        <f t="shared" si="21"/>
        <v>1.2272166058205584E-3</v>
      </c>
      <c r="N49" s="10">
        <f t="shared" si="22"/>
        <v>7.289776095145948E-3</v>
      </c>
      <c r="O49">
        <f t="shared" si="23"/>
        <v>7.0508014520469873E-3</v>
      </c>
      <c r="P49" s="11">
        <f t="shared" si="24"/>
        <v>120.67534895216824</v>
      </c>
      <c r="R49" t="str">
        <f t="shared" si="25"/>
        <v>(0.417197184580447,120.675348952168)</v>
      </c>
    </row>
    <row r="50" spans="1:18" x14ac:dyDescent="0.2">
      <c r="A50" s="8">
        <f t="shared" si="13"/>
        <v>577.01655258658775</v>
      </c>
      <c r="B50">
        <v>28.57</v>
      </c>
      <c r="C50">
        <v>1156</v>
      </c>
      <c r="D50">
        <v>23.54</v>
      </c>
      <c r="E50" s="1">
        <f t="shared" si="14"/>
        <v>115.67134550780844</v>
      </c>
      <c r="F50" s="1"/>
      <c r="G50" s="9">
        <f t="shared" si="15"/>
        <v>6.4546878620201594E-7</v>
      </c>
      <c r="H50" s="1">
        <f t="shared" si="16"/>
        <v>119.23180758952735</v>
      </c>
      <c r="I50" s="8">
        <f t="shared" si="17"/>
        <v>0.97179179082077338</v>
      </c>
      <c r="J50" s="8">
        <f t="shared" si="18"/>
        <v>0.32355623225302704</v>
      </c>
      <c r="K50" s="8">
        <f t="shared" si="19"/>
        <v>247.74202224293612</v>
      </c>
      <c r="L50" s="2">
        <f t="shared" si="20"/>
        <v>2.3599999999999996E-12</v>
      </c>
      <c r="M50" s="2">
        <f t="shared" si="21"/>
        <v>2.3475509607481745E-3</v>
      </c>
      <c r="N50" s="10">
        <f t="shared" si="22"/>
        <v>7.2554651301302876E-3</v>
      </c>
      <c r="O50">
        <f t="shared" si="23"/>
        <v>7.0508014520469882E-3</v>
      </c>
      <c r="P50" s="11">
        <f t="shared" si="24"/>
        <v>120.10321225808249</v>
      </c>
      <c r="R50" t="str">
        <f t="shared" si="25"/>
        <v>(0.577016552586588,120.103212258082)</v>
      </c>
    </row>
    <row r="51" spans="1:18" x14ac:dyDescent="0.2">
      <c r="A51" s="8">
        <f t="shared" si="13"/>
        <v>824.34437822799282</v>
      </c>
      <c r="B51">
        <v>28.57</v>
      </c>
      <c r="C51">
        <v>1654</v>
      </c>
      <c r="D51">
        <v>33.630000000000003</v>
      </c>
      <c r="E51" s="1">
        <f t="shared" si="14"/>
        <v>115.49642061155787</v>
      </c>
      <c r="F51" s="1"/>
      <c r="G51" s="9">
        <f t="shared" si="15"/>
        <v>6.4546878620201594E-7</v>
      </c>
      <c r="H51" s="1">
        <f t="shared" si="16"/>
        <v>119.04595691544256</v>
      </c>
      <c r="I51" s="8">
        <f t="shared" si="17"/>
        <v>0.97330892054171292</v>
      </c>
      <c r="J51" s="8">
        <f t="shared" si="18"/>
        <v>0.66140590025404677</v>
      </c>
      <c r="K51" s="8">
        <f t="shared" si="19"/>
        <v>506.42830802964477</v>
      </c>
      <c r="L51" s="2">
        <f t="shared" si="20"/>
        <v>2.3599999999999996E-12</v>
      </c>
      <c r="M51" s="2">
        <f t="shared" si="21"/>
        <v>4.7913273817609256E-3</v>
      </c>
      <c r="N51" s="10">
        <f t="shared" si="22"/>
        <v>7.2441557898418676E-3</v>
      </c>
      <c r="O51">
        <f t="shared" si="23"/>
        <v>7.0508014520469873E-3</v>
      </c>
      <c r="P51" s="11">
        <f t="shared" si="24"/>
        <v>119.91463722901189</v>
      </c>
      <c r="R51" t="str">
        <f t="shared" si="25"/>
        <v>(0.824344378227993,119.914637229012)</v>
      </c>
    </row>
    <row r="52" spans="1:18" x14ac:dyDescent="0.2">
      <c r="A52" s="8">
        <f t="shared" si="13"/>
        <v>1213.3525638503013</v>
      </c>
      <c r="B52">
        <v>28.57</v>
      </c>
      <c r="C52">
        <v>2428</v>
      </c>
      <c r="D52">
        <v>49.5</v>
      </c>
      <c r="E52" s="1">
        <f t="shared" si="14"/>
        <v>115.8066982039022</v>
      </c>
      <c r="F52" s="1"/>
      <c r="G52" s="9">
        <f t="shared" si="15"/>
        <v>6.4546878620201594E-7</v>
      </c>
      <c r="H52" s="1">
        <f t="shared" si="16"/>
        <v>119.37562626502225</v>
      </c>
      <c r="I52" s="8">
        <f t="shared" si="17"/>
        <v>0.97062101741764684</v>
      </c>
      <c r="J52" s="8">
        <f t="shared" si="18"/>
        <v>1.4289719878985714</v>
      </c>
      <c r="K52" s="8">
        <f t="shared" si="19"/>
        <v>1094.1418360121497</v>
      </c>
      <c r="L52" s="2">
        <f t="shared" si="20"/>
        <v>2.3599999999999996E-12</v>
      </c>
      <c r="M52" s="2">
        <f t="shared" si="21"/>
        <v>1.0380362248919235E-2</v>
      </c>
      <c r="N52" s="10">
        <f t="shared" si="22"/>
        <v>7.264216749402112E-3</v>
      </c>
      <c r="O52">
        <f t="shared" si="23"/>
        <v>7.050801452046989E-3</v>
      </c>
      <c r="P52" s="11">
        <f t="shared" si="24"/>
        <v>120.24914209714557</v>
      </c>
      <c r="R52" t="str">
        <f t="shared" si="25"/>
        <v>(1.2133525638503,120.249142097146)</v>
      </c>
    </row>
    <row r="53" spans="1:18" x14ac:dyDescent="0.2">
      <c r="A53" s="8">
        <f t="shared" si="13"/>
        <v>1762.4252392088215</v>
      </c>
      <c r="B53">
        <v>28.57</v>
      </c>
      <c r="C53">
        <v>3600</v>
      </c>
      <c r="D53">
        <v>71.900000000000006</v>
      </c>
      <c r="E53" s="1">
        <f t="shared" si="14"/>
        <v>113.44975245168048</v>
      </c>
      <c r="F53" s="1"/>
      <c r="G53" s="9">
        <f t="shared" si="15"/>
        <v>6.4546878620201594E-7</v>
      </c>
      <c r="H53" s="1">
        <f t="shared" si="16"/>
        <v>116.87273899379485</v>
      </c>
      <c r="I53" s="8">
        <f t="shared" si="17"/>
        <v>0.99140734458509172</v>
      </c>
      <c r="J53" s="8">
        <f t="shared" si="18"/>
        <v>3.0794527097051314</v>
      </c>
      <c r="K53" s="8">
        <f t="shared" si="19"/>
        <v>2357.8894969552889</v>
      </c>
      <c r="L53" s="2">
        <f t="shared" si="20"/>
        <v>2.3599999999999996E-12</v>
      </c>
      <c r="M53" s="2">
        <f t="shared" si="21"/>
        <v>2.1900795627236153E-2</v>
      </c>
      <c r="N53" s="10">
        <f t="shared" si="22"/>
        <v>7.1119116582677548E-3</v>
      </c>
      <c r="O53">
        <f t="shared" si="23"/>
        <v>7.0508014520469908E-3</v>
      </c>
      <c r="P53" s="11">
        <f t="shared" si="24"/>
        <v>117.70988127069724</v>
      </c>
      <c r="R53" t="str">
        <f t="shared" si="25"/>
        <v>(1.76242523920882,117.709881270697)</v>
      </c>
    </row>
    <row r="54" spans="1:18" x14ac:dyDescent="0.2">
      <c r="A54" s="8">
        <f t="shared" si="13"/>
        <v>2475.7294737147558</v>
      </c>
      <c r="B54">
        <v>28.57</v>
      </c>
      <c r="C54">
        <v>5190</v>
      </c>
      <c r="D54">
        <v>101</v>
      </c>
      <c r="E54" s="1">
        <f t="shared" si="14"/>
        <v>110.54298276462711</v>
      </c>
      <c r="F54" s="1"/>
      <c r="G54" s="9">
        <f t="shared" si="15"/>
        <v>6.4546878620201594E-7</v>
      </c>
      <c r="H54" s="1">
        <f t="shared" si="16"/>
        <v>113.79030058486939</v>
      </c>
      <c r="I54" s="8">
        <f t="shared" si="17"/>
        <v>1.0182633425228127</v>
      </c>
      <c r="J54" s="8">
        <f t="shared" si="18"/>
        <v>6.2411767712899069</v>
      </c>
      <c r="K54" s="8">
        <f t="shared" si="19"/>
        <v>4778.7729005505344</v>
      </c>
      <c r="L54" s="2">
        <f t="shared" si="20"/>
        <v>2.3599999999999996E-12</v>
      </c>
      <c r="M54" s="2">
        <f t="shared" si="21"/>
        <v>4.3216029099571521E-2</v>
      </c>
      <c r="N54" s="10">
        <f t="shared" si="22"/>
        <v>6.9243398614136304E-3</v>
      </c>
      <c r="O54">
        <f t="shared" si="23"/>
        <v>7.0508014520469925E-3</v>
      </c>
      <c r="P54" s="11">
        <f t="shared" si="24"/>
        <v>114.58371718524411</v>
      </c>
      <c r="R54" t="str">
        <f t="shared" si="25"/>
        <v>(2.47572947371476,114.583717185244)</v>
      </c>
    </row>
    <row r="55" spans="1:18" x14ac:dyDescent="0.2">
      <c r="A55" s="8">
        <f t="shared" si="13"/>
        <v>3309.143355955367</v>
      </c>
      <c r="B55">
        <v>28.57</v>
      </c>
      <c r="C55">
        <v>7500</v>
      </c>
      <c r="D55">
        <v>135</v>
      </c>
      <c r="E55" s="1">
        <f t="shared" si="14"/>
        <v>102.24678663239075</v>
      </c>
      <c r="F55" s="1"/>
      <c r="G55" s="9">
        <f t="shared" si="15"/>
        <v>6.4546878620201594E-7</v>
      </c>
      <c r="H55" s="1">
        <f t="shared" si="16"/>
        <v>105.01886313442861</v>
      </c>
      <c r="I55" s="8">
        <f t="shared" si="17"/>
        <v>1.1033112372575207</v>
      </c>
      <c r="J55" s="8">
        <f t="shared" si="18"/>
        <v>12.08173219626484</v>
      </c>
      <c r="K55" s="8">
        <f t="shared" si="19"/>
        <v>9250.7962083065049</v>
      </c>
      <c r="L55" s="2">
        <f t="shared" si="20"/>
        <v>2.3599999999999996E-12</v>
      </c>
      <c r="M55" s="2">
        <f t="shared" si="21"/>
        <v>7.7209305983696797E-2</v>
      </c>
      <c r="N55" s="10">
        <f t="shared" si="22"/>
        <v>6.3905824702493114E-3</v>
      </c>
      <c r="O55">
        <f t="shared" si="23"/>
        <v>7.0508014520469908E-3</v>
      </c>
      <c r="P55" s="11">
        <f t="shared" si="24"/>
        <v>105.69431134773251</v>
      </c>
      <c r="R55" t="str">
        <f t="shared" si="25"/>
        <v>(3.30914335595537,105.694311347733)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D0B7-E3B3-1A4F-B3B9-E1BC9EE13660}">
  <dimension ref="A1:R56"/>
  <sheetViews>
    <sheetView topLeftCell="A19" workbookViewId="0">
      <selection activeCell="B37" sqref="B37"/>
    </sheetView>
  </sheetViews>
  <sheetFormatPr baseColWidth="10" defaultColWidth="11" defaultRowHeight="16" x14ac:dyDescent="0.2"/>
  <sheetData>
    <row r="1" spans="1:12" x14ac:dyDescent="0.2">
      <c r="A1" t="s">
        <v>0</v>
      </c>
      <c r="B1">
        <v>30</v>
      </c>
      <c r="C1" t="s">
        <v>1</v>
      </c>
    </row>
    <row r="2" spans="1:12" x14ac:dyDescent="0.2">
      <c r="A2" t="s">
        <v>2</v>
      </c>
      <c r="B2" t="s">
        <v>3</v>
      </c>
    </row>
    <row r="3" spans="1:12" x14ac:dyDescent="0.2">
      <c r="A3" t="s">
        <v>4</v>
      </c>
      <c r="B3">
        <v>964</v>
      </c>
    </row>
    <row r="4" spans="1:12" x14ac:dyDescent="0.2">
      <c r="A4" t="s">
        <v>5</v>
      </c>
      <c r="B4">
        <v>9</v>
      </c>
    </row>
    <row r="5" spans="1:12" x14ac:dyDescent="0.2">
      <c r="A5" t="s">
        <v>51</v>
      </c>
      <c r="B5">
        <v>17</v>
      </c>
    </row>
    <row r="6" spans="1:12" x14ac:dyDescent="0.2">
      <c r="A6" t="s">
        <v>6</v>
      </c>
      <c r="B6">
        <v>603</v>
      </c>
      <c r="C6" t="s">
        <v>7</v>
      </c>
    </row>
    <row r="7" spans="1:12" x14ac:dyDescent="0.2">
      <c r="A7" t="s">
        <v>8</v>
      </c>
      <c r="B7" s="1">
        <f>B6*30*10^6*2*PI()*10^-9</f>
        <v>113.66282220687872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</row>
    <row r="9" spans="1:12" x14ac:dyDescent="0.2">
      <c r="A9" t="s">
        <v>13</v>
      </c>
      <c r="B9">
        <f>B10*B12/(B10+B12)</f>
        <v>48.077794539146176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>
        <v>58.35</v>
      </c>
      <c r="C10" t="s">
        <v>14</v>
      </c>
      <c r="F10" s="2">
        <f>1/(F9*B10*10^-12)</f>
        <v>90.919704708309254</v>
      </c>
      <c r="G10" s="2"/>
      <c r="H10" s="2"/>
    </row>
    <row r="11" spans="1:12" x14ac:dyDescent="0.2">
      <c r="A11" t="s">
        <v>16</v>
      </c>
      <c r="B11">
        <v>2.0149821257547922E-2</v>
      </c>
      <c r="F11" s="2"/>
      <c r="G11" s="2"/>
      <c r="H11" s="2"/>
    </row>
    <row r="12" spans="1:12" x14ac:dyDescent="0.2">
      <c r="A12" t="s">
        <v>17</v>
      </c>
      <c r="B12" s="3">
        <v>273.10000000000002</v>
      </c>
      <c r="C12" t="s">
        <v>14</v>
      </c>
      <c r="F12" s="2">
        <f>1/(F9*B12*10^-12)</f>
        <v>19.425722335151391</v>
      </c>
      <c r="G12" s="2"/>
      <c r="H12" s="2">
        <f>F12/(F12+F10)</f>
        <v>0.17604465228541258</v>
      </c>
      <c r="L12">
        <f>1/(30*10^6*2*PI()*B10*10^-12)</f>
        <v>90.919704708309254</v>
      </c>
    </row>
    <row r="13" spans="1:12" x14ac:dyDescent="0.2">
      <c r="A13" t="s">
        <v>18</v>
      </c>
      <c r="B13">
        <v>9.7628686888237767E-3</v>
      </c>
      <c r="L13">
        <f>55.8-L12</f>
        <v>-35.119704708309257</v>
      </c>
    </row>
    <row r="14" spans="1:12" x14ac:dyDescent="0.2">
      <c r="A14" t="s">
        <v>19</v>
      </c>
      <c r="B14" s="4">
        <f>(1/(2*PI()*SQRT(B9*10^-12*B6*10^-9)))/10^6</f>
        <v>29.558963891616937</v>
      </c>
      <c r="C14" t="s">
        <v>1</v>
      </c>
    </row>
    <row r="15" spans="1:12" x14ac:dyDescent="0.2">
      <c r="A15" t="s">
        <v>20</v>
      </c>
      <c r="B15" s="5">
        <f>0.25*2.54*PI()*((2.54*0.7/2)^2-(2.54*0.29/2)^2)</f>
        <v>1.3060207926120317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B$12*10^-12*D18*2*B18*10^6*1000*PI()*0.5</f>
        <v>344.44253266671922</v>
      </c>
      <c r="B18">
        <v>28.635000000000002</v>
      </c>
      <c r="C18">
        <v>388</v>
      </c>
      <c r="D18">
        <v>14.02</v>
      </c>
      <c r="E18" s="1">
        <f>D18*1000/(C18*H$12)</f>
        <v>205.25486090866528</v>
      </c>
      <c r="F18" s="1"/>
      <c r="G18" s="9">
        <f>1/($B$9*10^-12*(2*PI()*B18*10^6)^2)</f>
        <v>6.4254174917001426E-7</v>
      </c>
      <c r="H18" s="1">
        <f>(2*PI()*B18*10^6*G18)/((C18/(D18*1000))*SQRT($B$13^2 + (1/(2*PI()*B18*10^6*$B$12*10^-12))^2) - $B$11 - $B$13)</f>
        <v>216.76718788518755</v>
      </c>
      <c r="I18" s="8">
        <f>(2*PI()*B18*10^6*G18)/H18</f>
        <v>0.53331630741224267</v>
      </c>
      <c r="J18" s="8">
        <f>I18*(A18/1000)^2</f>
        <v>6.3272997798774225E-2</v>
      </c>
      <c r="K18" s="8">
        <f>J18/B$15*1000</f>
        <v>48.447159613920618</v>
      </c>
      <c r="L18" s="2">
        <f xml:space="preserve"> (4*8.85*10^-12*0.01*0.01)/0.0015</f>
        <v>2.3599999999999996E-12</v>
      </c>
      <c r="M18" s="2">
        <f>0.5*D18*D18*2*PI()*B18*10^6*L18*0.02</f>
        <v>8.3461288662396715E-4</v>
      </c>
      <c r="N18" s="10">
        <f>M18/J18</f>
        <v>1.3190664511870748E-2</v>
      </c>
      <c r="O18">
        <f>M18/((A18/1000)^2)</f>
        <v>7.0347964897846194E-3</v>
      </c>
      <c r="P18" s="11">
        <f>2*PI()*B18*10^6*G18/(I18-O18)</f>
        <v>219.66471139833999</v>
      </c>
      <c r="R18" t="str">
        <f>_xlfn.CONCAT("(",A18/1000,",",P18,")")</f>
        <v>(0.344442532666719,219.66471139834)</v>
      </c>
    </row>
    <row r="19" spans="1:18" x14ac:dyDescent="0.2">
      <c r="A19" s="8">
        <f t="shared" ref="A19:A26" si="0">B$12*10^-12*D19*2*B19*10^6*1000*PI()*0.5</f>
        <v>430.43032612845377</v>
      </c>
      <c r="B19">
        <v>28.635000000000002</v>
      </c>
      <c r="C19">
        <v>488</v>
      </c>
      <c r="D19">
        <v>17.52</v>
      </c>
      <c r="E19" s="1">
        <f t="shared" ref="E19:E26" si="1">D19*1000/(C19*H$12)</f>
        <v>203.93484765476842</v>
      </c>
      <c r="F19" s="1"/>
      <c r="G19" s="9">
        <f t="shared" ref="G19:G26" si="2">1/($B$9*10^-12*(2*PI()*B19*10^6)^2)</f>
        <v>6.4254174917001426E-7</v>
      </c>
      <c r="H19" s="1">
        <f t="shared" ref="H19:H26" si="3">(2*PI()*B19*10^6*G19)/((C19/(D19*1000))*SQRT($B$13^2 + (1/(2*PI()*B19*10^6*$B$12*10^-12))^2) - $B$11 - $B$13)</f>
        <v>215.29547903412438</v>
      </c>
      <c r="I19" s="8">
        <f t="shared" ref="I19:I26" si="4">(2*PI()*B19*10^6*G19)/H19</f>
        <v>0.53696193124770897</v>
      </c>
      <c r="J19" s="8">
        <f t="shared" ref="J19:J26" si="5">I19*(A19/1000)^2</f>
        <v>9.9483079646762312E-2</v>
      </c>
      <c r="K19" s="8">
        <f t="shared" ref="K19:K26" si="6">J19/B$15*1000</f>
        <v>76.172661422791663</v>
      </c>
      <c r="L19" s="2">
        <f t="shared" ref="L19:L26" si="7" xml:space="preserve"> (4*8.85*10^-12*0.01*0.01)/0.0015</f>
        <v>2.3599999999999996E-12</v>
      </c>
      <c r="M19" s="2">
        <f t="shared" ref="M19:M26" si="8">0.5*D19*D19*2*PI()*B19*10^6*L19*0.02</f>
        <v>1.3033386144634491E-3</v>
      </c>
      <c r="N19" s="10">
        <f t="shared" ref="N19:N26" si="9">M19/J19</f>
        <v>1.3101108440664025E-2</v>
      </c>
      <c r="O19">
        <f t="shared" ref="O19:O26" si="10">M19/((A19/1000)^2)</f>
        <v>7.0347964897846151E-3</v>
      </c>
      <c r="P19" s="11">
        <f t="shared" ref="P19:P26" si="11">2*PI()*B19*10^6*G19/(I19-O19)</f>
        <v>218.15353211507792</v>
      </c>
      <c r="R19" t="str">
        <f t="shared" ref="R19:R26" si="12">_xlfn.CONCAT("(",A19/1000,",",P19,")")</f>
        <v>(0.430430326128454,218.153532115078)</v>
      </c>
    </row>
    <row r="20" spans="1:18" x14ac:dyDescent="0.2">
      <c r="A20" s="8">
        <f t="shared" si="0"/>
        <v>560.88609278039951</v>
      </c>
      <c r="B20">
        <v>28.635000000000002</v>
      </c>
      <c r="C20">
        <v>644</v>
      </c>
      <c r="D20">
        <v>22.83</v>
      </c>
      <c r="E20" s="1">
        <f t="shared" si="1"/>
        <v>201.37112998770539</v>
      </c>
      <c r="F20" s="1"/>
      <c r="G20" s="9">
        <f t="shared" si="2"/>
        <v>6.4254174917001426E-7</v>
      </c>
      <c r="H20" s="1">
        <f t="shared" si="3"/>
        <v>212.44016982265873</v>
      </c>
      <c r="I20" s="8">
        <f t="shared" si="4"/>
        <v>0.54417898605320003</v>
      </c>
      <c r="J20" s="8">
        <f t="shared" si="5"/>
        <v>0.17119501353336358</v>
      </c>
      <c r="K20" s="8">
        <f t="shared" si="6"/>
        <v>131.08138438667186</v>
      </c>
      <c r="L20" s="2">
        <f t="shared" si="7"/>
        <v>2.3599999999999996E-12</v>
      </c>
      <c r="M20" s="2">
        <f t="shared" si="8"/>
        <v>2.21309920290711E-3</v>
      </c>
      <c r="N20" s="10">
        <f t="shared" si="9"/>
        <v>1.2927357854823306E-2</v>
      </c>
      <c r="O20">
        <f t="shared" si="10"/>
        <v>7.0347964897846185E-3</v>
      </c>
      <c r="P20" s="11">
        <f t="shared" si="11"/>
        <v>215.22242715689964</v>
      </c>
      <c r="R20" t="str">
        <f t="shared" si="12"/>
        <v>(0.560886092780399,215.2224271569)</v>
      </c>
    </row>
    <row r="21" spans="1:18" x14ac:dyDescent="0.2">
      <c r="A21" s="8">
        <f t="shared" si="0"/>
        <v>770.20495000725032</v>
      </c>
      <c r="B21">
        <v>28.635000000000002</v>
      </c>
      <c r="C21">
        <v>896</v>
      </c>
      <c r="D21">
        <v>31.35</v>
      </c>
      <c r="E21" s="1">
        <f t="shared" si="1"/>
        <v>198.74979916452443</v>
      </c>
      <c r="F21" s="1"/>
      <c r="G21" s="9">
        <f t="shared" si="2"/>
        <v>6.4254174917001426E-7</v>
      </c>
      <c r="H21" s="1">
        <f t="shared" si="3"/>
        <v>209.52482383943388</v>
      </c>
      <c r="I21" s="8">
        <f t="shared" si="4"/>
        <v>0.55175073813524134</v>
      </c>
      <c r="J21" s="8">
        <f t="shared" si="5"/>
        <v>0.32730718104578449</v>
      </c>
      <c r="K21" s="8">
        <f t="shared" si="6"/>
        <v>250.61406594543766</v>
      </c>
      <c r="L21" s="2">
        <f t="shared" si="7"/>
        <v>2.3599999999999996E-12</v>
      </c>
      <c r="M21" s="2">
        <f t="shared" si="8"/>
        <v>4.1731514779374899E-3</v>
      </c>
      <c r="N21" s="10">
        <f t="shared" si="9"/>
        <v>1.2749953925861895E-2</v>
      </c>
      <c r="O21">
        <f t="shared" si="10"/>
        <v>7.0347964897846185E-3</v>
      </c>
      <c r="P21" s="11">
        <f t="shared" si="11"/>
        <v>212.23075620266877</v>
      </c>
      <c r="R21" t="str">
        <f>_xlfn.CONCAT("(",A21/1000,",",P21,")")</f>
        <v>(0.77020495000725,212.230756202669)</v>
      </c>
    </row>
    <row r="22" spans="1:18" x14ac:dyDescent="0.2">
      <c r="A22" s="8">
        <f t="shared" si="0"/>
        <v>1089.5881828651211</v>
      </c>
      <c r="B22">
        <v>28.635000000000002</v>
      </c>
      <c r="C22">
        <v>1280</v>
      </c>
      <c r="D22">
        <v>44.35</v>
      </c>
      <c r="E22" s="1">
        <f t="shared" si="1"/>
        <v>196.81618867823479</v>
      </c>
      <c r="F22" s="1"/>
      <c r="G22" s="9">
        <f t="shared" si="2"/>
        <v>6.4254174917001426E-7</v>
      </c>
      <c r="H22" s="1">
        <f t="shared" si="3"/>
        <v>207.37700518902113</v>
      </c>
      <c r="I22" s="8">
        <f t="shared" si="4"/>
        <v>0.55746526045976674</v>
      </c>
      <c r="J22" s="8">
        <f t="shared" si="5"/>
        <v>0.66182409972759282</v>
      </c>
      <c r="K22" s="8">
        <f t="shared" si="6"/>
        <v>506.74851692364689</v>
      </c>
      <c r="L22" s="2">
        <f t="shared" si="7"/>
        <v>2.3599999999999996E-12</v>
      </c>
      <c r="M22" s="2">
        <f t="shared" si="8"/>
        <v>8.3517273341457889E-3</v>
      </c>
      <c r="N22" s="10">
        <f t="shared" si="9"/>
        <v>1.2619255384600478E-2</v>
      </c>
      <c r="O22">
        <f t="shared" si="10"/>
        <v>7.0347964897846185E-3</v>
      </c>
      <c r="P22" s="11">
        <f t="shared" si="11"/>
        <v>210.02739451820864</v>
      </c>
      <c r="R22" t="str">
        <f t="shared" si="12"/>
        <v>(1.08958818286512,210.027394518209)</v>
      </c>
    </row>
    <row r="23" spans="1:18" x14ac:dyDescent="0.2">
      <c r="A23" s="8">
        <f t="shared" si="0"/>
        <v>1560.0642528057544</v>
      </c>
      <c r="B23">
        <v>28.635000000000002</v>
      </c>
      <c r="C23">
        <v>1884</v>
      </c>
      <c r="D23">
        <v>63.5</v>
      </c>
      <c r="E23" s="1">
        <f t="shared" si="1"/>
        <v>191.45644465548514</v>
      </c>
      <c r="F23" s="1"/>
      <c r="G23" s="9">
        <f t="shared" si="2"/>
        <v>6.4254174917001426E-7</v>
      </c>
      <c r="H23" s="1">
        <f t="shared" si="3"/>
        <v>201.4353216637243</v>
      </c>
      <c r="I23" s="8">
        <f t="shared" si="4"/>
        <v>0.57390866336766699</v>
      </c>
      <c r="J23" s="8">
        <f t="shared" si="5"/>
        <v>1.3967791762955208</v>
      </c>
      <c r="K23" s="8">
        <f t="shared" si="6"/>
        <v>1069.4922961386956</v>
      </c>
      <c r="L23" s="2">
        <f t="shared" si="7"/>
        <v>2.3599999999999996E-12</v>
      </c>
      <c r="M23" s="2">
        <f t="shared" si="8"/>
        <v>1.7121291023469078E-2</v>
      </c>
      <c r="N23" s="10">
        <f t="shared" si="9"/>
        <v>1.2257693495171834E-2</v>
      </c>
      <c r="O23">
        <f t="shared" si="10"/>
        <v>7.0347964897846133E-3</v>
      </c>
      <c r="P23" s="11">
        <f t="shared" si="11"/>
        <v>203.93509555798263</v>
      </c>
      <c r="R23" t="str">
        <f t="shared" si="12"/>
        <v>(1.56006425280575,203.935095557983)</v>
      </c>
    </row>
    <row r="24" spans="1:18" x14ac:dyDescent="0.2">
      <c r="A24" s="8">
        <f t="shared" si="0"/>
        <v>2236.9110270545498</v>
      </c>
      <c r="B24">
        <v>28.635000000000002</v>
      </c>
      <c r="C24">
        <v>2800</v>
      </c>
      <c r="D24">
        <v>91.05</v>
      </c>
      <c r="E24" s="1">
        <f t="shared" si="1"/>
        <v>184.71368894601542</v>
      </c>
      <c r="F24" s="1"/>
      <c r="G24" s="9">
        <f t="shared" si="2"/>
        <v>6.4254174917001426E-7</v>
      </c>
      <c r="H24" s="1">
        <f t="shared" si="3"/>
        <v>193.98504698739282</v>
      </c>
      <c r="I24" s="8">
        <f t="shared" si="4"/>
        <v>0.59595045085396359</v>
      </c>
      <c r="J24" s="8">
        <f t="shared" si="5"/>
        <v>2.9819995494259262</v>
      </c>
      <c r="K24" s="8">
        <f t="shared" si="6"/>
        <v>2283.2711135187592</v>
      </c>
      <c r="L24" s="2">
        <f t="shared" si="7"/>
        <v>2.3599999999999996E-12</v>
      </c>
      <c r="M24" s="2">
        <f t="shared" si="8"/>
        <v>3.5200510265208894E-2</v>
      </c>
      <c r="N24" s="10">
        <f t="shared" si="9"/>
        <v>1.1804331181735239E-2</v>
      </c>
      <c r="O24">
        <f t="shared" si="10"/>
        <v>7.0347964897846168E-3</v>
      </c>
      <c r="P24" s="11">
        <f t="shared" si="11"/>
        <v>196.30226392245791</v>
      </c>
      <c r="R24" t="str">
        <f t="shared" si="12"/>
        <v>(2.23691102705455,196.302263922458)</v>
      </c>
    </row>
    <row r="25" spans="1:18" x14ac:dyDescent="0.2">
      <c r="A25" s="8">
        <f t="shared" si="0"/>
        <v>3171.7211816885497</v>
      </c>
      <c r="B25">
        <v>28.635000000000002</v>
      </c>
      <c r="C25">
        <v>4120</v>
      </c>
      <c r="D25">
        <v>129.1</v>
      </c>
      <c r="E25" s="1">
        <f t="shared" si="1"/>
        <v>177.99433864942887</v>
      </c>
      <c r="F25" s="1"/>
      <c r="G25" s="9">
        <f t="shared" si="2"/>
        <v>6.4254174917001426E-7</v>
      </c>
      <c r="H25" s="1">
        <f t="shared" si="3"/>
        <v>186.58774363555224</v>
      </c>
      <c r="I25" s="8">
        <f t="shared" si="4"/>
        <v>0.61957700949997829</v>
      </c>
      <c r="J25" s="8">
        <f t="shared" si="5"/>
        <v>6.2328302514259502</v>
      </c>
      <c r="K25" s="8">
        <f t="shared" si="6"/>
        <v>4772.3820988794041</v>
      </c>
      <c r="L25" s="2">
        <f t="shared" si="7"/>
        <v>2.3599999999999996E-12</v>
      </c>
      <c r="M25" s="2">
        <f t="shared" si="8"/>
        <v>7.076875303933651E-2</v>
      </c>
      <c r="N25" s="10">
        <f t="shared" si="9"/>
        <v>1.1354192266530281E-2</v>
      </c>
      <c r="O25">
        <f t="shared" si="10"/>
        <v>7.0347964897846116E-3</v>
      </c>
      <c r="P25" s="11">
        <f t="shared" si="11"/>
        <v>188.73062746638851</v>
      </c>
      <c r="R25" t="str">
        <f t="shared" si="12"/>
        <v>(3.17172118168855,188.730627466389)</v>
      </c>
    </row>
    <row r="26" spans="1:18" x14ac:dyDescent="0.2">
      <c r="A26" s="8">
        <f t="shared" si="0"/>
        <v>4864.4523158352649</v>
      </c>
      <c r="B26">
        <v>28.635000000000002</v>
      </c>
      <c r="C26">
        <v>7800</v>
      </c>
      <c r="D26">
        <v>198</v>
      </c>
      <c r="E26" s="1">
        <f t="shared" si="1"/>
        <v>144.19418627644848</v>
      </c>
      <c r="F26" s="1"/>
      <c r="G26" s="9">
        <f t="shared" si="2"/>
        <v>6.4254174917001426E-7</v>
      </c>
      <c r="H26" s="1">
        <f t="shared" si="3"/>
        <v>149.78255038567943</v>
      </c>
      <c r="I26" s="8">
        <f t="shared" si="4"/>
        <v>0.77182205746522659</v>
      </c>
      <c r="J26" s="8">
        <f t="shared" si="5"/>
        <v>18.263545333349491</v>
      </c>
      <c r="K26" s="8">
        <f t="shared" si="6"/>
        <v>13984.115288717981</v>
      </c>
      <c r="L26" s="2">
        <f t="shared" si="7"/>
        <v>2.3599999999999996E-12</v>
      </c>
      <c r="M26" s="2">
        <f t="shared" si="8"/>
        <v>0.16646366006177238</v>
      </c>
      <c r="N26" s="10">
        <f t="shared" si="9"/>
        <v>9.1145315448587852E-3</v>
      </c>
      <c r="O26">
        <f t="shared" si="10"/>
        <v>7.0347964897846168E-3</v>
      </c>
      <c r="P26" s="11">
        <f t="shared" si="11"/>
        <v>151.16030576086735</v>
      </c>
      <c r="R26" t="str">
        <f t="shared" si="12"/>
        <v>(4.86445231583526,151.160305760867)</v>
      </c>
    </row>
    <row r="30" spans="1:18" x14ac:dyDescent="0.2">
      <c r="A30" t="s">
        <v>0</v>
      </c>
      <c r="B30">
        <v>30</v>
      </c>
      <c r="C30" t="s">
        <v>1</v>
      </c>
    </row>
    <row r="31" spans="1:18" x14ac:dyDescent="0.2">
      <c r="A31" t="s">
        <v>2</v>
      </c>
      <c r="B31" t="s">
        <v>35</v>
      </c>
    </row>
    <row r="32" spans="1:18" x14ac:dyDescent="0.2">
      <c r="A32" t="s">
        <v>4</v>
      </c>
      <c r="B32">
        <v>964</v>
      </c>
    </row>
    <row r="33" spans="1:18" x14ac:dyDescent="0.2">
      <c r="A33" t="s">
        <v>5</v>
      </c>
      <c r="B33">
        <v>28</v>
      </c>
    </row>
    <row r="34" spans="1:18" x14ac:dyDescent="0.2">
      <c r="A34" t="s">
        <v>51</v>
      </c>
      <c r="B34">
        <v>22</v>
      </c>
    </row>
    <row r="35" spans="1:18" x14ac:dyDescent="0.2">
      <c r="A35" t="s">
        <v>6</v>
      </c>
      <c r="B35">
        <v>609</v>
      </c>
      <c r="C35" t="s">
        <v>7</v>
      </c>
    </row>
    <row r="36" spans="1:18" x14ac:dyDescent="0.2">
      <c r="A36" t="s">
        <v>8</v>
      </c>
      <c r="B36" s="1">
        <f>B35*30*10^6*2*PI()*10^-9</f>
        <v>114.79379556217104</v>
      </c>
      <c r="D36" t="s">
        <v>9</v>
      </c>
      <c r="E36" t="s">
        <v>10</v>
      </c>
    </row>
    <row r="37" spans="1:18" x14ac:dyDescent="0.2">
      <c r="A37" t="s">
        <v>11</v>
      </c>
      <c r="B37" t="s">
        <v>12</v>
      </c>
    </row>
    <row r="38" spans="1:18" x14ac:dyDescent="0.2">
      <c r="A38" t="s">
        <v>13</v>
      </c>
      <c r="B38">
        <f>B39*B41/(B39+B41)</f>
        <v>48.077794539146176</v>
      </c>
      <c r="C38" t="s">
        <v>14</v>
      </c>
      <c r="F38" s="2">
        <f>30*10^6*2*PI()</f>
        <v>188495559.21538758</v>
      </c>
      <c r="G38" s="2"/>
      <c r="H38" s="2"/>
    </row>
    <row r="39" spans="1:18" x14ac:dyDescent="0.2">
      <c r="A39" t="s">
        <v>15</v>
      </c>
      <c r="B39" s="3">
        <v>58.35</v>
      </c>
      <c r="C39" t="s">
        <v>14</v>
      </c>
      <c r="F39" s="2">
        <f>1/(F38*B39*10^-12)</f>
        <v>90.919704708309254</v>
      </c>
      <c r="G39" s="2"/>
      <c r="H39" s="2"/>
    </row>
    <row r="40" spans="1:18" x14ac:dyDescent="0.2">
      <c r="A40" t="s">
        <v>16</v>
      </c>
      <c r="B40">
        <v>2.0149821257547922E-2</v>
      </c>
      <c r="F40" s="2"/>
      <c r="G40" s="2"/>
      <c r="H40" s="2"/>
    </row>
    <row r="41" spans="1:18" x14ac:dyDescent="0.2">
      <c r="A41" t="s">
        <v>17</v>
      </c>
      <c r="B41" s="3">
        <v>273.10000000000002</v>
      </c>
      <c r="C41" t="s">
        <v>14</v>
      </c>
      <c r="F41" s="2">
        <f>1/(F38*B41*10^-12)</f>
        <v>19.425722335151391</v>
      </c>
      <c r="G41" s="2"/>
      <c r="H41" s="2">
        <f>F41/(F41+F39)</f>
        <v>0.17604465228541258</v>
      </c>
      <c r="L41">
        <f>1/(30*10^6*2*PI()*B39*10^-12)</f>
        <v>90.919704708309254</v>
      </c>
    </row>
    <row r="42" spans="1:18" x14ac:dyDescent="0.2">
      <c r="A42" t="s">
        <v>18</v>
      </c>
      <c r="B42">
        <v>9.7628686888237767E-3</v>
      </c>
      <c r="L42">
        <f>55.8-L41</f>
        <v>-35.119704708309257</v>
      </c>
    </row>
    <row r="43" spans="1:18" x14ac:dyDescent="0.2">
      <c r="A43" t="s">
        <v>19</v>
      </c>
      <c r="B43" s="4">
        <f>(1/(2*PI()*SQRT(B38*10^-12*B35*10^-9)))/10^6</f>
        <v>29.412992807419375</v>
      </c>
      <c r="C43" t="s">
        <v>1</v>
      </c>
    </row>
    <row r="44" spans="1:18" x14ac:dyDescent="0.2">
      <c r="A44" t="s">
        <v>20</v>
      </c>
      <c r="B44" s="5">
        <f>0.25*2.54*PI()*((2.54*0.7/2)^2-(2.54*0.29/2)^2)</f>
        <v>1.3060207926120317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B$12*10^-12*D47*2*B47*10^6*1000*PI()*0.5</f>
        <v>292.64291447804726</v>
      </c>
      <c r="B47">
        <v>28.05</v>
      </c>
      <c r="C47">
        <v>520.6</v>
      </c>
      <c r="D47">
        <v>12.16</v>
      </c>
      <c r="E47" s="1">
        <f>D47*1000/(C47*H$12)</f>
        <v>132.68033950675198</v>
      </c>
      <c r="F47" s="1"/>
      <c r="G47" s="9">
        <f>1/($B$9*10^-12*(2*PI()*B47*10^6)^2)</f>
        <v>6.6962243364324081E-7</v>
      </c>
      <c r="H47" s="1">
        <f>(2*PI()*B47*10^6*G47)/((C47/(D47*1000))*SQRT($B$13^2 + (1/(2*PI()*B47*10^6*$B$12*10^-12))^2) - $B$11 - $B$13)</f>
        <v>137.29756102832536</v>
      </c>
      <c r="I47" s="8">
        <f>(2*PI()*B47*10^6*G47)/H47</f>
        <v>0.85956734138471003</v>
      </c>
      <c r="J47" s="8">
        <f>I47*(A47/1000)^2</f>
        <v>7.3613240009115219E-2</v>
      </c>
      <c r="K47" s="8">
        <f>J47/B$15*1000</f>
        <v>56.364523769862267</v>
      </c>
      <c r="L47" s="2">
        <f xml:space="preserve"> (4*8.85*10^-12*0.01*0.01)/0.0015</f>
        <v>2.3599999999999996E-12</v>
      </c>
      <c r="M47" s="2">
        <f>0.5*D47*D47*2*PI()*B47*10^6*L47*0.02</f>
        <v>6.1502374972722141E-4</v>
      </c>
      <c r="N47" s="10">
        <f>M47/J47</f>
        <v>8.3547979908378655E-3</v>
      </c>
      <c r="O47">
        <f>M47/((A47/1000)^2)</f>
        <v>7.181511496790821E-3</v>
      </c>
      <c r="P47" s="11">
        <f>2*PI()*B47*10^6*G47/(I47-O47)</f>
        <v>138.45431889364076</v>
      </c>
      <c r="R47" t="str">
        <f>_xlfn.CONCAT("(",A47/1000,",",P47,")")</f>
        <v>(0.292642914478047,138.454318893641)</v>
      </c>
    </row>
    <row r="48" spans="1:18" x14ac:dyDescent="0.2">
      <c r="A48" s="8">
        <f t="shared" ref="A48:A55" si="13">B$12*10^-12*D48*2*B48*10^6*1000*PI()*0.5</f>
        <v>367.72892542965144</v>
      </c>
      <c r="B48">
        <v>28.05</v>
      </c>
      <c r="C48">
        <v>653</v>
      </c>
      <c r="D48">
        <v>15.28</v>
      </c>
      <c r="E48" s="1">
        <f t="shared" ref="E48:E55" si="14">D48*1000/(C48*H$12)</f>
        <v>132.91908284353673</v>
      </c>
      <c r="F48" s="1"/>
      <c r="G48" s="9">
        <f t="shared" ref="G48:G55" si="15">1/($B$9*10^-12*(2*PI()*B48*10^6)^2)</f>
        <v>6.6962243364324081E-7</v>
      </c>
      <c r="H48" s="1">
        <f t="shared" ref="H48:H55" si="16">(2*PI()*B48*10^6*G48)/((C48/(D48*1000))*SQRT($B$13^2 + (1/(2*PI()*B48*10^6*$B$12*10^-12))^2) - $B$11 - $B$13)</f>
        <v>137.55322586437705</v>
      </c>
      <c r="I48" s="8">
        <f t="shared" ref="I48:I55" si="17">(2*PI()*B48*10^6*G48)/H48</f>
        <v>0.85796969696721603</v>
      </c>
      <c r="J48" s="8">
        <f t="shared" ref="J48:J55" si="18">I48*(A48/1000)^2</f>
        <v>0.11601857699442683</v>
      </c>
      <c r="K48" s="8">
        <f t="shared" ref="K48:K55" si="19">J48/B$15*1000</f>
        <v>88.833636991636666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9.7111675094350611E-4</v>
      </c>
      <c r="N48" s="10">
        <f t="shared" ref="N48:N55" si="22">M48/J48</f>
        <v>8.3703556456321253E-3</v>
      </c>
      <c r="O48">
        <f t="shared" ref="O48:O55" si="23">M48/((A48/1000)^2)</f>
        <v>7.1815114967908218E-3</v>
      </c>
      <c r="P48" s="11">
        <f t="shared" ref="P48:P55" si="24">2*PI()*B48*10^6*G48/(I48-O48)</f>
        <v>138.71431400574502</v>
      </c>
      <c r="R48" t="str">
        <f t="shared" ref="R48:R55" si="25">_xlfn.CONCAT("(",A48/1000,",",P48,")")</f>
        <v>(0.367728925429651,138.714314005745)</v>
      </c>
    </row>
    <row r="49" spans="1:18" x14ac:dyDescent="0.2">
      <c r="A49" s="8">
        <f t="shared" si="13"/>
        <v>485.17114768728896</v>
      </c>
      <c r="B49">
        <v>28.05</v>
      </c>
      <c r="C49">
        <v>858</v>
      </c>
      <c r="D49">
        <v>20.16</v>
      </c>
      <c r="E49" s="1">
        <f t="shared" si="14"/>
        <v>133.46899886745646</v>
      </c>
      <c r="F49" s="1"/>
      <c r="G49" s="9">
        <f t="shared" si="15"/>
        <v>6.6962243364324081E-7</v>
      </c>
      <c r="H49" s="1">
        <f t="shared" si="16"/>
        <v>138.14224032699005</v>
      </c>
      <c r="I49" s="8">
        <f t="shared" si="17"/>
        <v>0.85431146354924647</v>
      </c>
      <c r="J49" s="8">
        <f t="shared" si="18"/>
        <v>0.20109726606573669</v>
      </c>
      <c r="K49" s="8">
        <f t="shared" si="19"/>
        <v>153.97707846866945</v>
      </c>
      <c r="L49" s="2">
        <f t="shared" si="20"/>
        <v>2.3599999999999996E-12</v>
      </c>
      <c r="M49" s="2">
        <f t="shared" si="21"/>
        <v>1.690463478301483E-3</v>
      </c>
      <c r="N49" s="10">
        <f t="shared" si="22"/>
        <v>8.4061982113117703E-3</v>
      </c>
      <c r="O49">
        <f t="shared" si="23"/>
        <v>7.1815114967908166E-3</v>
      </c>
      <c r="P49" s="11">
        <f t="shared" si="24"/>
        <v>139.31333584155317</v>
      </c>
      <c r="R49" t="str">
        <f t="shared" si="25"/>
        <v>(0.485171147687289,139.313335841553)</v>
      </c>
    </row>
    <row r="50" spans="1:18" x14ac:dyDescent="0.2">
      <c r="A50" s="8">
        <f t="shared" si="13"/>
        <v>673.84881623234571</v>
      </c>
      <c r="B50">
        <v>28.05</v>
      </c>
      <c r="C50">
        <v>1192</v>
      </c>
      <c r="D50">
        <v>28</v>
      </c>
      <c r="E50" s="1">
        <f t="shared" si="14"/>
        <v>133.43167532191185</v>
      </c>
      <c r="F50" s="1"/>
      <c r="G50" s="9">
        <f t="shared" si="15"/>
        <v>6.6962243364324081E-7</v>
      </c>
      <c r="H50" s="1">
        <f t="shared" si="16"/>
        <v>138.10225774168981</v>
      </c>
      <c r="I50" s="8">
        <f t="shared" si="17"/>
        <v>0.85455879897679765</v>
      </c>
      <c r="J50" s="8">
        <f t="shared" si="18"/>
        <v>0.38803141707154132</v>
      </c>
      <c r="K50" s="8">
        <f t="shared" si="19"/>
        <v>297.1096779366593</v>
      </c>
      <c r="L50" s="2">
        <f t="shared" si="20"/>
        <v>2.3599999999999996E-12</v>
      </c>
      <c r="M50" s="2">
        <f t="shared" si="21"/>
        <v>3.2609249195630456E-3</v>
      </c>
      <c r="N50" s="10">
        <f t="shared" si="22"/>
        <v>8.4037652006972129E-3</v>
      </c>
      <c r="O50">
        <f t="shared" si="23"/>
        <v>7.1815114967908175E-3</v>
      </c>
      <c r="P50" s="11">
        <f t="shared" si="24"/>
        <v>139.27267258093354</v>
      </c>
      <c r="R50" t="str">
        <f t="shared" si="25"/>
        <v>(0.673848816232346,139.272672580934)</v>
      </c>
    </row>
    <row r="51" spans="1:18" x14ac:dyDescent="0.2">
      <c r="A51" s="8">
        <f t="shared" si="13"/>
        <v>961.43786458865043</v>
      </c>
      <c r="B51">
        <v>28.05</v>
      </c>
      <c r="C51">
        <v>1710</v>
      </c>
      <c r="D51">
        <v>39.950000000000003</v>
      </c>
      <c r="E51" s="1">
        <f t="shared" si="14"/>
        <v>132.7082237155299</v>
      </c>
      <c r="F51" s="1"/>
      <c r="G51" s="9">
        <f t="shared" si="15"/>
        <v>6.6962243364324081E-7</v>
      </c>
      <c r="H51" s="1">
        <f t="shared" si="16"/>
        <v>137.32741994498244</v>
      </c>
      <c r="I51" s="8">
        <f t="shared" si="17"/>
        <v>0.85938044681101278</v>
      </c>
      <c r="J51" s="8">
        <f t="shared" si="18"/>
        <v>0.79437928811935055</v>
      </c>
      <c r="K51" s="8">
        <f t="shared" si="19"/>
        <v>608.24398249479475</v>
      </c>
      <c r="L51" s="2">
        <f t="shared" si="20"/>
        <v>2.3599999999999996E-12</v>
      </c>
      <c r="M51" s="2">
        <f t="shared" si="21"/>
        <v>6.6383218417537257E-3</v>
      </c>
      <c r="N51" s="10">
        <f t="shared" si="22"/>
        <v>8.3566149584156316E-3</v>
      </c>
      <c r="O51">
        <f t="shared" si="23"/>
        <v>7.1815114967908183E-3</v>
      </c>
      <c r="P51" s="11">
        <f t="shared" si="24"/>
        <v>138.4846831194499</v>
      </c>
      <c r="R51" t="str">
        <f t="shared" si="25"/>
        <v>(0.96143786458865,138.48468311945)</v>
      </c>
    </row>
    <row r="52" spans="1:18" x14ac:dyDescent="0.2">
      <c r="A52" s="8">
        <f t="shared" si="13"/>
        <v>1410.2693082576948</v>
      </c>
      <c r="B52">
        <v>28.05</v>
      </c>
      <c r="C52">
        <v>2526</v>
      </c>
      <c r="D52">
        <v>58.6</v>
      </c>
      <c r="E52" s="1">
        <f t="shared" si="14"/>
        <v>131.77755117133145</v>
      </c>
      <c r="F52" s="1"/>
      <c r="G52" s="9">
        <f t="shared" si="15"/>
        <v>6.6962243364324081E-7</v>
      </c>
      <c r="H52" s="1">
        <f t="shared" si="16"/>
        <v>136.33107481962989</v>
      </c>
      <c r="I52" s="8">
        <f t="shared" si="17"/>
        <v>0.86566103632544511</v>
      </c>
      <c r="J52" s="8">
        <f t="shared" si="18"/>
        <v>1.7216781947589219</v>
      </c>
      <c r="K52" s="8">
        <f t="shared" si="19"/>
        <v>1318.2624690955943</v>
      </c>
      <c r="L52" s="2">
        <f t="shared" si="20"/>
        <v>2.3599999999999996E-12</v>
      </c>
      <c r="M52" s="2">
        <f t="shared" si="21"/>
        <v>1.4283017521406524E-2</v>
      </c>
      <c r="N52" s="10">
        <f t="shared" si="22"/>
        <v>8.2959856057226219E-3</v>
      </c>
      <c r="O52">
        <f t="shared" si="23"/>
        <v>7.1815114967908201E-3</v>
      </c>
      <c r="P52" s="11">
        <f t="shared" si="24"/>
        <v>137.47153670936737</v>
      </c>
      <c r="R52" t="str">
        <f t="shared" si="25"/>
        <v>(1.41026930825769,137.471536709367)</v>
      </c>
    </row>
    <row r="53" spans="1:18" x14ac:dyDescent="0.2">
      <c r="A53" s="8">
        <f t="shared" si="13"/>
        <v>2070.8818084569048</v>
      </c>
      <c r="B53">
        <v>28.05</v>
      </c>
      <c r="C53">
        <v>3756</v>
      </c>
      <c r="D53">
        <v>86.05</v>
      </c>
      <c r="E53" s="1">
        <f t="shared" si="14"/>
        <v>130.13749836879103</v>
      </c>
      <c r="F53" s="1"/>
      <c r="G53" s="9">
        <f t="shared" si="15"/>
        <v>6.6962243364324081E-7</v>
      </c>
      <c r="H53" s="1">
        <f t="shared" si="16"/>
        <v>134.57647532467419</v>
      </c>
      <c r="I53" s="8">
        <f t="shared" si="17"/>
        <v>0.87694746965991188</v>
      </c>
      <c r="J53" s="8">
        <f t="shared" si="18"/>
        <v>3.7608343553852981</v>
      </c>
      <c r="K53" s="8">
        <f t="shared" si="19"/>
        <v>2879.6129255060769</v>
      </c>
      <c r="L53" s="2">
        <f t="shared" si="20"/>
        <v>2.3599999999999996E-12</v>
      </c>
      <c r="M53" s="2">
        <f t="shared" si="21"/>
        <v>3.0798281647587793E-2</v>
      </c>
      <c r="N53" s="10">
        <f t="shared" si="22"/>
        <v>8.1892151414449908E-3</v>
      </c>
      <c r="O53">
        <f t="shared" si="23"/>
        <v>7.1815114967908218E-3</v>
      </c>
      <c r="P53" s="11">
        <f t="shared" si="24"/>
        <v>135.68765068819707</v>
      </c>
      <c r="R53" t="str">
        <f t="shared" si="25"/>
        <v>(2.0708818084569,135.687650688197)</v>
      </c>
    </row>
    <row r="54" spans="1:18" x14ac:dyDescent="0.2">
      <c r="A54" s="8">
        <f t="shared" si="13"/>
        <v>2969.7479972525521</v>
      </c>
      <c r="B54">
        <v>28.05</v>
      </c>
      <c r="C54">
        <v>5490</v>
      </c>
      <c r="D54">
        <v>123.4</v>
      </c>
      <c r="E54" s="1">
        <f t="shared" si="14"/>
        <v>127.67914865854097</v>
      </c>
      <c r="F54" s="1"/>
      <c r="G54" s="9">
        <f t="shared" si="15"/>
        <v>6.6962243364324081E-7</v>
      </c>
      <c r="H54" s="1">
        <f t="shared" si="16"/>
        <v>131.94924980651055</v>
      </c>
      <c r="I54" s="8">
        <f t="shared" si="17"/>
        <v>0.89440826442576338</v>
      </c>
      <c r="J54" s="8">
        <f t="shared" si="18"/>
        <v>7.8881470800335025</v>
      </c>
      <c r="K54" s="8">
        <f t="shared" si="19"/>
        <v>6039.8326922937167</v>
      </c>
      <c r="L54" s="2">
        <f t="shared" si="20"/>
        <v>2.3599999999999996E-12</v>
      </c>
      <c r="M54" s="2">
        <f t="shared" si="21"/>
        <v>6.3336645239976341E-2</v>
      </c>
      <c r="N54" s="10">
        <f t="shared" si="22"/>
        <v>8.0293438493678967E-3</v>
      </c>
      <c r="O54">
        <f t="shared" si="23"/>
        <v>7.1815114967908192E-3</v>
      </c>
      <c r="P54" s="11">
        <f t="shared" si="24"/>
        <v>133.01729137688713</v>
      </c>
      <c r="R54" t="str">
        <f t="shared" si="25"/>
        <v>(2.96974799725255,133.017291376887)</v>
      </c>
    </row>
    <row r="55" spans="1:18" x14ac:dyDescent="0.2">
      <c r="A55" s="8">
        <f t="shared" si="13"/>
        <v>4170.6428518951971</v>
      </c>
      <c r="B55">
        <v>28.05</v>
      </c>
      <c r="C55">
        <v>8100</v>
      </c>
      <c r="D55">
        <v>173.3</v>
      </c>
      <c r="E55" s="1">
        <f t="shared" si="14"/>
        <v>121.53201730722441</v>
      </c>
      <c r="F55" s="1"/>
      <c r="G55" s="9">
        <f t="shared" si="15"/>
        <v>6.6962243364324081E-7</v>
      </c>
      <c r="H55" s="1">
        <f t="shared" si="16"/>
        <v>125.39462693301114</v>
      </c>
      <c r="I55" s="8">
        <f t="shared" si="17"/>
        <v>0.94116073709258596</v>
      </c>
      <c r="J55" s="8">
        <f t="shared" si="18"/>
        <v>16.370796255047797</v>
      </c>
      <c r="K55" s="8">
        <f t="shared" si="19"/>
        <v>12534.866479657132</v>
      </c>
      <c r="L55" s="2">
        <f t="shared" si="20"/>
        <v>2.3599999999999996E-12</v>
      </c>
      <c r="M55" s="2">
        <f t="shared" si="21"/>
        <v>0.12491709108098956</v>
      </c>
      <c r="N55" s="10">
        <f t="shared" si="22"/>
        <v>7.6304835229057616E-3</v>
      </c>
      <c r="O55">
        <f t="shared" si="23"/>
        <v>7.1815114967908183E-3</v>
      </c>
      <c r="P55" s="11">
        <f t="shared" si="24"/>
        <v>126.35880571801651</v>
      </c>
      <c r="R55" t="str">
        <f t="shared" si="25"/>
        <v>(4.1706428518952,126.358805718017)</v>
      </c>
    </row>
    <row r="56" spans="1:18" x14ac:dyDescent="0.2">
      <c r="A5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CA1C-A6BF-E34A-95B3-6183D0F22DF6}">
  <dimension ref="A1:R57"/>
  <sheetViews>
    <sheetView workbookViewId="0">
      <selection activeCell="B7" sqref="B7"/>
    </sheetView>
  </sheetViews>
  <sheetFormatPr baseColWidth="10" defaultColWidth="11" defaultRowHeight="16" x14ac:dyDescent="0.2"/>
  <cols>
    <col min="9" max="9" width="13.33203125" bestFit="1" customWidth="1"/>
  </cols>
  <sheetData>
    <row r="1" spans="1:12" x14ac:dyDescent="0.2">
      <c r="A1" t="s">
        <v>0</v>
      </c>
      <c r="B1">
        <v>30</v>
      </c>
      <c r="C1" t="s">
        <v>1</v>
      </c>
    </row>
    <row r="2" spans="1:12" x14ac:dyDescent="0.2">
      <c r="A2" t="s">
        <v>2</v>
      </c>
      <c r="B2" t="s">
        <v>3</v>
      </c>
    </row>
    <row r="3" spans="1:12" x14ac:dyDescent="0.2">
      <c r="A3" t="s">
        <v>4</v>
      </c>
      <c r="B3">
        <v>964</v>
      </c>
    </row>
    <row r="4" spans="1:12" x14ac:dyDescent="0.2">
      <c r="A4" t="s">
        <v>5</v>
      </c>
      <c r="B4">
        <v>3</v>
      </c>
      <c r="H4">
        <f>2*PI()*30*10^6*90.4*10^-9</f>
        <v>17.03999855307104</v>
      </c>
    </row>
    <row r="5" spans="1:12" x14ac:dyDescent="0.2">
      <c r="A5" t="s">
        <v>51</v>
      </c>
      <c r="B5" t="s">
        <v>63</v>
      </c>
      <c r="H5">
        <f>2*PI()*60*10^6*90.4*10^-9</f>
        <v>34.079997106142081</v>
      </c>
      <c r="I5" s="15">
        <f>1/(2*PI()*60*10^6*H5)</f>
        <v>7.783399677539467E-11</v>
      </c>
    </row>
    <row r="6" spans="1:12" x14ac:dyDescent="0.2">
      <c r="A6" t="s">
        <v>6</v>
      </c>
      <c r="B6">
        <v>90.4</v>
      </c>
      <c r="C6" t="s">
        <v>7</v>
      </c>
      <c r="I6" s="1">
        <f>I5*10^12</f>
        <v>77.833996775394667</v>
      </c>
    </row>
    <row r="7" spans="1:12" x14ac:dyDescent="0.2">
      <c r="A7" t="s">
        <v>8</v>
      </c>
      <c r="B7" s="1">
        <f>B6*30*10^6*2*PI()*10^-9</f>
        <v>17.039998553071037</v>
      </c>
      <c r="D7" t="s">
        <v>9</v>
      </c>
      <c r="E7" t="s">
        <v>10</v>
      </c>
    </row>
    <row r="8" spans="1:12" x14ac:dyDescent="0.2">
      <c r="A8" t="s">
        <v>11</v>
      </c>
      <c r="B8" t="s">
        <v>12</v>
      </c>
      <c r="I8">
        <f>1/(5000*10^-12*2*PI()*30*10^6)</f>
        <v>1.0610329539459689</v>
      </c>
    </row>
    <row r="9" spans="1:12" x14ac:dyDescent="0.2">
      <c r="A9" t="s">
        <v>13</v>
      </c>
      <c r="B9">
        <f>B10*B12/(B10+B12)</f>
        <v>283.37386072029022</v>
      </c>
      <c r="C9" t="s">
        <v>14</v>
      </c>
      <c r="F9" s="2">
        <f>30*10^6*2*PI()</f>
        <v>188495559.21538758</v>
      </c>
      <c r="G9" s="2"/>
      <c r="H9" s="2"/>
    </row>
    <row r="10" spans="1:12" x14ac:dyDescent="0.2">
      <c r="A10" t="s">
        <v>15</v>
      </c>
      <c r="B10" s="3">
        <v>332.2</v>
      </c>
      <c r="C10" t="s">
        <v>14</v>
      </c>
      <c r="F10" s="2">
        <f>1/(F9*B10*10^-12)</f>
        <v>15.969791600631684</v>
      </c>
      <c r="G10" s="2"/>
      <c r="H10" s="2"/>
    </row>
    <row r="11" spans="1:12" x14ac:dyDescent="0.2">
      <c r="A11" t="s">
        <v>16</v>
      </c>
      <c r="B11">
        <v>9.7628686888237767E-3</v>
      </c>
      <c r="F11" s="2"/>
      <c r="G11" s="2"/>
      <c r="H11" s="2"/>
    </row>
    <row r="12" spans="1:12" x14ac:dyDescent="0.2">
      <c r="A12" t="s">
        <v>17</v>
      </c>
      <c r="B12" s="3">
        <f>1025+903</f>
        <v>1928</v>
      </c>
      <c r="C12" t="s">
        <v>14</v>
      </c>
      <c r="F12" s="2">
        <f>1/(F9*B12*10^-12)</f>
        <v>2.751641478075646</v>
      </c>
      <c r="G12" s="2"/>
      <c r="H12" s="2">
        <f>F12/(F12+F10)</f>
        <v>0.14697814352712152</v>
      </c>
      <c r="L12">
        <f>1/(30*10^6*2*PI()*B10*10^-12)</f>
        <v>15.969791600631684</v>
      </c>
    </row>
    <row r="13" spans="1:12" x14ac:dyDescent="0.2">
      <c r="A13" t="s">
        <v>18</v>
      </c>
      <c r="B13">
        <f>0.00687817874498303/2</f>
        <v>3.4390893724915148E-3</v>
      </c>
      <c r="L13">
        <f>55.8-L12</f>
        <v>39.830208399368317</v>
      </c>
    </row>
    <row r="14" spans="1:12" x14ac:dyDescent="0.2">
      <c r="A14" t="s">
        <v>19</v>
      </c>
      <c r="B14" s="4">
        <f>(1/(2*PI()*SQRT(B9*10^-12*B6*10^-9)))/10^6</f>
        <v>31.445320305354254</v>
      </c>
      <c r="C14" t="s">
        <v>1</v>
      </c>
    </row>
    <row r="15" spans="1:12" x14ac:dyDescent="0.2">
      <c r="A15" t="s">
        <v>20</v>
      </c>
      <c r="B15" s="5">
        <f>0.25*2.54*PI()*((2.54*0.7/2)^2-(2.54*0.29/2)^2)</f>
        <v>1.3060207926120317</v>
      </c>
    </row>
    <row r="17" spans="1:18" x14ac:dyDescent="0.2">
      <c r="A17" s="6" t="s">
        <v>21</v>
      </c>
      <c r="B17" s="6" t="s">
        <v>22</v>
      </c>
      <c r="C17" s="6" t="s">
        <v>23</v>
      </c>
      <c r="D17" s="6" t="s">
        <v>24</v>
      </c>
      <c r="E17" s="6" t="s">
        <v>25</v>
      </c>
      <c r="F17" s="6"/>
      <c r="G17" s="6" t="s">
        <v>26</v>
      </c>
      <c r="H17" s="6" t="s">
        <v>27</v>
      </c>
      <c r="I17" s="7" t="s">
        <v>28</v>
      </c>
      <c r="J17" s="7" t="s">
        <v>29</v>
      </c>
      <c r="K17" s="7" t="s">
        <v>30</v>
      </c>
      <c r="L17" s="7" t="s">
        <v>31</v>
      </c>
      <c r="M17" s="7" t="s">
        <v>32</v>
      </c>
      <c r="N17" s="7"/>
      <c r="O17" s="7" t="s">
        <v>33</v>
      </c>
      <c r="P17" s="7" t="s">
        <v>34</v>
      </c>
    </row>
    <row r="18" spans="1:18" x14ac:dyDescent="0.2">
      <c r="A18" s="8">
        <f>B$12*10^-12*D18*2*B18*10^6*1000*PI()*0.5</f>
        <v>486.35333151610871</v>
      </c>
      <c r="B18">
        <v>28.78</v>
      </c>
      <c r="C18">
        <v>135</v>
      </c>
      <c r="D18">
        <v>2.79</v>
      </c>
      <c r="E18" s="1">
        <f>D18*1000/(C18*H$12)</f>
        <v>140.6104756170981</v>
      </c>
      <c r="F18" s="1"/>
      <c r="G18" s="9">
        <f>1/($B$9*10^-12*(2*PI()*B18*10^6)^2)</f>
        <v>1.0791924465827574E-7</v>
      </c>
      <c r="H18" s="1">
        <f>(2*PI()*B18*10^6*G18)/((C18/(D18*1000))*SQRT($B$13^2 + (1/(2*PI()*B18*10^6*$B$12*10^-12))^2) - $B$11 - $B$13)</f>
        <v>155.39172247325709</v>
      </c>
      <c r="I18" s="8">
        <f>(2*PI()*B18*10^6*G18)/H18</f>
        <v>0.12558612900501132</v>
      </c>
      <c r="J18" s="8">
        <f>I18*(A18/1000)^2</f>
        <v>2.970608808335427E-2</v>
      </c>
      <c r="K18" s="8">
        <f>J18/B$15*1000</f>
        <v>22.745493985545448</v>
      </c>
      <c r="L18" s="2">
        <f xml:space="preserve"> (4*8.85*10^-12*0.01*0.01)/0.0015</f>
        <v>2.3599999999999996E-12</v>
      </c>
      <c r="M18" s="2">
        <f>0.5*D18*D18*2*PI()*B18*10^6*L18*0.02</f>
        <v>3.3219345187081598E-5</v>
      </c>
      <c r="N18" s="10">
        <f>M18/J18</f>
        <v>1.1182672418485144E-3</v>
      </c>
      <c r="O18">
        <f>M18/((A18/1000)^2)</f>
        <v>1.4043885409686571E-4</v>
      </c>
      <c r="P18" s="11">
        <f>2*PI()*B18*10^6*G18/(I18-O18)</f>
        <v>155.5656864844083</v>
      </c>
      <c r="R18" t="str">
        <f>_xlfn.CONCAT("(",A18/1000,",",P18,")")</f>
        <v>(0.486353331516109,155.565686484408)</v>
      </c>
    </row>
    <row r="19" spans="1:18" x14ac:dyDescent="0.2">
      <c r="A19" s="8">
        <f t="shared" ref="A19:A26" si="0">B$12*10^-12*D19*2*B19*10^6*1000*PI()*0.5</f>
        <v>610.12066677648056</v>
      </c>
      <c r="B19">
        <v>28.78</v>
      </c>
      <c r="C19">
        <v>170</v>
      </c>
      <c r="D19">
        <v>3.5</v>
      </c>
      <c r="E19" s="1">
        <f t="shared" ref="E19:E26" si="1">D19*1000/(C19*H$12)</f>
        <v>140.07684952367458</v>
      </c>
      <c r="F19" s="1"/>
      <c r="G19" s="9">
        <f t="shared" ref="G19:G26" si="2">1/($B$9*10^-12*(2*PI()*B19*10^6)^2)</f>
        <v>1.0791924465827574E-7</v>
      </c>
      <c r="H19" s="1">
        <f t="shared" ref="H19:H26" si="3">(2*PI()*B19*10^6*G19)/((C19/(D19*1000))*SQRT($B$13^2 + (1/(2*PI()*B19*10^6*$B$12*10^-12))^2) - $B$11 - $B$13)</f>
        <v>154.74026727989991</v>
      </c>
      <c r="I19" s="8">
        <f t="shared" ref="I19:I26" si="4">(2*PI()*B19*10^6*G19)/H19</f>
        <v>0.12611484552716876</v>
      </c>
      <c r="J19" s="8">
        <f t="shared" ref="J19:J26" si="5">I19*(A19/1000)^2</f>
        <v>4.6945901660639895E-2</v>
      </c>
      <c r="K19" s="8">
        <f t="shared" ref="K19:K26" si="6">J19/B$15*1000</f>
        <v>35.94575364052853</v>
      </c>
      <c r="L19" s="2">
        <f t="shared" ref="L19:L26" si="7" xml:space="preserve"> (4*8.85*10^-12*0.01*0.01)/0.0015</f>
        <v>2.3599999999999996E-12</v>
      </c>
      <c r="M19" s="2">
        <f t="shared" ref="M19:M26" si="8">0.5*D19*D19*2*PI()*B19*10^6*L19*0.02</f>
        <v>5.2277974144955681E-5</v>
      </c>
      <c r="N19" s="10">
        <f t="shared" ref="N19:N26" si="9">M19/J19</f>
        <v>1.1135790834918881E-3</v>
      </c>
      <c r="O19">
        <f t="shared" ref="O19:O26" si="10">M19/((A19/1000)^2)</f>
        <v>1.4043885409686563E-4</v>
      </c>
      <c r="P19" s="11">
        <f t="shared" ref="P19:P26" si="11">2*PI()*B19*10^6*G19/(I19-O19)</f>
        <v>154.91277490580069</v>
      </c>
      <c r="R19" t="str">
        <f t="shared" ref="R19:R26" si="12">_xlfn.CONCAT("(",A19/1000,",",P19,")")</f>
        <v>(0.610120666776481,154.912774905801)</v>
      </c>
    </row>
    <row r="20" spans="1:18" x14ac:dyDescent="0.2">
      <c r="A20" s="8">
        <f t="shared" si="0"/>
        <v>803.61607823987868</v>
      </c>
      <c r="B20">
        <v>28.78</v>
      </c>
      <c r="C20">
        <v>223</v>
      </c>
      <c r="D20">
        <v>4.6100000000000003</v>
      </c>
      <c r="E20" s="1">
        <f t="shared" si="1"/>
        <v>140.65115563318869</v>
      </c>
      <c r="F20" s="1"/>
      <c r="G20" s="9">
        <f t="shared" si="2"/>
        <v>1.0791924465827574E-7</v>
      </c>
      <c r="H20" s="1">
        <f t="shared" si="3"/>
        <v>155.44140630056944</v>
      </c>
      <c r="I20" s="8">
        <f t="shared" si="4"/>
        <v>0.12554598783738546</v>
      </c>
      <c r="J20" s="8">
        <f t="shared" si="5"/>
        <v>8.1077448441561742E-2</v>
      </c>
      <c r="K20" s="8">
        <f t="shared" si="6"/>
        <v>62.079753171009976</v>
      </c>
      <c r="L20" s="2">
        <f t="shared" si="7"/>
        <v>2.3599999999999996E-12</v>
      </c>
      <c r="M20" s="2">
        <f t="shared" si="8"/>
        <v>9.0695243618450023E-5</v>
      </c>
      <c r="N20" s="10">
        <f t="shared" si="9"/>
        <v>1.1186247885417917E-3</v>
      </c>
      <c r="O20">
        <f t="shared" si="10"/>
        <v>1.4043885409686566E-4</v>
      </c>
      <c r="P20" s="11">
        <f t="shared" si="11"/>
        <v>155.61548163580812</v>
      </c>
      <c r="R20" t="str">
        <f t="shared" si="12"/>
        <v>(0.803616078239879,155.615481635808)</v>
      </c>
    </row>
    <row r="21" spans="1:18" x14ac:dyDescent="0.2">
      <c r="A21" s="8">
        <f t="shared" si="0"/>
        <v>1108.6764116281188</v>
      </c>
      <c r="B21">
        <v>28.78</v>
      </c>
      <c r="C21">
        <v>312</v>
      </c>
      <c r="D21">
        <v>6.36</v>
      </c>
      <c r="E21" s="1">
        <f t="shared" si="1"/>
        <v>138.69147408882506</v>
      </c>
      <c r="F21" s="1"/>
      <c r="G21" s="9">
        <f t="shared" si="2"/>
        <v>1.0791924465827574E-7</v>
      </c>
      <c r="H21" s="1">
        <f t="shared" si="3"/>
        <v>153.05141233642769</v>
      </c>
      <c r="I21" s="8">
        <f t="shared" si="4"/>
        <v>0.12750646731662088</v>
      </c>
      <c r="J21" s="8">
        <f t="shared" si="5"/>
        <v>0.15672628106562084</v>
      </c>
      <c r="K21" s="8">
        <f t="shared" si="6"/>
        <v>120.00289884525458</v>
      </c>
      <c r="L21" s="2">
        <f t="shared" si="7"/>
        <v>2.3599999999999996E-12</v>
      </c>
      <c r="M21" s="2">
        <f t="shared" si="8"/>
        <v>1.7262229738561634E-4</v>
      </c>
      <c r="N21" s="10">
        <f t="shared" si="9"/>
        <v>1.101425339846735E-3</v>
      </c>
      <c r="O21">
        <f t="shared" si="10"/>
        <v>1.4043885409686577E-4</v>
      </c>
      <c r="P21" s="11">
        <f t="shared" si="11"/>
        <v>153.22017291745468</v>
      </c>
      <c r="R21" t="str">
        <f t="shared" si="12"/>
        <v>(1.10867641162812,153.220172917455)</v>
      </c>
    </row>
    <row r="22" spans="1:18" x14ac:dyDescent="0.2">
      <c r="A22" s="8">
        <f t="shared" si="0"/>
        <v>1577.5977240934712</v>
      </c>
      <c r="B22">
        <v>28.78</v>
      </c>
      <c r="C22">
        <v>448</v>
      </c>
      <c r="D22">
        <v>9.0500000000000007</v>
      </c>
      <c r="E22" s="1">
        <f t="shared" si="1"/>
        <v>137.44147512255955</v>
      </c>
      <c r="F22" s="1"/>
      <c r="G22" s="9">
        <f t="shared" si="2"/>
        <v>1.0791924465827574E-7</v>
      </c>
      <c r="H22" s="1">
        <f t="shared" si="3"/>
        <v>151.53058456511019</v>
      </c>
      <c r="I22" s="8">
        <f t="shared" si="4"/>
        <v>0.1287861784526548</v>
      </c>
      <c r="J22" s="8">
        <f t="shared" si="5"/>
        <v>0.32052491851502124</v>
      </c>
      <c r="K22" s="8">
        <f t="shared" si="6"/>
        <v>245.42099201496924</v>
      </c>
      <c r="L22" s="2">
        <f t="shared" si="7"/>
        <v>2.3599999999999996E-12</v>
      </c>
      <c r="M22" s="2">
        <f t="shared" si="8"/>
        <v>3.4952626754344759E-4</v>
      </c>
      <c r="N22" s="10">
        <f t="shared" si="9"/>
        <v>1.0904807937017452E-3</v>
      </c>
      <c r="O22">
        <f t="shared" si="10"/>
        <v>1.4043885409686561E-4</v>
      </c>
      <c r="P22" s="11">
        <f t="shared" si="11"/>
        <v>151.696006146294</v>
      </c>
      <c r="R22" t="str">
        <f t="shared" si="12"/>
        <v>(1.57759772409347,151.696006146294)</v>
      </c>
    </row>
    <row r="23" spans="1:18" x14ac:dyDescent="0.2">
      <c r="A23" s="8">
        <f t="shared" si="0"/>
        <v>2297.5401108897181</v>
      </c>
      <c r="B23">
        <v>28.78</v>
      </c>
      <c r="C23">
        <v>662</v>
      </c>
      <c r="D23">
        <v>13.18</v>
      </c>
      <c r="E23" s="1">
        <f t="shared" si="1"/>
        <v>135.45800131322628</v>
      </c>
      <c r="F23" s="1"/>
      <c r="G23" s="9">
        <f t="shared" si="2"/>
        <v>1.0791924465827574E-7</v>
      </c>
      <c r="H23" s="1">
        <f t="shared" si="3"/>
        <v>149.1231762543681</v>
      </c>
      <c r="I23" s="8">
        <f t="shared" si="4"/>
        <v>0.13086527121410982</v>
      </c>
      <c r="J23" s="8">
        <f t="shared" si="5"/>
        <v>0.69079727193988172</v>
      </c>
      <c r="K23" s="8">
        <f t="shared" si="6"/>
        <v>528.93282851821402</v>
      </c>
      <c r="L23" s="2">
        <f t="shared" si="7"/>
        <v>2.3599999999999996E-12</v>
      </c>
      <c r="M23" s="2">
        <f t="shared" si="8"/>
        <v>7.4133325353944503E-4</v>
      </c>
      <c r="N23" s="10">
        <f t="shared" si="9"/>
        <v>1.0731560237023654E-3</v>
      </c>
      <c r="O23">
        <f t="shared" si="10"/>
        <v>1.4043885409686571E-4</v>
      </c>
      <c r="P23" s="11">
        <f t="shared" si="11"/>
        <v>149.28338061351215</v>
      </c>
      <c r="R23" t="str">
        <f t="shared" si="12"/>
        <v>(2.29754011088972,149.283380613512)</v>
      </c>
    </row>
    <row r="24" spans="1:18" x14ac:dyDescent="0.2">
      <c r="A24" s="8">
        <f t="shared" si="0"/>
        <v>3359.1500710807945</v>
      </c>
      <c r="B24">
        <v>28.78</v>
      </c>
      <c r="C24">
        <v>964</v>
      </c>
      <c r="D24">
        <v>19.27</v>
      </c>
      <c r="E24" s="1">
        <f t="shared" si="1"/>
        <v>136.00407568304848</v>
      </c>
      <c r="F24" s="1"/>
      <c r="G24" s="9">
        <f t="shared" si="2"/>
        <v>1.0791924465827574E-7</v>
      </c>
      <c r="H24" s="1">
        <f t="shared" si="3"/>
        <v>149.78525512439711</v>
      </c>
      <c r="I24" s="8">
        <f t="shared" si="4"/>
        <v>0.13028682221511106</v>
      </c>
      <c r="J24" s="8">
        <f t="shared" si="5"/>
        <v>1.4701420661008979</v>
      </c>
      <c r="K24" s="8">
        <f t="shared" si="6"/>
        <v>1125.665130614517</v>
      </c>
      <c r="L24" s="2">
        <f t="shared" si="7"/>
        <v>2.3599999999999996E-12</v>
      </c>
      <c r="M24" s="2">
        <f t="shared" si="8"/>
        <v>1.5846964690099114E-3</v>
      </c>
      <c r="N24" s="10">
        <f t="shared" si="9"/>
        <v>1.0779206347131022E-3</v>
      </c>
      <c r="O24">
        <f t="shared" si="10"/>
        <v>1.4043885409686563E-4</v>
      </c>
      <c r="P24" s="11">
        <f t="shared" si="11"/>
        <v>149.94688596689181</v>
      </c>
      <c r="R24" t="str">
        <f t="shared" si="12"/>
        <v>(3.35915007108079,149.946885966892)</v>
      </c>
    </row>
    <row r="25" spans="1:18" x14ac:dyDescent="0.2">
      <c r="A25" s="8">
        <f t="shared" si="0"/>
        <v>4671.7811056027649</v>
      </c>
      <c r="B25">
        <v>28.78</v>
      </c>
      <c r="C25">
        <v>1374</v>
      </c>
      <c r="D25">
        <v>26.8</v>
      </c>
      <c r="E25" s="1">
        <f t="shared" si="1"/>
        <v>132.70744987104626</v>
      </c>
      <c r="F25" s="1"/>
      <c r="G25" s="9">
        <f t="shared" si="2"/>
        <v>1.0791924465827574E-7</v>
      </c>
      <c r="H25" s="1">
        <f t="shared" si="3"/>
        <v>145.79648635180405</v>
      </c>
      <c r="I25" s="8">
        <f t="shared" si="4"/>
        <v>0.13385127030940899</v>
      </c>
      <c r="J25" s="8">
        <f t="shared" si="5"/>
        <v>2.9213760800037423</v>
      </c>
      <c r="K25" s="8">
        <f t="shared" si="6"/>
        <v>2236.8526569634564</v>
      </c>
      <c r="L25" s="2">
        <f t="shared" si="7"/>
        <v>2.3599999999999996E-12</v>
      </c>
      <c r="M25" s="2">
        <f t="shared" si="8"/>
        <v>3.0651536448875901E-3</v>
      </c>
      <c r="N25" s="10">
        <f t="shared" si="9"/>
        <v>1.0492156986798029E-3</v>
      </c>
      <c r="O25">
        <f t="shared" si="10"/>
        <v>1.4043885409686571E-4</v>
      </c>
      <c r="P25" s="11">
        <f t="shared" si="11"/>
        <v>145.94961898325761</v>
      </c>
      <c r="R25" t="str">
        <f t="shared" si="12"/>
        <v>(4.67178110560276,145.949618983258)</v>
      </c>
    </row>
    <row r="26" spans="1:18" x14ac:dyDescent="0.2">
      <c r="A26" s="8">
        <f t="shared" si="0"/>
        <v>6385.348578292138</v>
      </c>
      <c r="B26">
        <v>28.78</v>
      </c>
      <c r="C26">
        <v>1924</v>
      </c>
      <c r="D26">
        <v>36.630000000000003</v>
      </c>
      <c r="E26" s="1">
        <f t="shared" si="1"/>
        <v>129.53260315843096</v>
      </c>
      <c r="F26" s="1"/>
      <c r="G26" s="17">
        <f t="shared" si="2"/>
        <v>1.0791924465827574E-7</v>
      </c>
      <c r="H26" s="1">
        <f t="shared" si="3"/>
        <v>141.97349763714899</v>
      </c>
      <c r="I26" s="8">
        <f t="shared" si="4"/>
        <v>0.13745554789889916</v>
      </c>
      <c r="J26" s="8">
        <f t="shared" si="5"/>
        <v>5.6044305829794654</v>
      </c>
      <c r="K26" s="8">
        <f t="shared" si="6"/>
        <v>4291.2261540420395</v>
      </c>
      <c r="L26" s="2">
        <f t="shared" si="7"/>
        <v>2.3599999999999996E-12</v>
      </c>
      <c r="M26" s="2">
        <f t="shared" si="8"/>
        <v>5.7260679613890539E-3</v>
      </c>
      <c r="N26" s="10">
        <f t="shared" si="9"/>
        <v>1.0217037889235347E-3</v>
      </c>
      <c r="O26">
        <f t="shared" si="10"/>
        <v>1.4043885409686566E-4</v>
      </c>
      <c r="P26" s="11">
        <f t="shared" si="11"/>
        <v>142.11870085228668</v>
      </c>
      <c r="R26" t="str">
        <f t="shared" si="12"/>
        <v>(6.38534857829214,142.118700852287)</v>
      </c>
    </row>
    <row r="28" spans="1:18" x14ac:dyDescent="0.2">
      <c r="G28" s="1">
        <f>G26*2*PI()*30*10^6</f>
        <v>20.342298371963913</v>
      </c>
      <c r="H28" s="1"/>
    </row>
    <row r="29" spans="1:18" x14ac:dyDescent="0.2">
      <c r="H29" s="1"/>
    </row>
    <row r="30" spans="1:18" x14ac:dyDescent="0.2">
      <c r="A30" t="s">
        <v>0</v>
      </c>
      <c r="B30">
        <v>30</v>
      </c>
      <c r="C30" t="s">
        <v>1</v>
      </c>
      <c r="H30" s="1"/>
    </row>
    <row r="31" spans="1:18" x14ac:dyDescent="0.2">
      <c r="A31" t="s">
        <v>2</v>
      </c>
      <c r="B31" t="s">
        <v>35</v>
      </c>
      <c r="H31" s="1"/>
    </row>
    <row r="32" spans="1:18" x14ac:dyDescent="0.2">
      <c r="A32" t="s">
        <v>4</v>
      </c>
      <c r="B32">
        <v>964</v>
      </c>
      <c r="H32" s="1"/>
    </row>
    <row r="33" spans="1:18" x14ac:dyDescent="0.2">
      <c r="A33" t="s">
        <v>5</v>
      </c>
      <c r="B33">
        <v>7</v>
      </c>
      <c r="H33" s="1"/>
    </row>
    <row r="34" spans="1:18" x14ac:dyDescent="0.2">
      <c r="A34" t="s">
        <v>51</v>
      </c>
      <c r="B34">
        <v>17</v>
      </c>
      <c r="H34" s="1"/>
    </row>
    <row r="35" spans="1:18" x14ac:dyDescent="0.2">
      <c r="A35" t="s">
        <v>6</v>
      </c>
      <c r="B35">
        <v>96.1</v>
      </c>
      <c r="C35" t="s">
        <v>7</v>
      </c>
      <c r="H35" s="1"/>
    </row>
    <row r="36" spans="1:18" x14ac:dyDescent="0.2">
      <c r="A36" t="s">
        <v>8</v>
      </c>
      <c r="B36" s="1">
        <f>B35*30*10^6*2*PI()*10^-9</f>
        <v>18.114423240598747</v>
      </c>
      <c r="D36" t="s">
        <v>9</v>
      </c>
      <c r="E36" t="s">
        <v>10</v>
      </c>
      <c r="H36" s="1"/>
    </row>
    <row r="37" spans="1:18" x14ac:dyDescent="0.2">
      <c r="A37" t="s">
        <v>11</v>
      </c>
      <c r="B37" t="s">
        <v>12</v>
      </c>
      <c r="H37" s="1"/>
    </row>
    <row r="38" spans="1:18" x14ac:dyDescent="0.2">
      <c r="A38" t="s">
        <v>13</v>
      </c>
      <c r="B38">
        <f>B39*B41/(B39+B41)</f>
        <v>283.37386072029022</v>
      </c>
      <c r="C38" t="s">
        <v>14</v>
      </c>
      <c r="F38" s="2">
        <f>30*10^6*2*PI()</f>
        <v>188495559.21538758</v>
      </c>
      <c r="G38" s="2"/>
      <c r="H38" s="2"/>
    </row>
    <row r="39" spans="1:18" x14ac:dyDescent="0.2">
      <c r="A39" t="s">
        <v>15</v>
      </c>
      <c r="B39" s="3">
        <v>332.2</v>
      </c>
      <c r="C39" t="s">
        <v>14</v>
      </c>
      <c r="F39" s="2">
        <f>1/(F38*B39*10^-12)</f>
        <v>15.969791600631684</v>
      </c>
      <c r="G39" s="2"/>
      <c r="H39" s="2"/>
    </row>
    <row r="40" spans="1:18" x14ac:dyDescent="0.2">
      <c r="A40" t="s">
        <v>16</v>
      </c>
      <c r="B40">
        <v>9.7628686888237767E-3</v>
      </c>
      <c r="F40" s="2"/>
      <c r="G40" s="2"/>
      <c r="H40" s="2"/>
    </row>
    <row r="41" spans="1:18" x14ac:dyDescent="0.2">
      <c r="A41" t="s">
        <v>17</v>
      </c>
      <c r="B41" s="3">
        <f>1025+903</f>
        <v>1928</v>
      </c>
      <c r="C41" t="s">
        <v>14</v>
      </c>
      <c r="F41" s="2">
        <f>1/(F38*B41*10^-12)</f>
        <v>2.751641478075646</v>
      </c>
      <c r="G41" s="2"/>
      <c r="H41" s="2">
        <f>F41/(F41+F39)</f>
        <v>0.14697814352712152</v>
      </c>
      <c r="L41">
        <f>1/(30*10^6*2*PI()*B39*10^-12)</f>
        <v>15.969791600631684</v>
      </c>
    </row>
    <row r="42" spans="1:18" x14ac:dyDescent="0.2">
      <c r="A42" t="s">
        <v>18</v>
      </c>
      <c r="B42">
        <f>0.00687817874498303/2</f>
        <v>3.4390893724915148E-3</v>
      </c>
      <c r="L42">
        <f>55.8-L41</f>
        <v>39.830208399368317</v>
      </c>
    </row>
    <row r="43" spans="1:18" x14ac:dyDescent="0.2">
      <c r="A43" t="s">
        <v>19</v>
      </c>
      <c r="B43" s="4">
        <f>(1/(2*PI()*SQRT(B38*10^-12*B35*10^-9)))/10^6</f>
        <v>30.498504507306979</v>
      </c>
      <c r="C43" t="s">
        <v>1</v>
      </c>
    </row>
    <row r="44" spans="1:18" x14ac:dyDescent="0.2">
      <c r="A44" t="s">
        <v>20</v>
      </c>
      <c r="B44" s="5">
        <f>0.25*2.54*PI()*((2.54*0.7/2)^2-(2.54*0.29/2)^2)</f>
        <v>1.3060207926120317</v>
      </c>
    </row>
    <row r="46" spans="1:18" x14ac:dyDescent="0.2">
      <c r="A46" s="6" t="s">
        <v>21</v>
      </c>
      <c r="B46" s="6" t="s">
        <v>22</v>
      </c>
      <c r="C46" s="6" t="s">
        <v>23</v>
      </c>
      <c r="D46" s="6" t="s">
        <v>24</v>
      </c>
      <c r="E46" s="6" t="s">
        <v>25</v>
      </c>
      <c r="F46" s="6"/>
      <c r="G46" s="6" t="s">
        <v>26</v>
      </c>
      <c r="H46" s="6" t="s">
        <v>27</v>
      </c>
      <c r="I46" s="7" t="s">
        <v>28</v>
      </c>
      <c r="J46" s="7" t="s">
        <v>29</v>
      </c>
      <c r="K46" s="7" t="s">
        <v>30</v>
      </c>
      <c r="L46" s="7" t="s">
        <v>31</v>
      </c>
      <c r="M46" s="7" t="s">
        <v>32</v>
      </c>
      <c r="N46" s="7"/>
      <c r="O46" s="7" t="s">
        <v>33</v>
      </c>
      <c r="P46" s="7" t="s">
        <v>34</v>
      </c>
    </row>
    <row r="47" spans="1:18" x14ac:dyDescent="0.2">
      <c r="A47" s="8">
        <f>B$12*10^-12*D47*2*B47*10^6*1000*PI()*0.5</f>
        <v>486.22250051836852</v>
      </c>
      <c r="B47">
        <v>28.98</v>
      </c>
      <c r="C47">
        <v>163.4</v>
      </c>
      <c r="D47">
        <v>2.77</v>
      </c>
      <c r="E47" s="1">
        <f>D47*1000/(C47*H$12)</f>
        <v>115.33867536404681</v>
      </c>
      <c r="F47" s="1"/>
      <c r="G47" s="9">
        <f>1/($B$9*10^-12*(2*PI()*B47*10^6)^2)</f>
        <v>1.064348160522068E-7</v>
      </c>
      <c r="H47" s="1">
        <f>(2*PI()*B47*10^6*G47)/((C47/(D47*1000))*SQRT($B$13^2 + (1/(2*PI()*B47*10^6*$B$12*10^-12))^2) - $B$11 - $B$13)</f>
        <v>125.17333021216943</v>
      </c>
      <c r="I47" s="8">
        <f>(2*PI()*B47*10^6*G47)/H47</f>
        <v>0.15482823276378757</v>
      </c>
      <c r="J47" s="8">
        <f>I47*(A47/1000)^2</f>
        <v>3.6603301710787163E-2</v>
      </c>
      <c r="K47" s="8">
        <f>J47/B$15*1000</f>
        <v>28.02658419976671</v>
      </c>
      <c r="L47" s="2">
        <f xml:space="preserve"> (4*8.85*10^-12*0.01*0.01)/0.0015</f>
        <v>2.3599999999999996E-12</v>
      </c>
      <c r="M47" s="2">
        <f>0.5*D47*D47*2*PI()*B47*10^6*L47*0.02</f>
        <v>3.2972341601542309E-5</v>
      </c>
      <c r="N47" s="10">
        <f>M47/J47</f>
        <v>9.0080238832184931E-4</v>
      </c>
      <c r="O47">
        <f>M47/((A47/1000)^2)</f>
        <v>1.3946964185327106E-4</v>
      </c>
      <c r="P47" s="11">
        <f>2*PI()*B47*10^6*G47/(I47-O47)</f>
        <v>125.28618830982266</v>
      </c>
      <c r="R47" t="str">
        <f>_xlfn.CONCAT("(",A47/1000,",",P47,")")</f>
        <v>(0.486222500518369,125.286188309823)</v>
      </c>
    </row>
    <row r="48" spans="1:18" x14ac:dyDescent="0.2">
      <c r="A48" s="8">
        <f t="shared" ref="A48:A55" si="13">B$12*10^-12*D48*2*B48*10^6*1000*PI()*0.5</f>
        <v>607.33929667637369</v>
      </c>
      <c r="B48">
        <v>28.98</v>
      </c>
      <c r="C48">
        <v>204.8</v>
      </c>
      <c r="D48">
        <v>3.46</v>
      </c>
      <c r="E48" s="1">
        <f t="shared" ref="E48:E55" si="14">D48*1000/(C48*H$12)</f>
        <v>114.94587456727872</v>
      </c>
      <c r="F48" s="1"/>
      <c r="G48" s="9">
        <f t="shared" ref="G48:G55" si="15">1/($B$9*10^-12*(2*PI()*B48*10^6)^2)</f>
        <v>1.064348160522068E-7</v>
      </c>
      <c r="H48" s="1">
        <f t="shared" ref="H48:H55" si="16">(2*PI()*B48*10^6*G48)/((C48/(D48*1000))*SQRT($B$13^2 + (1/(2*PI()*B48*10^6*$B$12*10^-12))^2) - $B$11 - $B$13)</f>
        <v>124.7108211210375</v>
      </c>
      <c r="I48" s="8">
        <f t="shared" ref="I48:I55" si="17">(2*PI()*B48*10^6*G48)/H48</f>
        <v>0.15540243686711588</v>
      </c>
      <c r="J48" s="8">
        <f t="shared" ref="J48:J55" si="18">I48*(A48/1000)^2</f>
        <v>5.7321901573347642E-2</v>
      </c>
      <c r="K48" s="8">
        <f t="shared" ref="K48:K55" si="19">J48/B$15*1000</f>
        <v>43.890496918279737</v>
      </c>
      <c r="L48" s="2">
        <f t="shared" ref="L48:L55" si="20" xml:space="preserve"> (4*8.85*10^-12*0.01*0.01)/0.0015</f>
        <v>2.3599999999999996E-12</v>
      </c>
      <c r="M48" s="2">
        <f t="shared" ref="M48:M55" si="21">0.5*D48*D48*2*PI()*B48*10^6*L48*0.02</f>
        <v>5.1444914532578814E-5</v>
      </c>
      <c r="N48" s="10">
        <f t="shared" ref="N48:N55" si="22">M48/J48</f>
        <v>8.974739692951605E-4</v>
      </c>
      <c r="O48">
        <f t="shared" ref="O48:O55" si="23">M48/((A48/1000)^2)</f>
        <v>1.3946964185327108E-4</v>
      </c>
      <c r="P48" s="11">
        <f t="shared" ref="P48:P55" si="24">2*PI()*B48*10^6*G48/(I48-O48)</f>
        <v>124.82284637643367</v>
      </c>
      <c r="R48" t="str">
        <f t="shared" ref="R48:R55" si="25">_xlfn.CONCAT("(",A48/1000,",",P48,")")</f>
        <v>(0.607339296676374,124.822846376434)</v>
      </c>
    </row>
    <row r="49" spans="1:18" x14ac:dyDescent="0.2">
      <c r="A49" s="8">
        <f t="shared" si="13"/>
        <v>791.64746474290325</v>
      </c>
      <c r="B49">
        <v>28.98</v>
      </c>
      <c r="C49">
        <v>267.8</v>
      </c>
      <c r="D49">
        <v>4.51</v>
      </c>
      <c r="E49" s="1">
        <f t="shared" si="14"/>
        <v>114.58115921242003</v>
      </c>
      <c r="F49" s="1"/>
      <c r="G49" s="9">
        <f t="shared" si="15"/>
        <v>1.064348160522068E-7</v>
      </c>
      <c r="H49" s="1">
        <f t="shared" si="16"/>
        <v>124.28162200865083</v>
      </c>
      <c r="I49" s="8">
        <f t="shared" si="17"/>
        <v>0.15593910984328166</v>
      </c>
      <c r="J49" s="8">
        <f t="shared" si="18"/>
        <v>9.7727930306880331E-2</v>
      </c>
      <c r="K49" s="8">
        <f t="shared" si="19"/>
        <v>74.828770613540698</v>
      </c>
      <c r="L49" s="2">
        <f t="shared" si="20"/>
        <v>2.3599999999999996E-12</v>
      </c>
      <c r="M49" s="2">
        <f t="shared" si="21"/>
        <v>8.7406420702671833E-5</v>
      </c>
      <c r="N49" s="10">
        <f t="shared" si="22"/>
        <v>8.9438526353932376E-4</v>
      </c>
      <c r="O49">
        <f t="shared" si="23"/>
        <v>1.3946964185327103E-4</v>
      </c>
      <c r="P49" s="11">
        <f t="shared" si="24"/>
        <v>124.39287716487635</v>
      </c>
      <c r="R49" t="str">
        <f t="shared" si="25"/>
        <v>(0.791647464742903,124.392877164876)</v>
      </c>
    </row>
    <row r="50" spans="1:18" x14ac:dyDescent="0.2">
      <c r="A50" s="8">
        <f t="shared" si="13"/>
        <v>1097.0724289674381</v>
      </c>
      <c r="B50">
        <v>28.98</v>
      </c>
      <c r="C50">
        <v>372</v>
      </c>
      <c r="D50">
        <v>6.25</v>
      </c>
      <c r="E50" s="1">
        <f t="shared" si="14"/>
        <v>114.31002505292186</v>
      </c>
      <c r="F50" s="1"/>
      <c r="G50" s="9">
        <f t="shared" si="15"/>
        <v>1.064348160522068E-7</v>
      </c>
      <c r="H50" s="1">
        <f t="shared" si="16"/>
        <v>123.96269965542933</v>
      </c>
      <c r="I50" s="8">
        <f t="shared" si="17"/>
        <v>0.15634029881390527</v>
      </c>
      <c r="J50" s="8">
        <f t="shared" si="18"/>
        <v>0.1881661673802052</v>
      </c>
      <c r="K50" s="8">
        <f t="shared" si="19"/>
        <v>144.07593542509707</v>
      </c>
      <c r="L50" s="2">
        <f t="shared" si="20"/>
        <v>2.3599999999999996E-12</v>
      </c>
      <c r="M50" s="2">
        <f t="shared" si="21"/>
        <v>1.678611859675281E-4</v>
      </c>
      <c r="N50" s="10">
        <f t="shared" si="22"/>
        <v>8.9209015788874939E-4</v>
      </c>
      <c r="O50">
        <f t="shared" si="23"/>
        <v>1.3946964185327103E-4</v>
      </c>
      <c r="P50" s="11">
        <f t="shared" si="24"/>
        <v>124.07338430041968</v>
      </c>
      <c r="R50" t="str">
        <f t="shared" si="25"/>
        <v>(1.09707242896744,124.07338430042)</v>
      </c>
    </row>
    <row r="51" spans="1:18" x14ac:dyDescent="0.2">
      <c r="A51" s="8">
        <f t="shared" si="13"/>
        <v>1574.518350054067</v>
      </c>
      <c r="B51">
        <v>28.98</v>
      </c>
      <c r="C51">
        <v>538</v>
      </c>
      <c r="D51">
        <v>8.9700000000000006</v>
      </c>
      <c r="E51" s="1">
        <f t="shared" si="14"/>
        <v>113.43769933013881</v>
      </c>
      <c r="F51" s="1"/>
      <c r="G51" s="9">
        <f t="shared" si="15"/>
        <v>1.064348160522068E-7</v>
      </c>
      <c r="H51" s="1">
        <f t="shared" si="16"/>
        <v>122.93749012725014</v>
      </c>
      <c r="I51" s="8">
        <f t="shared" si="17"/>
        <v>0.15764406354683166</v>
      </c>
      <c r="J51" s="8">
        <f t="shared" si="18"/>
        <v>0.39081666455492614</v>
      </c>
      <c r="K51" s="8">
        <f t="shared" si="19"/>
        <v>299.24229902442499</v>
      </c>
      <c r="L51" s="2">
        <f t="shared" si="20"/>
        <v>2.3599999999999996E-12</v>
      </c>
      <c r="M51" s="2">
        <f t="shared" si="21"/>
        <v>3.4576030970917592E-4</v>
      </c>
      <c r="N51" s="10">
        <f t="shared" si="22"/>
        <v>8.847122988036813E-4</v>
      </c>
      <c r="O51">
        <f t="shared" si="23"/>
        <v>1.3946964185327108E-4</v>
      </c>
      <c r="P51" s="11">
        <f t="shared" si="24"/>
        <v>123.046350747079</v>
      </c>
      <c r="R51" t="str">
        <f t="shared" si="25"/>
        <v>(1.57451835005407,123.046350747079)</v>
      </c>
    </row>
    <row r="52" spans="1:18" x14ac:dyDescent="0.2">
      <c r="A52" s="8">
        <f t="shared" si="13"/>
        <v>2334.5701288427081</v>
      </c>
      <c r="B52">
        <v>28.98</v>
      </c>
      <c r="C52">
        <v>804</v>
      </c>
      <c r="D52">
        <v>13.3</v>
      </c>
      <c r="E52" s="1">
        <f t="shared" si="14"/>
        <v>112.54930944315147</v>
      </c>
      <c r="F52" s="1"/>
      <c r="G52" s="9">
        <f t="shared" si="15"/>
        <v>1.064348160522068E-7</v>
      </c>
      <c r="H52" s="1">
        <f t="shared" si="16"/>
        <v>121.89475729695691</v>
      </c>
      <c r="I52" s="8">
        <f t="shared" si="17"/>
        <v>0.15899260916278998</v>
      </c>
      <c r="J52" s="8">
        <f t="shared" si="18"/>
        <v>0.86654433047938062</v>
      </c>
      <c r="K52" s="8">
        <f t="shared" si="19"/>
        <v>663.49964363606989</v>
      </c>
      <c r="L52" s="2">
        <f t="shared" si="20"/>
        <v>2.3599999999999996E-12</v>
      </c>
      <c r="M52" s="2">
        <f t="shared" si="21"/>
        <v>7.601399087563787E-4</v>
      </c>
      <c r="N52" s="10">
        <f t="shared" si="22"/>
        <v>8.772083343224484E-4</v>
      </c>
      <c r="O52">
        <f t="shared" si="23"/>
        <v>1.3946964185327103E-4</v>
      </c>
      <c r="P52" s="11">
        <f t="shared" si="24"/>
        <v>122.00177827366072</v>
      </c>
      <c r="R52" t="str">
        <f t="shared" si="25"/>
        <v>(2.33457012884271,122.001778273661)</v>
      </c>
    </row>
    <row r="53" spans="1:18" x14ac:dyDescent="0.2">
      <c r="A53" s="8">
        <f t="shared" si="13"/>
        <v>3496.5892456050192</v>
      </c>
      <c r="B53">
        <v>28.98</v>
      </c>
      <c r="C53">
        <v>1248</v>
      </c>
      <c r="D53">
        <v>19.920000000000002</v>
      </c>
      <c r="E53" s="1">
        <f t="shared" si="14"/>
        <v>108.59804103181584</v>
      </c>
      <c r="F53" s="1"/>
      <c r="G53" s="9">
        <f t="shared" si="15"/>
        <v>1.064348160522068E-7</v>
      </c>
      <c r="H53" s="1">
        <f t="shared" si="16"/>
        <v>117.2735328873416</v>
      </c>
      <c r="I53" s="8">
        <f t="shared" si="17"/>
        <v>0.16525779541856125</v>
      </c>
      <c r="J53" s="8">
        <f t="shared" si="18"/>
        <v>2.0204643400976865</v>
      </c>
      <c r="K53" s="8">
        <f t="shared" si="19"/>
        <v>1547.0384174028143</v>
      </c>
      <c r="L53" s="2">
        <f t="shared" si="20"/>
        <v>2.3599999999999996E-12</v>
      </c>
      <c r="M53" s="2">
        <f t="shared" si="21"/>
        <v>1.7051748583297372E-3</v>
      </c>
      <c r="N53" s="10">
        <f t="shared" si="22"/>
        <v>8.4395196910394099E-4</v>
      </c>
      <c r="O53">
        <f t="shared" si="23"/>
        <v>1.39469641853271E-4</v>
      </c>
      <c r="P53" s="11">
        <f t="shared" si="24"/>
        <v>117.37258971555086</v>
      </c>
      <c r="R53" t="str">
        <f t="shared" si="25"/>
        <v>(3.49658924560502,117.372589715551)</v>
      </c>
    </row>
    <row r="54" spans="1:18" x14ac:dyDescent="0.2">
      <c r="A54" s="8">
        <f t="shared" si="13"/>
        <v>5037.7565938184753</v>
      </c>
      <c r="B54">
        <v>28.98</v>
      </c>
      <c r="C54">
        <v>1880</v>
      </c>
      <c r="D54">
        <v>28.7</v>
      </c>
      <c r="E54" s="1">
        <f t="shared" si="14"/>
        <v>103.86549374255446</v>
      </c>
      <c r="F54" s="1"/>
      <c r="G54" s="9">
        <f t="shared" si="15"/>
        <v>1.064348160522068E-7</v>
      </c>
      <c r="H54" s="1">
        <f t="shared" si="16"/>
        <v>111.77379486874257</v>
      </c>
      <c r="I54" s="8">
        <f t="shared" si="17"/>
        <v>0.17338916987355427</v>
      </c>
      <c r="J54" s="8">
        <f t="shared" si="18"/>
        <v>4.400442268163574</v>
      </c>
      <c r="K54" s="8">
        <f t="shared" si="19"/>
        <v>3369.3508503511052</v>
      </c>
      <c r="L54" s="2">
        <f t="shared" si="20"/>
        <v>2.3599999999999996E-12</v>
      </c>
      <c r="M54" s="2">
        <f t="shared" si="21"/>
        <v>3.5395988549015863E-3</v>
      </c>
      <c r="N54" s="10">
        <f t="shared" si="22"/>
        <v>8.0437343321373891E-4</v>
      </c>
      <c r="O54">
        <f t="shared" si="23"/>
        <v>1.3946964185327103E-4</v>
      </c>
      <c r="P54" s="11">
        <f t="shared" si="24"/>
        <v>111.86377511758614</v>
      </c>
      <c r="R54" t="str">
        <f t="shared" si="25"/>
        <v>(5.03775659381848,111.863775117586)</v>
      </c>
    </row>
    <row r="55" spans="1:18" x14ac:dyDescent="0.2">
      <c r="A55" s="8">
        <f t="shared" si="13"/>
        <v>0</v>
      </c>
      <c r="B55">
        <v>28.98</v>
      </c>
      <c r="E55" s="1" t="e">
        <f t="shared" si="14"/>
        <v>#DIV/0!</v>
      </c>
      <c r="F55" s="1"/>
      <c r="G55" s="17">
        <f t="shared" si="15"/>
        <v>1.064348160522068E-7</v>
      </c>
      <c r="H55" s="1" t="e">
        <f t="shared" si="16"/>
        <v>#DIV/0!</v>
      </c>
      <c r="I55" s="8" t="e">
        <f t="shared" si="17"/>
        <v>#DIV/0!</v>
      </c>
      <c r="J55" s="8" t="e">
        <f t="shared" si="18"/>
        <v>#DIV/0!</v>
      </c>
      <c r="K55" s="8" t="e">
        <f t="shared" si="19"/>
        <v>#DIV/0!</v>
      </c>
      <c r="L55" s="2">
        <f t="shared" si="20"/>
        <v>2.3599999999999996E-12</v>
      </c>
      <c r="M55" s="2">
        <f t="shared" si="21"/>
        <v>0</v>
      </c>
      <c r="N55" s="10" t="e">
        <f t="shared" si="22"/>
        <v>#DIV/0!</v>
      </c>
      <c r="O55" t="e">
        <f t="shared" si="23"/>
        <v>#DIV/0!</v>
      </c>
      <c r="P55" s="11" t="e">
        <f t="shared" si="24"/>
        <v>#DIV/0!</v>
      </c>
      <c r="R55" t="e">
        <f t="shared" si="25"/>
        <v>#DIV/0!</v>
      </c>
    </row>
    <row r="57" spans="1:18" x14ac:dyDescent="0.2">
      <c r="G57" s="1">
        <f>G55*2*PI()*30*10^6</f>
        <v>20.062490171747633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AF3C-925B-9B48-B328-CA01788EEA08}">
  <dimension ref="A1:R69"/>
  <sheetViews>
    <sheetView tabSelected="1" workbookViewId="0">
      <selection activeCell="D24" sqref="D24"/>
    </sheetView>
  </sheetViews>
  <sheetFormatPr baseColWidth="10" defaultColWidth="11" defaultRowHeight="16" x14ac:dyDescent="0.2"/>
  <cols>
    <col min="3" max="3" width="27" bestFit="1" customWidth="1"/>
    <col min="4" max="4" width="13" bestFit="1" customWidth="1"/>
  </cols>
  <sheetData>
    <row r="1" spans="1:16" x14ac:dyDescent="0.2">
      <c r="A1" s="12" t="s">
        <v>0</v>
      </c>
      <c r="B1" s="12">
        <v>60</v>
      </c>
      <c r="C1" s="12" t="s">
        <v>1</v>
      </c>
      <c r="D1" s="12"/>
      <c r="E1" s="12"/>
      <c r="F1" s="2"/>
      <c r="G1" s="2"/>
      <c r="H1" s="2"/>
      <c r="I1" s="2"/>
      <c r="J1" s="2"/>
      <c r="K1" s="2"/>
      <c r="L1" s="2"/>
      <c r="M1" t="s">
        <v>53</v>
      </c>
      <c r="N1" s="2"/>
    </row>
    <row r="2" spans="1:16" x14ac:dyDescent="0.2">
      <c r="A2" s="2" t="s">
        <v>2</v>
      </c>
      <c r="B2" s="2" t="s">
        <v>54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6" x14ac:dyDescent="0.2">
      <c r="A3" s="2" t="s">
        <v>4</v>
      </c>
      <c r="B3" s="2" t="s">
        <v>55</v>
      </c>
      <c r="C3" s="2" t="s">
        <v>56</v>
      </c>
      <c r="D3" s="2" t="s">
        <v>57</v>
      </c>
      <c r="E3" s="2"/>
      <c r="F3" s="2"/>
      <c r="G3" s="2"/>
      <c r="H3" s="2"/>
      <c r="I3" s="2"/>
      <c r="J3" s="2"/>
      <c r="K3" s="2"/>
      <c r="L3" s="2"/>
      <c r="N3" s="2"/>
    </row>
    <row r="4" spans="1:16" x14ac:dyDescent="0.2">
      <c r="A4" s="2" t="s">
        <v>5</v>
      </c>
      <c r="B4" s="2">
        <v>8</v>
      </c>
      <c r="C4" s="2" t="s">
        <v>59</v>
      </c>
      <c r="D4" s="2"/>
      <c r="E4" s="2"/>
      <c r="F4" s="2"/>
      <c r="G4" s="2"/>
      <c r="H4" s="2"/>
      <c r="I4" s="2"/>
      <c r="J4" s="2"/>
      <c r="K4" s="2"/>
      <c r="L4" s="2"/>
      <c r="N4" s="2"/>
    </row>
    <row r="5" spans="1:16" x14ac:dyDescent="0.2">
      <c r="A5" s="2" t="s">
        <v>6</v>
      </c>
      <c r="B5" s="2">
        <v>294</v>
      </c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N5" s="2"/>
    </row>
    <row r="6" spans="1:16" x14ac:dyDescent="0.2">
      <c r="A6" s="2" t="s">
        <v>8</v>
      </c>
      <c r="B6" s="8">
        <f>B5*10^-9*B1*2*PI()*10^6</f>
        <v>110.83538881864791</v>
      </c>
      <c r="C6" s="2"/>
      <c r="D6" s="2"/>
      <c r="E6" s="2"/>
      <c r="F6" s="2"/>
      <c r="G6" s="2"/>
      <c r="H6" s="2"/>
      <c r="I6" s="2"/>
      <c r="J6" s="2"/>
      <c r="K6" s="2"/>
      <c r="L6" s="2"/>
      <c r="N6" s="2"/>
    </row>
    <row r="7" spans="1:16" x14ac:dyDescent="0.2">
      <c r="A7" s="2" t="s">
        <v>11</v>
      </c>
      <c r="B7" s="2" t="s">
        <v>12</v>
      </c>
      <c r="C7" s="2" t="s">
        <v>58</v>
      </c>
      <c r="D7" s="2"/>
      <c r="E7" s="2"/>
      <c r="F7" s="2"/>
      <c r="G7" s="2"/>
      <c r="H7" s="2"/>
      <c r="I7" s="2"/>
      <c r="J7" s="2"/>
      <c r="K7" s="2"/>
      <c r="L7" s="2"/>
      <c r="N7" s="2"/>
    </row>
    <row r="8" spans="1:16" x14ac:dyDescent="0.2">
      <c r="A8" s="2" t="s">
        <v>13</v>
      </c>
      <c r="B8" s="8">
        <f>B9*B11/(B9+B11)</f>
        <v>21.519327731092435</v>
      </c>
      <c r="C8" s="2" t="s">
        <v>14</v>
      </c>
      <c r="D8" s="2"/>
      <c r="E8" s="2"/>
      <c r="F8" s="2">
        <f>60*10^6*2*PI()</f>
        <v>376991118.43077517</v>
      </c>
      <c r="G8" s="2"/>
      <c r="H8" s="2"/>
      <c r="I8" s="2"/>
      <c r="J8" s="2"/>
      <c r="K8" s="2"/>
      <c r="L8" s="2"/>
      <c r="N8" s="2"/>
    </row>
    <row r="9" spans="1:16" x14ac:dyDescent="0.2">
      <c r="A9" s="2" t="s">
        <v>15</v>
      </c>
      <c r="B9" s="2">
        <v>26.4</v>
      </c>
      <c r="C9" s="2" t="s">
        <v>14</v>
      </c>
      <c r="D9" s="2"/>
      <c r="E9" s="2"/>
      <c r="F9" s="2">
        <f>1/(F8*B9*10^-12)</f>
        <v>100.47660548730767</v>
      </c>
      <c r="G9" s="2"/>
      <c r="H9" s="2"/>
      <c r="I9" s="2"/>
      <c r="J9" s="2"/>
      <c r="K9" s="2"/>
      <c r="L9" s="2"/>
      <c r="N9" s="2"/>
    </row>
    <row r="10" spans="1:16" x14ac:dyDescent="0.2">
      <c r="A10" s="2" t="s">
        <v>16</v>
      </c>
      <c r="B10">
        <v>2.1328842496399297E-2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2"/>
    </row>
    <row r="11" spans="1:16" x14ac:dyDescent="0.2">
      <c r="A11" s="2" t="s">
        <v>17</v>
      </c>
      <c r="B11" s="2">
        <v>116.4</v>
      </c>
      <c r="C11" s="2" t="s">
        <v>14</v>
      </c>
      <c r="D11" s="2"/>
      <c r="E11" s="2"/>
      <c r="F11" s="2">
        <f>1/(F8*B11*10^-12)</f>
        <v>22.788508461038852</v>
      </c>
      <c r="G11" s="2"/>
      <c r="H11" s="2">
        <f>F11/(F11+F9)</f>
        <v>0.18487394957983194</v>
      </c>
      <c r="I11" s="2"/>
      <c r="J11" s="2"/>
      <c r="K11" s="2"/>
      <c r="L11" s="2"/>
      <c r="N11" s="2"/>
    </row>
    <row r="12" spans="1:16" x14ac:dyDescent="0.2">
      <c r="A12" s="2" t="s">
        <v>18</v>
      </c>
      <c r="B12">
        <v>2.1215343420656625E-2</v>
      </c>
      <c r="C12" s="2"/>
      <c r="D12" s="2"/>
      <c r="E12" s="2"/>
      <c r="F12" s="2"/>
      <c r="G12" s="2"/>
      <c r="H12" s="2"/>
      <c r="I12" s="2"/>
      <c r="J12" s="2"/>
      <c r="K12" s="2"/>
      <c r="L12" s="2"/>
      <c r="N12" s="2"/>
    </row>
    <row r="13" spans="1:16" x14ac:dyDescent="0.2">
      <c r="A13" s="2" t="s">
        <v>19</v>
      </c>
      <c r="B13" s="5">
        <f>(1/(2*PI()*SQRT(B8*10^-12*B5*10^-9)))/10^6</f>
        <v>63.274994570452826</v>
      </c>
      <c r="C13" s="2" t="s">
        <v>1</v>
      </c>
      <c r="D13" s="2"/>
      <c r="E13" s="2"/>
      <c r="F13" s="2"/>
      <c r="G13" s="2"/>
      <c r="H13" s="2"/>
      <c r="I13" s="2"/>
      <c r="J13" s="2"/>
      <c r="K13" s="2"/>
      <c r="L13" s="2"/>
      <c r="N13" s="2"/>
    </row>
    <row r="14" spans="1:16" x14ac:dyDescent="0.2">
      <c r="A14" s="2" t="s">
        <v>20</v>
      </c>
      <c r="B14" s="5">
        <f>0.375*2.54*PI()*((2.54*1.25/2)^2-(2.54*0.75/2)^2)</f>
        <v>4.826388738403665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7"/>
    </row>
    <row r="16" spans="1:16" x14ac:dyDescent="0.2">
      <c r="A16" s="7" t="s">
        <v>21</v>
      </c>
      <c r="B16" s="7" t="s">
        <v>22</v>
      </c>
      <c r="C16" s="7" t="s">
        <v>23</v>
      </c>
      <c r="D16" s="7" t="s">
        <v>24</v>
      </c>
      <c r="E16" s="7" t="s">
        <v>25</v>
      </c>
      <c r="F16" s="7"/>
      <c r="G16" s="7" t="s">
        <v>26</v>
      </c>
      <c r="H16" s="7" t="s">
        <v>27</v>
      </c>
      <c r="I16" s="7" t="s">
        <v>28</v>
      </c>
      <c r="J16" s="7" t="s">
        <v>29</v>
      </c>
      <c r="K16" s="7" t="s">
        <v>30</v>
      </c>
      <c r="L16" s="7" t="s">
        <v>31</v>
      </c>
      <c r="M16" s="7" t="s">
        <v>32</v>
      </c>
      <c r="N16" s="7"/>
      <c r="O16" s="7" t="s">
        <v>33</v>
      </c>
      <c r="P16" s="7" t="s">
        <v>34</v>
      </c>
    </row>
    <row r="17" spans="1:18" x14ac:dyDescent="0.2">
      <c r="A17" s="8">
        <f>B$11*10^-12*D17*2*B17*10^6*1000*PI()*0.5</f>
        <v>411.24345702670797</v>
      </c>
      <c r="B17" s="2">
        <v>55.95</v>
      </c>
      <c r="C17" s="2">
        <v>804</v>
      </c>
      <c r="D17" s="2">
        <v>20.100000000000001</v>
      </c>
      <c r="E17" s="8">
        <f>D17*1000/(0.1849*C17)</f>
        <v>135.20822065981611</v>
      </c>
      <c r="F17" s="1"/>
      <c r="G17" s="9">
        <f>1/($B$8*10^-12*(2*PI()*B17*10^6)^2)</f>
        <v>3.7602037812706362E-7</v>
      </c>
      <c r="H17" s="8">
        <f>(2*PI()*B17*10^6*G17)/((C17/(D17*1000))*SQRT($B$12^2 + (1/(2*PI()*B17*10^6*$B$11*10^-12))^2) - $B$10- $B$12)</f>
        <v>141.38044019752516</v>
      </c>
      <c r="I17" s="13">
        <f>(2*PI()*B17*10^6*G17)/H17</f>
        <v>0.93497933357866225</v>
      </c>
      <c r="J17" s="8">
        <f>I17*(A17/1000)^2</f>
        <v>0.15812480905612214</v>
      </c>
      <c r="K17" s="8">
        <f>J17/B$14*1000</f>
        <v>32.762551387110634</v>
      </c>
      <c r="L17" s="2">
        <f xml:space="preserve"> (4*8.85*10^-12*0.01*0.01)/0.0015</f>
        <v>2.3599999999999996E-12</v>
      </c>
      <c r="M17" s="2">
        <f>0.5*D17*D17*2*PI()*B17*10^6*L17*0.02</f>
        <v>3.3518461559310861E-3</v>
      </c>
      <c r="N17" s="10">
        <f>M17/J17</f>
        <v>2.1197471642425438E-2</v>
      </c>
      <c r="O17">
        <f>M17/((A17/1000)^2)</f>
        <v>1.9819197909787527E-2</v>
      </c>
      <c r="P17" s="11">
        <f>2*PI()*B17*10^6*G17/(I17-O17)</f>
        <v>144.44225071093837</v>
      </c>
      <c r="R17" t="str">
        <f>_xlfn.CONCAT("(",A17/1000,",",P17,")")</f>
        <v>(0.411243457026708,144.442250710938)</v>
      </c>
    </row>
    <row r="18" spans="1:18" x14ac:dyDescent="0.2">
      <c r="A18" s="8">
        <f t="shared" ref="A18:A24" si="0">B$11*10^-12*D18*2*B18*10^6*1000*PI()*0.5</f>
        <v>512.51983077209127</v>
      </c>
      <c r="B18" s="2">
        <v>55.95</v>
      </c>
      <c r="C18" s="2">
        <v>1008</v>
      </c>
      <c r="D18" s="2">
        <v>25.05</v>
      </c>
      <c r="E18" s="8">
        <f>D18*1000/(0.2346*C18)</f>
        <v>105.93005318069257</v>
      </c>
      <c r="F18" s="1"/>
      <c r="G18" s="9">
        <f t="shared" ref="G18:G24" si="1">1/($B$8*10^-12*(2*PI()*B18*10^6)^2)</f>
        <v>3.7602037812706362E-7</v>
      </c>
      <c r="H18" s="8">
        <f t="shared" ref="H18:H24" si="2">(2*PI()*B18*10^6*G18)/((C18/(D18*1000))*SQRT($B$12^2 + (1/(2*PI()*B18*10^6*$B$11*10^-12))^2) - $B$10- $B$12)</f>
        <v>140.50083529959173</v>
      </c>
      <c r="I18" s="13">
        <f t="shared" ref="I18:I24" si="3">(2*PI()*B18*10^6*G18)/H18</f>
        <v>0.94083276782713976</v>
      </c>
      <c r="J18" s="8">
        <f t="shared" ref="J18:J24" si="4">I18*(A18/1000)^2</f>
        <v>0.24713473092078828</v>
      </c>
      <c r="K18" s="8">
        <f t="shared" ref="K18:K24" si="5">J18/B$14*1000</f>
        <v>51.204895485175612</v>
      </c>
      <c r="L18" s="2">
        <f t="shared" ref="L18:L24" si="6" xml:space="preserve"> (4*8.85*10^-12*0.01*0.01)/0.0015</f>
        <v>2.3599999999999996E-12</v>
      </c>
      <c r="M18" s="2">
        <f t="shared" ref="M18:M24" si="7">0.5*D18*D18*2*PI()*B18*10^6*L18*0.02</f>
        <v>5.2060390645334168E-3</v>
      </c>
      <c r="N18" s="10">
        <f t="shared" ref="N18:N24" si="8">M18/J18</f>
        <v>2.1065590599655775E-2</v>
      </c>
      <c r="O18">
        <f t="shared" ref="O18:O24" si="9">M18/((A18/1000)^2)</f>
        <v>1.981919790978752E-2</v>
      </c>
      <c r="P18" s="11">
        <f t="shared" ref="P18:P24" si="10">2*PI()*B18*10^6*G18/(I18-O18)</f>
        <v>143.52425857178406</v>
      </c>
      <c r="R18" t="str">
        <f t="shared" ref="R18:R24" si="11">_xlfn.CONCAT("(",A18/1000,",",P18,")")</f>
        <v>(0.512519830772091,143.524258571784)</v>
      </c>
    </row>
    <row r="19" spans="1:18" x14ac:dyDescent="0.2">
      <c r="A19" s="8">
        <f t="shared" si="0"/>
        <v>671.08385027243878</v>
      </c>
      <c r="B19" s="2">
        <v>55.95</v>
      </c>
      <c r="C19" s="2">
        <v>1322</v>
      </c>
      <c r="D19" s="2">
        <v>32.799999999999997</v>
      </c>
      <c r="E19" s="8">
        <f t="shared" ref="E19:E24" si="12">D19*1000/(0.2346*C19)</f>
        <v>105.75828042194973</v>
      </c>
      <c r="F19" s="1"/>
      <c r="G19" s="9">
        <f t="shared" si="1"/>
        <v>3.7602037812706362E-7</v>
      </c>
      <c r="H19" s="8">
        <f t="shared" si="2"/>
        <v>140.26271865534164</v>
      </c>
      <c r="I19" s="13">
        <f t="shared" si="3"/>
        <v>0.94242997016018459</v>
      </c>
      <c r="J19" s="8">
        <f t="shared" si="4"/>
        <v>0.42442666770008031</v>
      </c>
      <c r="K19" s="8">
        <f t="shared" si="5"/>
        <v>87.938765545947305</v>
      </c>
      <c r="L19" s="2">
        <f t="shared" si="6"/>
        <v>2.3599999999999996E-12</v>
      </c>
      <c r="M19" s="2">
        <f t="shared" si="7"/>
        <v>8.9256458216303985E-3</v>
      </c>
      <c r="N19" s="10">
        <f t="shared" si="8"/>
        <v>2.1029889262136742E-2</v>
      </c>
      <c r="O19">
        <f t="shared" si="9"/>
        <v>1.9819197909787516E-2</v>
      </c>
      <c r="P19" s="11">
        <f t="shared" si="10"/>
        <v>143.27579270997731</v>
      </c>
      <c r="R19" t="str">
        <f t="shared" si="11"/>
        <v>(0.671083850272439,143.275792709977)</v>
      </c>
    </row>
    <row r="20" spans="1:18" x14ac:dyDescent="0.2">
      <c r="A20" s="8">
        <f t="shared" si="0"/>
        <v>926.83226882138626</v>
      </c>
      <c r="B20" s="2">
        <v>55.95</v>
      </c>
      <c r="C20" s="2">
        <v>1834</v>
      </c>
      <c r="D20" s="2">
        <v>45.3</v>
      </c>
      <c r="E20" s="8">
        <f t="shared" si="12"/>
        <v>105.28605733697395</v>
      </c>
      <c r="F20" s="1"/>
      <c r="G20" s="9">
        <f t="shared" si="1"/>
        <v>3.7602037812706362E-7</v>
      </c>
      <c r="H20" s="8">
        <f t="shared" si="2"/>
        <v>139.60828850272523</v>
      </c>
      <c r="I20" s="13">
        <f t="shared" si="3"/>
        <v>0.94684772068070744</v>
      </c>
      <c r="J20" s="8">
        <f t="shared" si="4"/>
        <v>0.81335928695397897</v>
      </c>
      <c r="K20" s="8">
        <f t="shared" si="5"/>
        <v>168.52336830683862</v>
      </c>
      <c r="L20" s="2">
        <f t="shared" si="6"/>
        <v>2.3599999999999996E-12</v>
      </c>
      <c r="M20" s="2">
        <f t="shared" si="7"/>
        <v>1.7025048830782947E-2</v>
      </c>
      <c r="N20" s="10">
        <f t="shared" si="8"/>
        <v>2.093176915031186E-2</v>
      </c>
      <c r="O20">
        <f t="shared" si="9"/>
        <v>1.981919790978753E-2</v>
      </c>
      <c r="P20" s="11">
        <f t="shared" si="10"/>
        <v>142.59301252331068</v>
      </c>
      <c r="R20" t="str">
        <f t="shared" si="11"/>
        <v>(0.926832268821386,142.593012523311)</v>
      </c>
    </row>
    <row r="21" spans="1:18" x14ac:dyDescent="0.2">
      <c r="A21" s="8">
        <f t="shared" si="0"/>
        <v>1325.7998017577449</v>
      </c>
      <c r="B21" s="2">
        <v>55.95</v>
      </c>
      <c r="C21" s="2">
        <v>2640</v>
      </c>
      <c r="D21" s="2">
        <v>64.8</v>
      </c>
      <c r="E21" s="8">
        <f t="shared" si="12"/>
        <v>104.62683096954196</v>
      </c>
      <c r="F21" s="1"/>
      <c r="G21" s="9">
        <f t="shared" si="1"/>
        <v>3.7602037812706362E-7</v>
      </c>
      <c r="H21" s="8">
        <f t="shared" si="2"/>
        <v>138.69514094865465</v>
      </c>
      <c r="I21" s="13">
        <f t="shared" si="3"/>
        <v>0.95308162097673121</v>
      </c>
      <c r="J21" s="8">
        <f t="shared" si="4"/>
        <v>1.6752745628399319</v>
      </c>
      <c r="K21" s="8">
        <f t="shared" si="5"/>
        <v>347.10725837513689</v>
      </c>
      <c r="L21" s="2">
        <f t="shared" si="6"/>
        <v>2.3599999999999996E-12</v>
      </c>
      <c r="M21" s="2">
        <f t="shared" si="7"/>
        <v>3.4837098296083918E-2</v>
      </c>
      <c r="N21" s="10">
        <f t="shared" si="8"/>
        <v>2.0794858985399942E-2</v>
      </c>
      <c r="O21">
        <f t="shared" si="9"/>
        <v>1.9819197909787523E-2</v>
      </c>
      <c r="P21" s="11">
        <f t="shared" si="10"/>
        <v>141.64053591972174</v>
      </c>
      <c r="R21" t="str">
        <f t="shared" si="11"/>
        <v>(1.32579980175775,141.640535919722)</v>
      </c>
    </row>
    <row r="22" spans="1:18" x14ac:dyDescent="0.2">
      <c r="A22" s="8">
        <f t="shared" si="0"/>
        <v>1972.3318038494849</v>
      </c>
      <c r="B22" s="2">
        <v>55.95</v>
      </c>
      <c r="C22" s="2">
        <v>3960</v>
      </c>
      <c r="D22" s="2">
        <v>96.4</v>
      </c>
      <c r="E22" s="8">
        <f t="shared" si="12"/>
        <v>103.7657047887227</v>
      </c>
      <c r="F22" s="1"/>
      <c r="G22" s="9">
        <f t="shared" si="1"/>
        <v>3.7602037812706362E-7</v>
      </c>
      <c r="H22" s="8">
        <f t="shared" si="2"/>
        <v>137.50309913352331</v>
      </c>
      <c r="I22" s="13">
        <f t="shared" si="3"/>
        <v>0.96134407580572534</v>
      </c>
      <c r="J22" s="8">
        <f t="shared" si="4"/>
        <v>3.7397176142369943</v>
      </c>
      <c r="K22" s="8">
        <f t="shared" si="5"/>
        <v>774.84799027479733</v>
      </c>
      <c r="L22" s="2">
        <f t="shared" si="6"/>
        <v>2.3599999999999996E-12</v>
      </c>
      <c r="M22" s="2">
        <f t="shared" si="7"/>
        <v>7.7098517990201579E-2</v>
      </c>
      <c r="N22" s="10">
        <f t="shared" si="8"/>
        <v>2.0616133607706047E-2</v>
      </c>
      <c r="O22">
        <f t="shared" si="9"/>
        <v>1.9819197909787527E-2</v>
      </c>
      <c r="P22" s="11">
        <f t="shared" si="10"/>
        <v>140.39755386214028</v>
      </c>
      <c r="R22" t="str">
        <f t="shared" si="11"/>
        <v>(1.97233180384948,140.39755386214)</v>
      </c>
    </row>
    <row r="23" spans="1:18" x14ac:dyDescent="0.2">
      <c r="A23" s="8">
        <f t="shared" si="0"/>
        <v>2890.9801232773052</v>
      </c>
      <c r="B23" s="2">
        <v>55.95</v>
      </c>
      <c r="C23" s="2">
        <v>6160</v>
      </c>
      <c r="D23" s="2">
        <v>141.30000000000001</v>
      </c>
      <c r="E23" s="8">
        <f t="shared" si="12"/>
        <v>97.77626465606005</v>
      </c>
      <c r="F23" s="1"/>
      <c r="G23" s="9">
        <f t="shared" si="1"/>
        <v>3.7602037812706362E-7</v>
      </c>
      <c r="H23" s="8">
        <f t="shared" si="2"/>
        <v>129.23618480724454</v>
      </c>
      <c r="I23" s="13">
        <f t="shared" si="3"/>
        <v>1.0228388431157864</v>
      </c>
      <c r="J23" s="8">
        <f t="shared" si="4"/>
        <v>8.5486477813283646</v>
      </c>
      <c r="K23" s="8">
        <f t="shared" si="5"/>
        <v>1771.2306746670893</v>
      </c>
      <c r="L23" s="2">
        <f t="shared" si="6"/>
        <v>2.3599999999999996E-12</v>
      </c>
      <c r="M23" s="2">
        <f t="shared" si="7"/>
        <v>0.16564421988815056</v>
      </c>
      <c r="N23" s="10">
        <f t="shared" si="8"/>
        <v>1.9376657469728071E-2</v>
      </c>
      <c r="O23">
        <f t="shared" si="9"/>
        <v>1.981919790978752E-2</v>
      </c>
      <c r="P23" s="11">
        <f t="shared" si="10"/>
        <v>131.78983122488236</v>
      </c>
      <c r="R23" t="str">
        <f t="shared" si="11"/>
        <v>(2.89098012327731,131.789831224882)</v>
      </c>
    </row>
    <row r="24" spans="1:18" x14ac:dyDescent="0.2">
      <c r="A24" s="8">
        <f t="shared" si="0"/>
        <v>3729.8349361178543</v>
      </c>
      <c r="B24" s="2">
        <v>55.95</v>
      </c>
      <c r="C24" s="2">
        <v>8500</v>
      </c>
      <c r="D24" s="2">
        <v>182.3</v>
      </c>
      <c r="E24" s="8">
        <f t="shared" si="12"/>
        <v>91.41968807983551</v>
      </c>
      <c r="F24" s="1"/>
      <c r="G24" s="9">
        <f t="shared" si="1"/>
        <v>3.7602037812706362E-7</v>
      </c>
      <c r="H24" s="8">
        <f t="shared" si="2"/>
        <v>120.50848618657079</v>
      </c>
      <c r="I24" s="13">
        <f t="shared" si="3"/>
        <v>1.0969168557331916</v>
      </c>
      <c r="J24" s="8">
        <f t="shared" si="4"/>
        <v>15.259943834311708</v>
      </c>
      <c r="K24" s="8">
        <f t="shared" si="5"/>
        <v>3161.7726340375466</v>
      </c>
      <c r="L24" s="2">
        <f t="shared" si="6"/>
        <v>2.3599999999999996E-12</v>
      </c>
      <c r="M24" s="2">
        <f t="shared" si="7"/>
        <v>0.27571811424331816</v>
      </c>
      <c r="N24" s="10">
        <f t="shared" si="8"/>
        <v>1.8068094957425136E-2</v>
      </c>
      <c r="O24">
        <f t="shared" si="9"/>
        <v>1.9819197909787516E-2</v>
      </c>
      <c r="P24" s="11">
        <f t="shared" si="10"/>
        <v>122.72590957449921</v>
      </c>
      <c r="R24" t="str">
        <f t="shared" si="11"/>
        <v>(3.72983493611785,122.725909574499)</v>
      </c>
    </row>
    <row r="25" spans="1:18" x14ac:dyDescent="0.2">
      <c r="A25" s="8"/>
      <c r="B25" s="2"/>
      <c r="C25" s="2"/>
      <c r="D25" s="2"/>
      <c r="E25" s="8"/>
      <c r="F25" s="1"/>
      <c r="G25" s="9"/>
      <c r="H25" s="8"/>
      <c r="I25" s="13"/>
      <c r="J25" s="8"/>
      <c r="K25" s="8"/>
      <c r="L25" s="2"/>
      <c r="M25" s="2"/>
      <c r="N25" s="10"/>
      <c r="P25" s="11"/>
    </row>
    <row r="26" spans="1:18" x14ac:dyDescent="0.2">
      <c r="A26" s="2"/>
      <c r="B26" s="2"/>
      <c r="C26" s="2"/>
      <c r="D26" s="2"/>
      <c r="E26" s="8"/>
      <c r="F26" s="1"/>
      <c r="G26" s="9"/>
      <c r="H26" s="8"/>
      <c r="J26" s="2"/>
      <c r="K26" s="2"/>
    </row>
    <row r="27" spans="1:18" x14ac:dyDescent="0.2">
      <c r="A27" s="2"/>
      <c r="B27" s="2"/>
      <c r="C27" s="2"/>
      <c r="D27" s="2"/>
      <c r="E27" s="8"/>
      <c r="F27" s="1"/>
      <c r="G27" s="9"/>
      <c r="H27" s="8"/>
    </row>
    <row r="28" spans="1:18" x14ac:dyDescent="0.2">
      <c r="A28" s="2"/>
      <c r="B28" s="2"/>
      <c r="C28" s="2"/>
      <c r="D28" s="2"/>
      <c r="E28" s="8"/>
      <c r="F28" s="1"/>
      <c r="G28" s="9"/>
      <c r="H28" s="8"/>
    </row>
    <row r="29" spans="1:18" x14ac:dyDescent="0.2">
      <c r="A29" s="2"/>
      <c r="B29" s="2"/>
      <c r="C29" s="2"/>
      <c r="D29" s="2"/>
      <c r="E29" s="8"/>
      <c r="F29" s="1"/>
      <c r="G29" s="9"/>
      <c r="H29" s="8"/>
    </row>
    <row r="30" spans="1:18" x14ac:dyDescent="0.2">
      <c r="A30" s="2"/>
      <c r="B30" s="2"/>
      <c r="C30" s="2"/>
      <c r="D30" s="2"/>
      <c r="E30" s="8"/>
      <c r="G30" s="9"/>
      <c r="H30" s="8"/>
      <c r="J30" s="2"/>
      <c r="K30" s="2"/>
    </row>
    <row r="31" spans="1:18" x14ac:dyDescent="0.2">
      <c r="A31" s="2"/>
      <c r="B31" s="2"/>
      <c r="C31" s="2"/>
      <c r="D31" s="2"/>
      <c r="E31" s="8"/>
      <c r="G31" s="9"/>
      <c r="H31" s="8"/>
      <c r="J31" s="2"/>
      <c r="K31" s="2"/>
    </row>
    <row r="33" spans="1:16" x14ac:dyDescent="0.2">
      <c r="A33" s="12" t="s">
        <v>0</v>
      </c>
      <c r="B33" s="12">
        <v>60</v>
      </c>
      <c r="C33" s="12" t="s">
        <v>1</v>
      </c>
      <c r="D33" s="12"/>
      <c r="E33" s="12"/>
      <c r="F33" s="2" t="s">
        <v>52</v>
      </c>
      <c r="G33" s="2"/>
      <c r="H33" s="2"/>
      <c r="J33" s="2"/>
      <c r="K33" s="2"/>
      <c r="L33" s="2"/>
      <c r="M33" t="s">
        <v>53</v>
      </c>
    </row>
    <row r="34" spans="1:16" x14ac:dyDescent="0.2">
      <c r="A34" s="2" t="s">
        <v>2</v>
      </c>
      <c r="B34" s="2" t="s">
        <v>35</v>
      </c>
      <c r="C34" s="2"/>
      <c r="D34" s="2"/>
      <c r="E34" s="2"/>
      <c r="F34" s="2"/>
      <c r="G34" s="2"/>
      <c r="H34" s="2"/>
      <c r="J34" s="2"/>
      <c r="K34" s="2"/>
      <c r="L34" s="2"/>
    </row>
    <row r="35" spans="1:16" x14ac:dyDescent="0.2">
      <c r="A35" s="2" t="s">
        <v>4</v>
      </c>
      <c r="B35" s="2" t="s">
        <v>55</v>
      </c>
      <c r="C35" s="2" t="s">
        <v>56</v>
      </c>
      <c r="D35" s="2" t="s">
        <v>57</v>
      </c>
      <c r="E35" s="2"/>
      <c r="F35" s="2"/>
      <c r="G35" s="2"/>
      <c r="H35" s="2"/>
      <c r="J35" s="2"/>
      <c r="K35" s="2"/>
      <c r="L35" s="2"/>
    </row>
    <row r="36" spans="1:16" x14ac:dyDescent="0.2">
      <c r="A36" s="2" t="s">
        <v>5</v>
      </c>
      <c r="B36" s="2">
        <v>12</v>
      </c>
      <c r="C36" s="2" t="s">
        <v>59</v>
      </c>
      <c r="D36" s="2"/>
      <c r="E36" s="2"/>
      <c r="F36" s="2"/>
      <c r="G36" s="2"/>
      <c r="H36" s="2"/>
      <c r="J36" s="2"/>
      <c r="K36" s="2"/>
      <c r="L36" s="2"/>
    </row>
    <row r="37" spans="1:16" x14ac:dyDescent="0.2">
      <c r="A37" s="2" t="s">
        <v>6</v>
      </c>
      <c r="B37" s="2">
        <v>274</v>
      </c>
      <c r="C37" s="2" t="s">
        <v>7</v>
      </c>
      <c r="D37" s="2"/>
      <c r="E37" s="2"/>
      <c r="F37" s="2"/>
      <c r="G37" s="2"/>
      <c r="H37" s="2"/>
      <c r="J37" s="2"/>
      <c r="K37" s="2"/>
      <c r="L37" s="2"/>
    </row>
    <row r="38" spans="1:16" x14ac:dyDescent="0.2">
      <c r="A38" s="2" t="s">
        <v>8</v>
      </c>
      <c r="B38" s="8">
        <f>B37*10^-9*B33*2*PI()*10^6</f>
        <v>103.2955664500324</v>
      </c>
      <c r="C38" s="2"/>
      <c r="D38" s="2"/>
      <c r="E38" s="2"/>
      <c r="F38" s="2"/>
      <c r="G38" s="2"/>
      <c r="H38" s="2"/>
      <c r="J38" s="2"/>
      <c r="K38" s="2"/>
      <c r="L38" s="2"/>
    </row>
    <row r="39" spans="1:16" x14ac:dyDescent="0.2">
      <c r="A39" s="2" t="s">
        <v>11</v>
      </c>
      <c r="B39" s="2" t="s">
        <v>12</v>
      </c>
      <c r="C39" s="2" t="s">
        <v>58</v>
      </c>
      <c r="D39" s="2"/>
      <c r="E39" s="2"/>
      <c r="F39" s="2"/>
      <c r="G39" s="2"/>
      <c r="H39" s="2"/>
      <c r="J39" s="2"/>
      <c r="K39" s="2"/>
      <c r="L39" s="2"/>
    </row>
    <row r="40" spans="1:16" x14ac:dyDescent="0.2">
      <c r="A40" s="2" t="s">
        <v>13</v>
      </c>
      <c r="B40" s="8">
        <f>B41*B43/(B41+B43)</f>
        <v>21.519327731092435</v>
      </c>
      <c r="C40" s="2" t="s">
        <v>14</v>
      </c>
      <c r="D40" s="2"/>
      <c r="E40" s="2"/>
      <c r="F40" s="2">
        <f>60*10^6*2*PI()</f>
        <v>376991118.43077517</v>
      </c>
      <c r="G40" s="2"/>
      <c r="H40" s="2"/>
      <c r="J40" s="2"/>
      <c r="K40" s="2"/>
      <c r="L40" s="2"/>
    </row>
    <row r="41" spans="1:16" x14ac:dyDescent="0.2">
      <c r="A41" s="2" t="s">
        <v>15</v>
      </c>
      <c r="B41" s="2">
        <v>26.4</v>
      </c>
      <c r="C41" s="2" t="s">
        <v>14</v>
      </c>
      <c r="D41" s="2"/>
      <c r="E41" s="2"/>
      <c r="F41" s="2">
        <f>1/(F40*B41*10^-12)</f>
        <v>100.47660548730767</v>
      </c>
      <c r="G41" s="2"/>
      <c r="H41" s="2"/>
      <c r="I41" s="2"/>
      <c r="J41" s="2"/>
      <c r="K41" s="2"/>
      <c r="L41" s="2"/>
    </row>
    <row r="42" spans="1:16" x14ac:dyDescent="0.2">
      <c r="A42" s="2" t="s">
        <v>16</v>
      </c>
      <c r="B42">
        <v>2.1328842496399297E-2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6" x14ac:dyDescent="0.2">
      <c r="A43" s="2" t="s">
        <v>17</v>
      </c>
      <c r="B43" s="2">
        <v>116.4</v>
      </c>
      <c r="C43" s="2" t="s">
        <v>14</v>
      </c>
      <c r="D43" s="2"/>
      <c r="E43" s="2"/>
      <c r="F43" s="2">
        <f>1/(F40*B43*10^-12)</f>
        <v>22.788508461038852</v>
      </c>
      <c r="G43" s="2"/>
      <c r="H43" s="2">
        <f>F43/(F43+F41)</f>
        <v>0.18487394957983194</v>
      </c>
      <c r="I43" s="2"/>
      <c r="J43" s="2"/>
      <c r="K43" s="2"/>
      <c r="L43" s="2"/>
    </row>
    <row r="44" spans="1:16" x14ac:dyDescent="0.2">
      <c r="A44" s="2" t="s">
        <v>18</v>
      </c>
      <c r="B44">
        <v>2.1215343420656625E-2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6" x14ac:dyDescent="0.2">
      <c r="A45" s="2" t="s">
        <v>19</v>
      </c>
      <c r="B45" s="5">
        <f>(1/(2*PI()*SQRT(B40*10^-12*B37*10^-9)))/10^6</f>
        <v>65.543631529594435</v>
      </c>
      <c r="C45" s="2" t="s">
        <v>1</v>
      </c>
      <c r="D45" s="2"/>
      <c r="E45" s="2"/>
      <c r="F45" s="2"/>
      <c r="G45" s="2"/>
      <c r="H45" s="2"/>
      <c r="I45" s="2"/>
      <c r="J45" s="2"/>
      <c r="K45" s="2"/>
      <c r="L45" s="2"/>
    </row>
    <row r="46" spans="1:16" x14ac:dyDescent="0.2">
      <c r="A46" s="2" t="s">
        <v>20</v>
      </c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6" x14ac:dyDescent="0.2">
      <c r="A48" s="7" t="s">
        <v>21</v>
      </c>
      <c r="B48" s="7" t="s">
        <v>22</v>
      </c>
      <c r="C48" s="7" t="s">
        <v>23</v>
      </c>
      <c r="D48" s="7" t="s">
        <v>24</v>
      </c>
      <c r="E48" s="7" t="s">
        <v>25</v>
      </c>
      <c r="F48" s="7"/>
      <c r="G48" s="7" t="s">
        <v>26</v>
      </c>
      <c r="H48" s="7" t="s">
        <v>27</v>
      </c>
      <c r="I48" s="7" t="s">
        <v>28</v>
      </c>
      <c r="J48" s="7" t="s">
        <v>29</v>
      </c>
      <c r="K48" s="7"/>
      <c r="L48" s="7" t="s">
        <v>31</v>
      </c>
      <c r="M48" s="7" t="s">
        <v>32</v>
      </c>
      <c r="N48" s="7"/>
      <c r="O48" s="7" t="s">
        <v>33</v>
      </c>
      <c r="P48" s="7" t="s">
        <v>34</v>
      </c>
    </row>
    <row r="49" spans="1:18" x14ac:dyDescent="0.2">
      <c r="A49" s="8">
        <f>B$11*10^-12*D49*2*B49*10^6*1000*PI()*0.5</f>
        <v>448.1470716169801</v>
      </c>
      <c r="B49" s="2">
        <v>61.46</v>
      </c>
      <c r="C49" s="2">
        <v>729</v>
      </c>
      <c r="D49" s="2">
        <v>19.940000000000001</v>
      </c>
      <c r="E49" s="8">
        <f>D49*1000/(0.1849*C49)</f>
        <v>147.93151824179606</v>
      </c>
      <c r="F49" s="1"/>
      <c r="G49" s="9">
        <f>1/($B$8*10^-12*(2*PI()*B49*10^6)^2)</f>
        <v>3.1162080971125368E-7</v>
      </c>
      <c r="H49" s="8">
        <f>(2*PI()*B49*10^6*G49)/((C49/(D49*1000))*SQRT($B$12^2 + (1/(2*PI()*B49*10^6*$B$11*10^-12))^2) - $B$10- $B$12)</f>
        <v>156.1184442158397</v>
      </c>
      <c r="I49" s="13">
        <f>(2*PI()*B49*10^6*G49)/H49</f>
        <v>0.7708052451556785</v>
      </c>
      <c r="J49" s="8">
        <f>I49*(A49/1000)^2</f>
        <v>0.15480528635839785</v>
      </c>
      <c r="K49" s="8">
        <f>J49/B$14*1000</f>
        <v>32.074765367863826</v>
      </c>
      <c r="L49" s="2">
        <f xml:space="preserve"> (4*8.85*10^-12*0.01*0.01)/0.0015</f>
        <v>2.3599999999999996E-12</v>
      </c>
      <c r="M49" s="2">
        <f>0.5*D49*D49*2*PI()*B49*10^6*L49*0.02</f>
        <v>3.6235539785189849E-3</v>
      </c>
      <c r="N49" s="10">
        <f>M49/J49</f>
        <v>2.3407172091849011E-2</v>
      </c>
      <c r="O49">
        <f>M49/((A49/1000)^2)</f>
        <v>1.8042371022658831E-2</v>
      </c>
      <c r="P49" s="11">
        <f>2*PI()*B49*10^6*G49/(I49-O49)</f>
        <v>159.86032229034834</v>
      </c>
      <c r="R49" t="str">
        <f>_xlfn.CONCAT("(",A49/1000,",",P49,")")</f>
        <v>(0.44814707161698,159.860322290348)</v>
      </c>
    </row>
    <row r="50" spans="1:18" x14ac:dyDescent="0.2">
      <c r="A50" s="8">
        <f t="shared" ref="A50:A57" si="13">B$11*10^-12*D50*2*B50*10^6*1000*PI()*0.5</f>
        <v>565.24066455200841</v>
      </c>
      <c r="B50" s="2">
        <v>61.46</v>
      </c>
      <c r="C50" s="2">
        <v>904</v>
      </c>
      <c r="D50" s="2">
        <v>25.15</v>
      </c>
      <c r="E50" s="8">
        <f t="shared" ref="E50:E57" si="14">D50*1000/(0.2346*C50)</f>
        <v>118.58822020535801</v>
      </c>
      <c r="F50" s="1"/>
      <c r="G50" s="9">
        <f>1/($B$8*10^-12*(2*PI()*B50*10^6)^2)</f>
        <v>3.1162080971125368E-7</v>
      </c>
      <c r="H50" s="8">
        <f>(2*PI()*B50*10^6*G50)/((C50/(D50*1000))*SQRT($B$12^2 + (1/(2*PI()*B50*10^6*$B$11*10^-12))^2) - $B$10- $B$12)</f>
        <v>158.94127952801784</v>
      </c>
      <c r="I50" s="13">
        <f>(2*PI()*B50*10^6*G50)/H50</f>
        <v>0.75711555880548131</v>
      </c>
      <c r="J50" s="8">
        <f t="shared" ref="J50:J56" si="15">I50*(A50/1000)^2</f>
        <v>0.24189615640213852</v>
      </c>
      <c r="K50" s="8">
        <f t="shared" ref="K50:K56" si="16">J50/B$14*1000</f>
        <v>50.119492961138064</v>
      </c>
      <c r="L50" s="2">
        <f t="shared" ref="L50:L57" si="17" xml:space="preserve"> (4*8.85*10^-12*0.01*0.01)/0.0015</f>
        <v>2.3599999999999996E-12</v>
      </c>
      <c r="M50" s="2">
        <f>0.5*D50*D50*2*PI()*B50*10^6*L50*0.02</f>
        <v>5.7644835745395018E-3</v>
      </c>
      <c r="N50" s="10">
        <f t="shared" ref="N50:N56" si="18">M50/J50</f>
        <v>2.3830405824871306E-2</v>
      </c>
      <c r="O50">
        <f t="shared" ref="O50:O56" si="19">M50/((A50/1000)^2)</f>
        <v>1.8042371022658835E-2</v>
      </c>
      <c r="P50" s="11">
        <f>2*PI()*B50*10^6*G50/(I50-O50)</f>
        <v>162.82137906817772</v>
      </c>
      <c r="R50" t="str">
        <f t="shared" ref="R50:R57" si="20">_xlfn.CONCAT("(",A50/1000,",",P50,")")</f>
        <v>(0.565240664552008,162.821379068178)</v>
      </c>
    </row>
    <row r="51" spans="1:18" x14ac:dyDescent="0.2">
      <c r="A51" s="8">
        <f t="shared" si="13"/>
        <v>723.68784884988759</v>
      </c>
      <c r="B51" s="2">
        <v>61.46</v>
      </c>
      <c r="C51" s="2">
        <v>1166</v>
      </c>
      <c r="D51" s="2">
        <v>32.200000000000003</v>
      </c>
      <c r="E51" s="8">
        <f t="shared" si="14"/>
        <v>117.71432415161605</v>
      </c>
      <c r="F51" s="1"/>
      <c r="G51" s="9">
        <f t="shared" ref="G51:G57" si="21">1/($B$8*10^-12*(2*PI()*B51*10^6)^2)</f>
        <v>3.1162080971125368E-7</v>
      </c>
      <c r="H51" s="8">
        <f t="shared" ref="H51:H57" si="22">(2*PI()*B51*10^6*G51)/((C51/(D51*1000))*SQRT($B$12^2 + (1/(2*PI()*B51*10^6*$B$11*10^-12))^2) - $B$10- $B$12)</f>
        <v>157.70471098461906</v>
      </c>
      <c r="I51" s="13">
        <f t="shared" ref="I51:I56" si="23">(2*PI()*B51*10^6*G51)/H51</f>
        <v>0.763052130248981</v>
      </c>
      <c r="J51" s="8">
        <f t="shared" si="15"/>
        <v>0.39962879213104652</v>
      </c>
      <c r="K51" s="8">
        <f t="shared" si="16"/>
        <v>82.800788289429065</v>
      </c>
      <c r="L51" s="2">
        <f t="shared" si="17"/>
        <v>2.3599999999999996E-12</v>
      </c>
      <c r="M51" s="2">
        <f t="shared" ref="M51:M56" si="24">0.5*D51*D51*2*PI()*B51*10^6*L51*0.02</f>
        <v>9.4492245721306961E-3</v>
      </c>
      <c r="N51" s="10">
        <f t="shared" si="18"/>
        <v>2.3645004459618868E-2</v>
      </c>
      <c r="O51">
        <f t="shared" si="19"/>
        <v>1.8042371022658835E-2</v>
      </c>
      <c r="P51" s="11">
        <f t="shared" ref="P51:P56" si="25">2*PI()*B51*10^6*G51/(I51-O51)</f>
        <v>161.52394539379046</v>
      </c>
      <c r="R51" t="str">
        <f t="shared" si="20"/>
        <v>(0.723687848849888,161.52394539379)</v>
      </c>
    </row>
    <row r="52" spans="1:18" x14ac:dyDescent="0.2">
      <c r="A52" s="8">
        <f t="shared" si="13"/>
        <v>995.63266161646038</v>
      </c>
      <c r="B52" s="2">
        <v>61.46</v>
      </c>
      <c r="C52" s="2">
        <v>1606</v>
      </c>
      <c r="D52" s="2">
        <v>44.3</v>
      </c>
      <c r="E52" s="8">
        <f t="shared" si="14"/>
        <v>117.57911242898805</v>
      </c>
      <c r="F52" s="1"/>
      <c r="G52" s="9">
        <f t="shared" si="21"/>
        <v>3.1162080971125368E-7</v>
      </c>
      <c r="H52" s="8">
        <f t="shared" si="22"/>
        <v>157.5134769670475</v>
      </c>
      <c r="I52" s="13">
        <f t="shared" si="23"/>
        <v>0.76397853684791972</v>
      </c>
      <c r="J52" s="8">
        <f t="shared" si="15"/>
        <v>0.75732000312662751</v>
      </c>
      <c r="K52" s="8">
        <f t="shared" si="16"/>
        <v>156.91235086403591</v>
      </c>
      <c r="L52" s="2">
        <f t="shared" si="17"/>
        <v>2.3599999999999996E-12</v>
      </c>
      <c r="M52" s="2">
        <f t="shared" si="24"/>
        <v>1.7885120877436021E-2</v>
      </c>
      <c r="N52" s="10">
        <f t="shared" si="18"/>
        <v>2.3616332334543584E-2</v>
      </c>
      <c r="O52">
        <f t="shared" si="19"/>
        <v>1.8042371022658824E-2</v>
      </c>
      <c r="P52" s="11">
        <f t="shared" si="25"/>
        <v>161.32334264015688</v>
      </c>
      <c r="R52" t="str">
        <f>_xlfn.CONCAT("(",A52/1000,",",P52,")")</f>
        <v>(0.99563266161646,161.323342640157)</v>
      </c>
    </row>
    <row r="53" spans="1:18" x14ac:dyDescent="0.2">
      <c r="A53" s="8">
        <f t="shared" si="13"/>
        <v>1437.2620476382083</v>
      </c>
      <c r="B53" s="2">
        <v>61.46</v>
      </c>
      <c r="C53" s="2">
        <v>2322</v>
      </c>
      <c r="D53" s="2">
        <v>63.95</v>
      </c>
      <c r="E53" s="8">
        <f t="shared" si="14"/>
        <v>117.39519610413164</v>
      </c>
      <c r="F53" s="1"/>
      <c r="G53" s="9">
        <f t="shared" si="21"/>
        <v>3.1162080971125368E-7</v>
      </c>
      <c r="H53" s="8">
        <f t="shared" si="22"/>
        <v>157.25339787369367</v>
      </c>
      <c r="I53" s="13">
        <f t="shared" si="23"/>
        <v>0.76524206976925457</v>
      </c>
      <c r="J53" s="8">
        <f t="shared" si="15"/>
        <v>1.5807775269843432</v>
      </c>
      <c r="K53" s="8">
        <f t="shared" si="16"/>
        <v>327.52801580321676</v>
      </c>
      <c r="L53" s="2">
        <f t="shared" si="17"/>
        <v>2.3599999999999996E-12</v>
      </c>
      <c r="M53" s="2">
        <f t="shared" si="24"/>
        <v>3.7270526246332245E-2</v>
      </c>
      <c r="N53" s="10">
        <f t="shared" si="18"/>
        <v>2.3577338120079051E-2</v>
      </c>
      <c r="O53">
        <f t="shared" si="19"/>
        <v>1.8042371022658838E-2</v>
      </c>
      <c r="P53" s="11">
        <f t="shared" si="25"/>
        <v>161.05054093166109</v>
      </c>
      <c r="R53" t="str">
        <f t="shared" si="20"/>
        <v>(1.43726204763821,161.050540931661)</v>
      </c>
    </row>
    <row r="54" spans="1:18" x14ac:dyDescent="0.2">
      <c r="A54" s="8">
        <f t="shared" si="13"/>
        <v>2189.0433688813368</v>
      </c>
      <c r="B54" s="2">
        <v>61.46</v>
      </c>
      <c r="C54" s="2">
        <v>3620</v>
      </c>
      <c r="D54" s="2">
        <v>97.4</v>
      </c>
      <c r="E54" s="8">
        <f t="shared" si="14"/>
        <v>114.68916175646332</v>
      </c>
      <c r="F54" s="1"/>
      <c r="G54" s="9">
        <f t="shared" si="21"/>
        <v>3.1162080971125368E-7</v>
      </c>
      <c r="H54" s="8">
        <f t="shared" si="22"/>
        <v>153.43198079868469</v>
      </c>
      <c r="I54" s="13">
        <f t="shared" si="23"/>
        <v>0.78430138906311408</v>
      </c>
      <c r="J54" s="8">
        <f t="shared" si="15"/>
        <v>3.7583023522690779</v>
      </c>
      <c r="K54" s="8">
        <f t="shared" si="16"/>
        <v>778.69864115258599</v>
      </c>
      <c r="L54" s="2">
        <f t="shared" si="17"/>
        <v>2.3599999999999996E-12</v>
      </c>
      <c r="M54" s="2">
        <f t="shared" si="24"/>
        <v>8.6457433839267975E-2</v>
      </c>
      <c r="N54" s="10">
        <f t="shared" si="18"/>
        <v>2.3004384888583865E-2</v>
      </c>
      <c r="O54">
        <f t="shared" si="19"/>
        <v>1.8042371022658835E-2</v>
      </c>
      <c r="P54" s="11">
        <f t="shared" si="25"/>
        <v>157.04469746385439</v>
      </c>
      <c r="R54" t="str">
        <f t="shared" si="20"/>
        <v>(2.18904336888134,157.044697463854)</v>
      </c>
    </row>
    <row r="55" spans="1:18" x14ac:dyDescent="0.2">
      <c r="A55" s="8">
        <f t="shared" si="13"/>
        <v>3279.0700977390861</v>
      </c>
      <c r="B55" s="2">
        <v>61.46</v>
      </c>
      <c r="C55" s="2">
        <v>5640</v>
      </c>
      <c r="D55" s="2">
        <v>145.9</v>
      </c>
      <c r="E55" s="8">
        <f t="shared" si="14"/>
        <v>110.26766549974909</v>
      </c>
      <c r="F55" s="1"/>
      <c r="G55" s="9">
        <f t="shared" si="21"/>
        <v>3.1162080971125368E-7</v>
      </c>
      <c r="H55" s="8">
        <f t="shared" si="22"/>
        <v>147.20902192127724</v>
      </c>
      <c r="I55" s="13">
        <f t="shared" si="23"/>
        <v>0.81745611849432598</v>
      </c>
      <c r="J55" s="8">
        <f t="shared" si="15"/>
        <v>8.7895339999178788</v>
      </c>
      <c r="K55" s="8">
        <f t="shared" si="16"/>
        <v>1821.1409143195187</v>
      </c>
      <c r="L55" s="2">
        <f t="shared" si="17"/>
        <v>2.3599999999999996E-12</v>
      </c>
      <c r="M55" s="2">
        <f t="shared" si="24"/>
        <v>0.19399699868280296</v>
      </c>
      <c r="N55" s="10">
        <f t="shared" si="18"/>
        <v>2.2071363360630435E-2</v>
      </c>
      <c r="O55">
        <f t="shared" si="19"/>
        <v>1.8042371022658842E-2</v>
      </c>
      <c r="P55" s="11">
        <f t="shared" si="25"/>
        <v>150.53145639252148</v>
      </c>
      <c r="R55" t="str">
        <f t="shared" si="20"/>
        <v>(3.27907009773909,150.531456392521)</v>
      </c>
    </row>
    <row r="56" spans="1:18" x14ac:dyDescent="0.2">
      <c r="A56" s="8">
        <f t="shared" si="13"/>
        <v>4501.6980162929349</v>
      </c>
      <c r="B56" s="2">
        <v>61.46</v>
      </c>
      <c r="C56" s="2">
        <v>8900</v>
      </c>
      <c r="D56" s="2">
        <v>200.3</v>
      </c>
      <c r="E56" s="8">
        <f t="shared" si="14"/>
        <v>95.931875437033625</v>
      </c>
      <c r="F56" s="1"/>
      <c r="G56" s="9">
        <f t="shared" si="21"/>
        <v>3.1162080971125368E-7</v>
      </c>
      <c r="H56" s="8">
        <f t="shared" si="22"/>
        <v>127.20978710686848</v>
      </c>
      <c r="I56" s="13">
        <f t="shared" si="23"/>
        <v>0.94597214887262437</v>
      </c>
      <c r="J56" s="8">
        <f t="shared" si="15"/>
        <v>19.170395227246704</v>
      </c>
      <c r="K56" s="8">
        <f t="shared" si="16"/>
        <v>3971.9956817210996</v>
      </c>
      <c r="L56" s="2">
        <f t="shared" si="17"/>
        <v>2.3599999999999996E-12</v>
      </c>
      <c r="M56" s="2">
        <f t="shared" si="24"/>
        <v>0.36563379138931268</v>
      </c>
      <c r="N56" s="10">
        <f t="shared" si="18"/>
        <v>1.9072835330470432E-2</v>
      </c>
      <c r="O56">
        <f t="shared" si="19"/>
        <v>1.8042371022658824E-2</v>
      </c>
      <c r="P56" s="11">
        <f t="shared" si="25"/>
        <v>129.68321368663999</v>
      </c>
      <c r="R56" t="str">
        <f t="shared" si="20"/>
        <v>(4.50169801629294,129.68321368664)</v>
      </c>
    </row>
    <row r="57" spans="1:18" x14ac:dyDescent="0.2">
      <c r="A57" s="8">
        <f t="shared" si="13"/>
        <v>4872.5318518837157</v>
      </c>
      <c r="B57" s="2">
        <v>61.46</v>
      </c>
      <c r="C57" s="2">
        <v>10940</v>
      </c>
      <c r="D57" s="2">
        <v>216.8</v>
      </c>
      <c r="E57" s="8">
        <f t="shared" si="14"/>
        <v>84.47222780694824</v>
      </c>
      <c r="F57" s="1"/>
      <c r="G57" s="9">
        <f t="shared" si="21"/>
        <v>3.1162080971125368E-7</v>
      </c>
      <c r="H57" s="8">
        <f t="shared" si="22"/>
        <v>111.41523240423908</v>
      </c>
      <c r="I57" s="13">
        <f t="shared" ref="I57" si="26">(2*PI()*B57*10^6*G57)/H57</f>
        <v>1.0800759740867796</v>
      </c>
      <c r="J57" s="8">
        <f t="shared" ref="J57" si="27">I57*(A57/1000)^2</f>
        <v>25.642695723275832</v>
      </c>
      <c r="K57" s="8">
        <f t="shared" ref="K57" si="28">J57/B$14*1000</f>
        <v>5313.0191356606701</v>
      </c>
      <c r="L57" s="2">
        <f t="shared" si="17"/>
        <v>2.3599999999999996E-12</v>
      </c>
      <c r="M57" s="2">
        <f t="shared" ref="M57" si="29">0.5*D57*D57*2*PI()*B57*10^6*L57*0.02</f>
        <v>0.42835415411556682</v>
      </c>
      <c r="N57" s="10">
        <f t="shared" ref="N57" si="30">M57/J57</f>
        <v>1.6704723978249701E-2</v>
      </c>
      <c r="O57">
        <f t="shared" ref="O57" si="31">M57/((A57/1000)^2)</f>
        <v>1.8042371022658828E-2</v>
      </c>
      <c r="P57" s="11">
        <f t="shared" ref="P57" si="32">2*PI()*B57*10^6*G57/(I57-O57)</f>
        <v>113.30801146020619</v>
      </c>
      <c r="R57" t="str">
        <f t="shared" si="20"/>
        <v>(4.87253185188372,113.308011460206)</v>
      </c>
    </row>
    <row r="58" spans="1:18" x14ac:dyDescent="0.2">
      <c r="A58" s="2"/>
      <c r="B58" s="2"/>
      <c r="C58" s="2"/>
      <c r="D58" s="2"/>
      <c r="E58" s="8"/>
      <c r="F58" s="1"/>
      <c r="G58" s="9"/>
      <c r="H58" s="8"/>
      <c r="J58" s="2"/>
      <c r="K58" s="2"/>
    </row>
    <row r="59" spans="1:18" x14ac:dyDescent="0.2">
      <c r="A59" s="2"/>
      <c r="B59" s="2"/>
      <c r="C59" s="2"/>
      <c r="D59" s="2"/>
      <c r="E59" s="8"/>
      <c r="F59" s="1"/>
      <c r="G59" s="9"/>
      <c r="H59" s="8"/>
    </row>
    <row r="60" spans="1:18" x14ac:dyDescent="0.2">
      <c r="A60" s="2"/>
      <c r="B60" s="2"/>
      <c r="C60" s="2"/>
      <c r="D60" s="2"/>
      <c r="E60" s="8"/>
      <c r="F60" s="1"/>
      <c r="G60" s="9"/>
      <c r="H60" s="8"/>
    </row>
    <row r="61" spans="1:18" x14ac:dyDescent="0.2">
      <c r="A61" s="2"/>
      <c r="B61" s="2"/>
      <c r="C61" s="2"/>
      <c r="D61" s="2"/>
      <c r="E61" s="8"/>
      <c r="F61" s="1"/>
      <c r="G61" s="9"/>
      <c r="H61" s="8"/>
    </row>
    <row r="62" spans="1:18" x14ac:dyDescent="0.2">
      <c r="A62" s="2"/>
      <c r="B62" s="2"/>
      <c r="C62" s="2"/>
      <c r="D62" s="14"/>
      <c r="E62" s="8"/>
      <c r="F62" s="1"/>
      <c r="G62" s="9"/>
      <c r="H62" s="8"/>
    </row>
    <row r="63" spans="1:18" x14ac:dyDescent="0.2">
      <c r="C63" s="2"/>
    </row>
    <row r="64" spans="1:18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F67 1101 100 Ohms</vt:lpstr>
      <vt:lpstr>F67 1901 100 Ohms</vt:lpstr>
      <vt:lpstr>F67 1101 10 Ohms</vt:lpstr>
      <vt:lpstr>M2 998P 100 Ohms</vt:lpstr>
      <vt:lpstr>M2 964 100 Ohms</vt:lpstr>
      <vt:lpstr>M2 964 10 Ohms</vt:lpstr>
      <vt:lpstr>N40 100 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2021-05-28T14:26:33Z</dcterms:created>
  <dcterms:modified xsi:type="dcterms:W3CDTF">2023-06-23T20:11:11Z</dcterms:modified>
</cp:coreProperties>
</file>