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d71e67008fb7e1/Desktop/UT/Research with Dr. Hanson/2021 Research/"/>
    </mc:Choice>
  </mc:AlternateContent>
  <xr:revisionPtr revIDLastSave="36" documentId="8_{815094E5-F5D1-48F6-8B2D-81FCD5ED1319}" xr6:coauthVersionLast="47" xr6:coauthVersionMax="47" xr10:uidLastSave="{54E3E3A3-82F8-4508-897C-7AB830B6DD8A}"/>
  <bookViews>
    <workbookView xWindow="-98" yWindow="-98" windowWidth="19396" windowHeight="10395" tabRatio="660" activeTab="7" xr2:uid="{A0739EDF-A3F0-451D-A6A3-E08561DAC01B}"/>
  </bookViews>
  <sheets>
    <sheet name="Primary Measurements" sheetId="3" r:id="rId1"/>
    <sheet name="4.5 A" sheetId="15" r:id="rId2"/>
    <sheet name="5.0 A" sheetId="19" r:id="rId3"/>
    <sheet name="5.5 A" sheetId="20" r:id="rId4"/>
    <sheet name="6.0 A" sheetId="21" r:id="rId5"/>
    <sheet name="6.5 A" sheetId="18" r:id="rId6"/>
    <sheet name="AC 50%" sheetId="25" r:id="rId7"/>
    <sheet name="Comparing Results 0923" sheetId="2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3" l="1"/>
  <c r="A13" i="3"/>
  <c r="G8" i="3"/>
  <c r="S3" i="25"/>
  <c r="S4" i="25"/>
  <c r="S5" i="25"/>
  <c r="U5" i="25" s="1"/>
  <c r="S6" i="25"/>
  <c r="U6" i="25" s="1"/>
  <c r="S7" i="25"/>
  <c r="U7" i="25" s="1"/>
  <c r="S8" i="25"/>
  <c r="U8" i="25" s="1"/>
  <c r="S9" i="25"/>
  <c r="U9" i="25" s="1"/>
  <c r="S10" i="25"/>
  <c r="U10" i="25" s="1"/>
  <c r="S2" i="25"/>
  <c r="U2" i="25" s="1"/>
  <c r="Q5" i="25"/>
  <c r="U3" i="25"/>
  <c r="U4" i="25"/>
  <c r="Q3" i="25"/>
  <c r="Q4" i="25"/>
  <c r="Q6" i="25"/>
  <c r="Q7" i="25"/>
  <c r="Q8" i="25"/>
  <c r="Q9" i="25"/>
  <c r="Q10" i="25"/>
  <c r="Q2" i="25"/>
  <c r="K10" i="25"/>
  <c r="G10" i="25"/>
  <c r="C10" i="25"/>
  <c r="K9" i="25"/>
  <c r="G9" i="25"/>
  <c r="C9" i="25"/>
  <c r="K8" i="25"/>
  <c r="G8" i="25"/>
  <c r="C8" i="25"/>
  <c r="K7" i="25"/>
  <c r="G7" i="25"/>
  <c r="C7" i="25"/>
  <c r="K6" i="25"/>
  <c r="G6" i="25"/>
  <c r="C6" i="25"/>
  <c r="K5" i="25"/>
  <c r="G5" i="25"/>
  <c r="C5" i="25"/>
  <c r="K4" i="25"/>
  <c r="G4" i="25"/>
  <c r="C4" i="25"/>
  <c r="K3" i="25"/>
  <c r="G3" i="25"/>
  <c r="C3" i="25"/>
  <c r="K2" i="25"/>
  <c r="G2" i="25"/>
  <c r="C2" i="25"/>
  <c r="B4" i="25" l="1"/>
  <c r="B6" i="25"/>
  <c r="B9" i="25"/>
  <c r="B3" i="25"/>
  <c r="B5" i="25"/>
  <c r="B2" i="25"/>
  <c r="B8" i="25"/>
  <c r="B10" i="25"/>
  <c r="B7" i="25"/>
  <c r="Q3" i="18"/>
  <c r="Q4" i="18"/>
  <c r="Q5" i="18"/>
  <c r="Q6" i="18"/>
  <c r="Q7" i="18"/>
  <c r="Q8" i="18"/>
  <c r="Q9" i="18"/>
  <c r="Q10" i="18"/>
  <c r="K3" i="18"/>
  <c r="K4" i="18"/>
  <c r="K5" i="18"/>
  <c r="K6" i="18"/>
  <c r="K7" i="18"/>
  <c r="K8" i="18"/>
  <c r="K9" i="18"/>
  <c r="K10" i="18"/>
  <c r="G3" i="18"/>
  <c r="G4" i="18"/>
  <c r="G5" i="18"/>
  <c r="G6" i="18"/>
  <c r="G7" i="18"/>
  <c r="G8" i="18"/>
  <c r="G9" i="18"/>
  <c r="G10" i="18"/>
  <c r="C3" i="18"/>
  <c r="C4" i="18"/>
  <c r="B4" i="18" s="1"/>
  <c r="C5" i="18"/>
  <c r="B5" i="18" s="1"/>
  <c r="C6" i="18"/>
  <c r="B6" i="18" s="1"/>
  <c r="C7" i="18"/>
  <c r="C8" i="18"/>
  <c r="B8" i="18" s="1"/>
  <c r="C9" i="18"/>
  <c r="C10" i="18"/>
  <c r="B10" i="18" s="1"/>
  <c r="Q8" i="21"/>
  <c r="C8" i="21"/>
  <c r="B8" i="21"/>
  <c r="K8" i="21"/>
  <c r="G8" i="21"/>
  <c r="Q7" i="21"/>
  <c r="K7" i="21"/>
  <c r="G7" i="21"/>
  <c r="C7" i="21"/>
  <c r="Q3" i="21"/>
  <c r="Q4" i="21"/>
  <c r="Q5" i="21"/>
  <c r="Q6" i="21"/>
  <c r="K3" i="21"/>
  <c r="K4" i="21"/>
  <c r="K5" i="21"/>
  <c r="K6" i="21"/>
  <c r="G3" i="21"/>
  <c r="G4" i="21"/>
  <c r="G5" i="21"/>
  <c r="G6" i="21"/>
  <c r="C3" i="21"/>
  <c r="C4" i="21"/>
  <c r="C5" i="21"/>
  <c r="C6" i="21"/>
  <c r="B6" i="21" s="1"/>
  <c r="Q2" i="21"/>
  <c r="K2" i="21"/>
  <c r="G2" i="21"/>
  <c r="C2" i="21"/>
  <c r="B2" i="21" s="1"/>
  <c r="C9" i="20"/>
  <c r="G9" i="20"/>
  <c r="K9" i="20"/>
  <c r="Q9" i="20"/>
  <c r="C3" i="20"/>
  <c r="B3" i="20" s="1"/>
  <c r="C4" i="20"/>
  <c r="B4" i="20" s="1"/>
  <c r="C5" i="20"/>
  <c r="C6" i="20"/>
  <c r="C7" i="20"/>
  <c r="C8" i="20"/>
  <c r="G3" i="20"/>
  <c r="G4" i="20"/>
  <c r="G5" i="20"/>
  <c r="G6" i="20"/>
  <c r="G7" i="20"/>
  <c r="G8" i="20"/>
  <c r="K3" i="20"/>
  <c r="K4" i="20"/>
  <c r="K5" i="20"/>
  <c r="K6" i="20"/>
  <c r="K7" i="20"/>
  <c r="K8" i="20"/>
  <c r="Q3" i="20"/>
  <c r="Q4" i="20"/>
  <c r="Q5" i="20"/>
  <c r="Q6" i="20"/>
  <c r="Q7" i="20"/>
  <c r="Q8" i="20"/>
  <c r="Q3" i="19"/>
  <c r="Q4" i="19"/>
  <c r="Q5" i="19"/>
  <c r="Q6" i="19"/>
  <c r="Q7" i="19"/>
  <c r="K3" i="19"/>
  <c r="K4" i="19"/>
  <c r="K5" i="19"/>
  <c r="K6" i="19"/>
  <c r="K7" i="19"/>
  <c r="G3" i="19"/>
  <c r="G4" i="19"/>
  <c r="G5" i="19"/>
  <c r="G6" i="19"/>
  <c r="G7" i="19"/>
  <c r="C3" i="19"/>
  <c r="C4" i="19"/>
  <c r="C5" i="19"/>
  <c r="B5" i="19" s="1"/>
  <c r="C6" i="19"/>
  <c r="C7" i="19"/>
  <c r="Q2" i="19"/>
  <c r="Q11" i="15"/>
  <c r="K2" i="19"/>
  <c r="G2" i="19"/>
  <c r="C2" i="19"/>
  <c r="B2" i="19" s="1"/>
  <c r="K11" i="15"/>
  <c r="G11" i="15"/>
  <c r="C11" i="15"/>
  <c r="B11" i="15" s="1"/>
  <c r="Q10" i="15"/>
  <c r="K10" i="15"/>
  <c r="G10" i="15"/>
  <c r="C10" i="15"/>
  <c r="Q9" i="15"/>
  <c r="G9" i="15"/>
  <c r="B9" i="15" s="1"/>
  <c r="C9" i="15"/>
  <c r="K9" i="15"/>
  <c r="K7" i="15"/>
  <c r="Q3" i="15"/>
  <c r="Q4" i="15"/>
  <c r="Q5" i="15"/>
  <c r="Q6" i="15"/>
  <c r="Q7" i="15"/>
  <c r="Q8" i="15"/>
  <c r="C3" i="15"/>
  <c r="B3" i="15" s="1"/>
  <c r="C4" i="15"/>
  <c r="C5" i="15"/>
  <c r="B5" i="15" s="1"/>
  <c r="C6" i="15"/>
  <c r="C7" i="15"/>
  <c r="C8" i="15"/>
  <c r="G3" i="15"/>
  <c r="G4" i="15"/>
  <c r="G5" i="15"/>
  <c r="G6" i="15"/>
  <c r="G7" i="15"/>
  <c r="G8" i="15"/>
  <c r="K3" i="15"/>
  <c r="K4" i="15"/>
  <c r="K5" i="15"/>
  <c r="K6" i="15"/>
  <c r="K8" i="15"/>
  <c r="Q2" i="20"/>
  <c r="K2" i="20"/>
  <c r="G2" i="20"/>
  <c r="C2" i="20"/>
  <c r="Q2" i="18"/>
  <c r="K2" i="18"/>
  <c r="G2" i="18"/>
  <c r="C2" i="18"/>
  <c r="B2" i="18" s="1"/>
  <c r="C2" i="15"/>
  <c r="G2" i="15"/>
  <c r="K2" i="15"/>
  <c r="Q2" i="15"/>
  <c r="A12" i="3"/>
  <c r="H8" i="3"/>
  <c r="C14" i="3"/>
  <c r="E14" i="3" s="1"/>
  <c r="F14" i="3" s="1"/>
  <c r="G14" i="3" s="1"/>
  <c r="C13" i="3"/>
  <c r="C12" i="3"/>
  <c r="C11" i="3"/>
  <c r="E11" i="3" s="1"/>
  <c r="F11" i="3" s="1"/>
  <c r="G11" i="3" s="1"/>
  <c r="C10" i="3"/>
  <c r="E10" i="3" s="1"/>
  <c r="F10" i="3" s="1"/>
  <c r="G10" i="3" s="1"/>
  <c r="E9" i="3"/>
  <c r="F9" i="3" s="1"/>
  <c r="G9" i="3" s="1"/>
  <c r="E13" i="3"/>
  <c r="F13" i="3" s="1"/>
  <c r="E3" i="3"/>
  <c r="E4" i="3" s="1"/>
  <c r="M14" i="3"/>
  <c r="N14" i="3" s="1"/>
  <c r="H14" i="3"/>
  <c r="A14" i="3"/>
  <c r="M13" i="3"/>
  <c r="N13" i="3" s="1"/>
  <c r="H13" i="3"/>
  <c r="M12" i="3"/>
  <c r="N12" i="3" s="1"/>
  <c r="H12" i="3"/>
  <c r="I12" i="3" s="1"/>
  <c r="N11" i="3"/>
  <c r="M11" i="3"/>
  <c r="H11" i="3"/>
  <c r="A11" i="3"/>
  <c r="M10" i="3"/>
  <c r="N10" i="3" s="1"/>
  <c r="H10" i="3"/>
  <c r="A10" i="3"/>
  <c r="N9" i="3"/>
  <c r="M9" i="3"/>
  <c r="H9" i="3"/>
  <c r="A9" i="3"/>
  <c r="M8" i="3"/>
  <c r="N8" i="3" s="1"/>
  <c r="E8" i="3"/>
  <c r="F8" i="3" s="1"/>
  <c r="A8" i="3"/>
  <c r="B5" i="3"/>
  <c r="B4" i="3"/>
  <c r="B9" i="18" l="1"/>
  <c r="B7" i="18"/>
  <c r="B3" i="18"/>
  <c r="B7" i="21"/>
  <c r="B5" i="21"/>
  <c r="B4" i="21"/>
  <c r="B3" i="21"/>
  <c r="B8" i="20"/>
  <c r="B7" i="20"/>
  <c r="B6" i="20"/>
  <c r="B9" i="20"/>
  <c r="B5" i="20"/>
  <c r="B2" i="20"/>
  <c r="B7" i="19"/>
  <c r="B6" i="19"/>
  <c r="B4" i="19"/>
  <c r="B3" i="19"/>
  <c r="B10" i="15"/>
  <c r="B8" i="15"/>
  <c r="B7" i="15"/>
  <c r="B6" i="15"/>
  <c r="B4" i="15"/>
  <c r="B2" i="15"/>
  <c r="P8" i="3"/>
  <c r="P9" i="3"/>
  <c r="P12" i="3"/>
  <c r="P11" i="3"/>
  <c r="P13" i="3"/>
  <c r="P14" i="3"/>
  <c r="P10" i="3"/>
  <c r="J12" i="3"/>
  <c r="E12" i="3"/>
  <c r="F12" i="3" s="1"/>
  <c r="G12" i="3" s="1"/>
  <c r="I13" i="3"/>
  <c r="J13" i="3" s="1"/>
  <c r="I9" i="3"/>
  <c r="J9" i="3" s="1"/>
  <c r="K9" i="3" s="1"/>
  <c r="L9" i="3" s="1"/>
  <c r="I11" i="3"/>
  <c r="J11" i="3" s="1"/>
  <c r="K11" i="3" s="1"/>
  <c r="I8" i="3"/>
  <c r="J8" i="3" s="1"/>
  <c r="K8" i="3" s="1"/>
  <c r="L8" i="3" s="1"/>
  <c r="I10" i="3"/>
  <c r="J10" i="3" s="1"/>
  <c r="K10" i="3" s="1"/>
  <c r="L10" i="3" s="1"/>
  <c r="I14" i="3"/>
  <c r="J14" i="3" s="1"/>
  <c r="Q9" i="3" l="1"/>
  <c r="S9" i="3" s="1"/>
  <c r="K14" i="3"/>
  <c r="L14" i="3" s="1"/>
  <c r="Q14" i="3"/>
  <c r="S14" i="3" s="1"/>
  <c r="K13" i="3"/>
  <c r="Q13" i="3"/>
  <c r="S13" i="3" s="1"/>
  <c r="O8" i="3"/>
  <c r="Q8" i="3"/>
  <c r="S8" i="3" s="1"/>
  <c r="Q12" i="3"/>
  <c r="S12" i="3" s="1"/>
  <c r="K12" i="3"/>
  <c r="Q11" i="3"/>
  <c r="S11" i="3" s="1"/>
  <c r="O11" i="3"/>
  <c r="L11" i="3"/>
  <c r="O10" i="3"/>
  <c r="Q10" i="3"/>
  <c r="S10" i="3" s="1"/>
  <c r="O14" i="3" l="1"/>
  <c r="O9" i="3"/>
  <c r="L13" i="3"/>
  <c r="O13" i="3"/>
  <c r="L12" i="3"/>
  <c r="O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tc={DCA47AEF-087A-4FF7-8359-2DE72DA6FB1A}</author>
  </authors>
  <commentList>
    <comment ref="A1" authorId="0" shapeId="0" xr:uid="{DCA47AEF-087A-4FF7-8359-2DE72DA6FB1A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STARTING FROM THE 4.5 CURVE/TEMP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tc={6ED7F81F-0B68-4CD0-AB29-4AE619175E95}</author>
    <author>tc={37028321-84B1-46B5-B16C-4D9B23649049}</author>
    <author>tc={DDF4DD27-7244-4B6D-A97D-75C9EBD75D53}</author>
    <author>tc={BFCBC053-0766-4B94-9401-245EBEB738C2}</author>
    <author>tc={5F6A4858-DE3B-4AA3-800C-98CF0DB9F0DD}</author>
    <author>tc={E3C12289-AEB0-43E5-A30F-28747D7E2782}</author>
    <author>tc={4026672F-0C44-4B60-9FCC-1D7370FF11FD}</author>
    <author>tc={3B9CC549-97AD-44A1-8909-A9D7FCA0B777}</author>
    <author>tc={8D2D17E3-FB09-494F-A324-1344F550CC10}</author>
  </authors>
  <commentList>
    <comment ref="O3" authorId="0" shapeId="0" xr:uid="{6ED7F81F-0B68-4CD0-AB29-4AE619175E95}">
      <text>
        <t>[Threaded comment]
Your version of Excel allows you to read this threaded comment; however, any edits to it will get removed if the file is opened in a newer version of Excel. Learn more: https://go.microsoft.com/fwlink/?linkid=870924
Comment:
    1.897 after resonance adjusting</t>
      </text>
    </comment>
    <comment ref="P3" authorId="1" shapeId="0" xr:uid="{37028321-84B1-46B5-B16C-4D9B23649049}">
      <text>
        <t>[Threaded comment]
Your version of Excel allows you to read this threaded comment; however, any edits to it will get removed if the file is opened in a newer version of Excel. Learn more: https://go.microsoft.com/fwlink/?linkid=870924
Comment:
    578 after resonance adjusting</t>
      </text>
    </comment>
    <comment ref="R3" authorId="2" shapeId="0" xr:uid="{DDF4DD27-7244-4B6D-A97D-75C9EBD75D53}">
      <text>
        <t>[Threaded comment]
Your version of Excel allows you to read this threaded comment; however, any edits to it will get removed if the file is opened in a newer version of Excel. Learn more: https://go.microsoft.com/fwlink/?linkid=870924
Comment:
    304 after resonance adjusting</t>
      </text>
    </comment>
    <comment ref="O5" authorId="3" shapeId="0" xr:uid="{BFCBC053-0766-4B94-9401-245EBEB738C2}">
      <text>
        <t>[Threaded comment]
Your version of Excel allows you to read this threaded comment; however, any edits to it will get removed if the file is opened in a newer version of Excel. Learn more: https://go.microsoft.com/fwlink/?linkid=870924
Comment:
    1.896</t>
      </text>
    </comment>
    <comment ref="P5" authorId="4" shapeId="0" xr:uid="{5F6A4858-DE3B-4AA3-800C-98CF0DB9F0DD}">
      <text>
        <t>[Threaded comment]
Your version of Excel allows you to read this threaded comment; however, any edits to it will get removed if the file is opened in a newer version of Excel. Learn more: https://go.microsoft.com/fwlink/?linkid=870924
Comment:
    720</t>
      </text>
    </comment>
    <comment ref="R5" authorId="5" shapeId="0" xr:uid="{E3C12289-AEB0-43E5-A30F-28747D7E2782}">
      <text>
        <t>[Threaded comment]
Your version of Excel allows you to read this threaded comment; however, any edits to it will get removed if the file is opened in a newer version of Excel. Learn more: https://go.microsoft.com/fwlink/?linkid=870924
Comment:
    302</t>
      </text>
    </comment>
    <comment ref="O7" authorId="6" shapeId="0" xr:uid="{4026672F-0C44-4B60-9FCC-1D7370FF11FD}">
      <text>
        <t>[Threaded comment]
Your version of Excel allows you to read this threaded comment; however, any edits to it will get removed if the file is opened in a newer version of Excel. Learn more: https://go.microsoft.com/fwlink/?linkid=870924
Comment:
    1.897</t>
      </text>
    </comment>
    <comment ref="P7" authorId="7" shapeId="0" xr:uid="{3B9CC549-97AD-44A1-8909-A9D7FCA0B777}">
      <text>
        <t>[Threaded comment]
Your version of Excel allows you to read this threaded comment; however, any edits to it will get removed if the file is opened in a newer version of Excel. Learn more: https://go.microsoft.com/fwlink/?linkid=870924
Comment:
    659</t>
      </text>
    </comment>
    <comment ref="R7" authorId="8" shapeId="0" xr:uid="{8D2D17E3-FB09-494F-A324-1344F550CC10}">
      <text>
        <t>[Threaded comment]
Your version of Excel allows you to read this threaded comment; however, any edits to it will get removed if the file is opened in a newer version of Excel. Learn more: https://go.microsoft.com/fwlink/?linkid=870924
Comment:
    300</t>
      </text>
    </comment>
  </commentList>
</comments>
</file>

<file path=xl/sharedStrings.xml><?xml version="1.0" encoding="utf-8"?>
<sst xmlns="http://schemas.openxmlformats.org/spreadsheetml/2006/main" count="155" uniqueCount="56">
  <si>
    <t>nH</t>
  </si>
  <si>
    <t>C_total</t>
  </si>
  <si>
    <t>pF</t>
  </si>
  <si>
    <t>Calculated Resonance</t>
  </si>
  <si>
    <t>MHz</t>
  </si>
  <si>
    <t>Volume</t>
  </si>
  <si>
    <t>Frequency (MHz)</t>
  </si>
  <si>
    <t>V_in (pp at fundamental) (mV)</t>
  </si>
  <si>
    <t>V_out (pp) (V)</t>
  </si>
  <si>
    <t>Q (basic calculation)</t>
  </si>
  <si>
    <t>L calc</t>
  </si>
  <si>
    <t>Q final</t>
  </si>
  <si>
    <t>R eff</t>
  </si>
  <si>
    <t>P loss Eff</t>
  </si>
  <si>
    <t>Pv</t>
  </si>
  <si>
    <t>C parasitic</t>
  </si>
  <si>
    <t>P loss parasitic</t>
  </si>
  <si>
    <t>R Parasitic Effective</t>
  </si>
  <si>
    <t>Q New</t>
  </si>
  <si>
    <t>Want</t>
  </si>
  <si>
    <t>Mhz</t>
  </si>
  <si>
    <t>Cap</t>
  </si>
  <si>
    <t>C</t>
  </si>
  <si>
    <t>pC</t>
  </si>
  <si>
    <t>R (Ohm)</t>
  </si>
  <si>
    <t>L (meas)</t>
  </si>
  <si>
    <t>Current</t>
  </si>
  <si>
    <t>Settings</t>
  </si>
  <si>
    <t>Voltage</t>
  </si>
  <si>
    <t>Time</t>
  </si>
  <si>
    <t>I (mA) (peak)</t>
  </si>
  <si>
    <t>Resistance</t>
  </si>
  <si>
    <t>Vout of the capacitor</t>
  </si>
  <si>
    <t>Vin</t>
  </si>
  <si>
    <t>freq</t>
  </si>
  <si>
    <t>mHz</t>
  </si>
  <si>
    <t xml:space="preserve">make sure you are at resonance at everything </t>
  </si>
  <si>
    <t>Wire Temp</t>
  </si>
  <si>
    <t>Shell Temp</t>
  </si>
  <si>
    <t>Top Temp</t>
  </si>
  <si>
    <t>Power</t>
  </si>
  <si>
    <t>Avg Temp</t>
  </si>
  <si>
    <t>Averge Wire</t>
  </si>
  <si>
    <t>Average Shell</t>
  </si>
  <si>
    <t>Average Top</t>
  </si>
  <si>
    <t>0.22 W</t>
  </si>
  <si>
    <t>0.27 W</t>
  </si>
  <si>
    <t>0.33 W</t>
  </si>
  <si>
    <t>0.39 W</t>
  </si>
  <si>
    <t>0.46 W</t>
  </si>
  <si>
    <t>Vin(mV) PEAK</t>
  </si>
  <si>
    <t>Vin(mV)</t>
  </si>
  <si>
    <t>Vout</t>
  </si>
  <si>
    <t>Freq (Mhz)</t>
  </si>
  <si>
    <t>Drive</t>
  </si>
  <si>
    <t>AC 1.45A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</si>
</sst>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2" fontId="2" fillId="0" borderId="0" xfId="0" applyNumberFormat="1" applyFont="1"/>
    <xf numFmtId="2" fontId="0" fillId="0" borderId="0" xfId="0" applyNumberFormat="1"/>
    <xf numFmtId="11" fontId="0" fillId="0" borderId="0" xfId="0" applyNumberFormat="1"/>
    <xf numFmtId="10" fontId="2" fillId="0" borderId="0" xfId="1" applyNumberFormat="1" applyFont="1"/>
    <xf numFmtId="165" fontId="0" fillId="0" borderId="0" xfId="0" applyNumberFormat="1"/>
    <xf numFmtId="20" fontId="0" fillId="0" borderId="0" xfId="0" applyNumberFormat="1"/>
    <xf numFmtId="1" fontId="0" fillId="0" borderId="0" xfId="0" applyNumberFormat="1"/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5" fillId="0" borderId="0" xfId="0" applyFont="1"/>
    <xf numFmtId="0" fontId="6" fillId="0" borderId="0" xfId="0" applyFont="1"/>
    <xf numFmtId="0" fontId="0" fillId="2" borderId="0" xfId="0" applyFill="1"/>
    <xf numFmtId="9" fontId="0" fillId="0" borderId="0" xfId="0" applyNumberFormat="1"/>
    <xf numFmtId="0" fontId="5" fillId="2" borderId="0" xfId="0" applyFont="1" applyFill="1"/>
    <xf numFmtId="2" fontId="2" fillId="2" borderId="0" xfId="0" applyNumberFormat="1" applyFont="1" applyFill="1"/>
    <xf numFmtId="2" fontId="0" fillId="2" borderId="0" xfId="0" applyNumberFormat="1" applyFill="1"/>
    <xf numFmtId="11" fontId="0" fillId="2" borderId="0" xfId="0" applyNumberFormat="1" applyFill="1"/>
    <xf numFmtId="0" fontId="2" fillId="2" borderId="0" xfId="0" applyFont="1" applyFill="1"/>
    <xf numFmtId="10" fontId="2" fillId="2" borderId="0" xfId="1" applyNumberFormat="1" applyFont="1" applyFill="1"/>
    <xf numFmtId="165" fontId="0" fillId="2" borderId="0" xfId="0" applyNumberFormat="1" applyFill="1"/>
    <xf numFmtId="2" fontId="2" fillId="0" borderId="0" xfId="0" applyNumberFormat="1" applyFont="1" applyFill="1"/>
    <xf numFmtId="0" fontId="0" fillId="0" borderId="0" xfId="0" applyFill="1"/>
    <xf numFmtId="2" fontId="0" fillId="0" borderId="0" xfId="0" applyNumberFormat="1" applyFill="1"/>
    <xf numFmtId="11" fontId="0" fillId="0" borderId="0" xfId="0" applyNumberFormat="1" applyFill="1"/>
    <xf numFmtId="0" fontId="2" fillId="0" borderId="0" xfId="0" applyFont="1" applyFill="1"/>
    <xf numFmtId="10" fontId="2" fillId="0" borderId="0" xfId="1" applyNumberFormat="1" applyFont="1" applyFill="1"/>
    <xf numFmtId="165" fontId="0" fillId="0" borderId="0" xfId="0" applyNumberFormat="1" applyFill="1"/>
    <xf numFmtId="0" fontId="0" fillId="0" borderId="0" xfId="0" applyAlignment="1">
      <alignment horizontal="right"/>
    </xf>
    <xf numFmtId="2" fontId="7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(Primary</a:t>
            </a:r>
            <a:r>
              <a:rPr lang="en-US" baseline="0"/>
              <a:t>) </a:t>
            </a:r>
            <a:r>
              <a:rPr lang="en-US"/>
              <a:t>Calorimetry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'Comparing Results 0923'!$J$1</c:f>
              <c:strCache>
                <c:ptCount val="1"/>
                <c:pt idx="0">
                  <c:v>0.46 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5">
                    <a:alpha val="50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C08-4EA7-9691-3C692B42C56E}"/>
              </c:ext>
            </c:extLst>
          </c:dPt>
          <c:xVal>
            <c:numRef>
              <c:f>'Comparing Results 0923'!$I$2:$I$11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'Comparing Results 0923'!$J$2:$J$11</c:f>
              <c:numCache>
                <c:formatCode>General</c:formatCode>
                <c:ptCount val="10"/>
                <c:pt idx="0">
                  <c:v>24.766666666666666</c:v>
                </c:pt>
                <c:pt idx="1">
                  <c:v>29.677777777777777</c:v>
                </c:pt>
                <c:pt idx="2">
                  <c:v>31.900000000000002</c:v>
                </c:pt>
                <c:pt idx="3">
                  <c:v>33.344444444444441</c:v>
                </c:pt>
                <c:pt idx="4">
                  <c:v>34.044444444444444</c:v>
                </c:pt>
                <c:pt idx="5">
                  <c:v>34.511111111111113</c:v>
                </c:pt>
                <c:pt idx="6">
                  <c:v>35</c:v>
                </c:pt>
                <c:pt idx="7">
                  <c:v>35.211111111111109</c:v>
                </c:pt>
                <c:pt idx="8">
                  <c:v>35.211111111111109</c:v>
                </c:pt>
                <c:pt idx="9">
                  <c:v>35.211111111111109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F9-4F0E-8895-77F3B29D1CF2}"/>
            </c:ext>
          </c:extLst>
        </c:ser>
        <c:ser>
          <c:idx val="5"/>
          <c:order val="1"/>
          <c:tx>
            <c:strRef>
              <c:f>'Comparing Results 0923'!$L$1</c:f>
              <c:strCache>
                <c:ptCount val="1"/>
                <c:pt idx="0">
                  <c:v>AC 1.45A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2C08-4EA7-9691-3C692B42C56E}"/>
              </c:ext>
            </c:extLst>
          </c:dPt>
          <c:xVal>
            <c:numRef>
              <c:f>'Comparing Results 0923'!$K$2:$K$15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'Comparing Results 0923'!$L$2:$L$15</c:f>
              <c:numCache>
                <c:formatCode>General</c:formatCode>
                <c:ptCount val="14"/>
                <c:pt idx="0">
                  <c:v>25.566666666666666</c:v>
                </c:pt>
                <c:pt idx="1">
                  <c:v>30.288888888888891</c:v>
                </c:pt>
                <c:pt idx="2">
                  <c:v>32.800000000000004</c:v>
                </c:pt>
                <c:pt idx="3">
                  <c:v>33.944444444444443</c:v>
                </c:pt>
                <c:pt idx="4">
                  <c:v>34.25555555555556</c:v>
                </c:pt>
                <c:pt idx="5">
                  <c:v>34.511111111111113</c:v>
                </c:pt>
                <c:pt idx="6">
                  <c:v>34.777777777777779</c:v>
                </c:pt>
                <c:pt idx="7">
                  <c:v>35.011111111111113</c:v>
                </c:pt>
                <c:pt idx="8">
                  <c:v>35.066666666666663</c:v>
                </c:pt>
                <c:pt idx="9">
                  <c:v>35.066666666666663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4F9-4F0E-8895-77F3B29D1CF2}"/>
            </c:ext>
          </c:extLst>
        </c:ser>
        <c:ser>
          <c:idx val="3"/>
          <c:order val="2"/>
          <c:tx>
            <c:strRef>
              <c:f>'Comparing Results 0923'!$H$1</c:f>
              <c:strCache>
                <c:ptCount val="1"/>
                <c:pt idx="0">
                  <c:v>0.39 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4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C08-4EA7-9691-3C692B42C56E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4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2C08-4EA7-9691-3C692B42C56E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4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C08-4EA7-9691-3C692B42C56E}"/>
              </c:ext>
            </c:extLst>
          </c:dPt>
          <c:xVal>
            <c:numRef>
              <c:f>'Comparing Results 0923'!$G$2:$G$11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'Comparing Results 0923'!$H$2:$H$11</c:f>
              <c:numCache>
                <c:formatCode>General</c:formatCode>
                <c:ptCount val="10"/>
                <c:pt idx="0">
                  <c:v>31.655555555555555</c:v>
                </c:pt>
                <c:pt idx="1">
                  <c:v>32.488888888888887</c:v>
                </c:pt>
                <c:pt idx="2">
                  <c:v>32.9</c:v>
                </c:pt>
                <c:pt idx="3">
                  <c:v>33.31111111111111</c:v>
                </c:pt>
                <c:pt idx="4">
                  <c:v>33.633333333333333</c:v>
                </c:pt>
                <c:pt idx="5">
                  <c:v>33.755555555555553</c:v>
                </c:pt>
                <c:pt idx="6">
                  <c:v>33.877777777777773</c:v>
                </c:pt>
                <c:pt idx="7">
                  <c:v>33.877777777777773</c:v>
                </c:pt>
                <c:pt idx="8">
                  <c:v>33.877777777777773</c:v>
                </c:pt>
                <c:pt idx="9">
                  <c:v>33.877777777777773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F9-4F0E-8895-77F3B29D1CF2}"/>
            </c:ext>
          </c:extLst>
        </c:ser>
        <c:ser>
          <c:idx val="2"/>
          <c:order val="3"/>
          <c:tx>
            <c:strRef>
              <c:f>'Comparing Results 0923'!$F$1</c:f>
              <c:strCache>
                <c:ptCount val="1"/>
                <c:pt idx="0">
                  <c:v>0.33 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C08-4EA7-9691-3C692B42C56E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2C08-4EA7-9691-3C692B42C56E}"/>
              </c:ext>
            </c:extLst>
          </c:dPt>
          <c:xVal>
            <c:numRef>
              <c:f>'Comparing Results 0923'!$E$2:$E$11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'Comparing Results 0923'!$F$2:$F$11</c:f>
              <c:numCache>
                <c:formatCode>General</c:formatCode>
                <c:ptCount val="10"/>
                <c:pt idx="0">
                  <c:v>24.511111111111109</c:v>
                </c:pt>
                <c:pt idx="1">
                  <c:v>28.133333333333336</c:v>
                </c:pt>
                <c:pt idx="2">
                  <c:v>29.8</c:v>
                </c:pt>
                <c:pt idx="3">
                  <c:v>30.955555555555559</c:v>
                </c:pt>
                <c:pt idx="4">
                  <c:v>31.377777777777776</c:v>
                </c:pt>
                <c:pt idx="5">
                  <c:v>31.888888888888886</c:v>
                </c:pt>
                <c:pt idx="6">
                  <c:v>32.06666666666667</c:v>
                </c:pt>
                <c:pt idx="7">
                  <c:v>32.255555555555553</c:v>
                </c:pt>
                <c:pt idx="8">
                  <c:v>32.255555555555553</c:v>
                </c:pt>
                <c:pt idx="9">
                  <c:v>32.255555555555553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F9-4F0E-8895-77F3B29D1CF2}"/>
            </c:ext>
          </c:extLst>
        </c:ser>
        <c:ser>
          <c:idx val="1"/>
          <c:order val="4"/>
          <c:tx>
            <c:strRef>
              <c:f>'Comparing Results 0923'!$D$1</c:f>
              <c:strCache>
                <c:ptCount val="1"/>
                <c:pt idx="0">
                  <c:v>0.27 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C08-4EA7-9691-3C692B42C56E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2C08-4EA7-9691-3C692B42C56E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08-4EA7-9691-3C692B42C56E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2C08-4EA7-9691-3C692B42C56E}"/>
              </c:ext>
            </c:extLst>
          </c:dPt>
          <c:xVal>
            <c:numRef>
              <c:f>'Comparing Results 0923'!$C$2:$C$11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'Comparing Results 0923'!$D$2:$D$11</c:f>
              <c:numCache>
                <c:formatCode>General</c:formatCode>
                <c:ptCount val="10"/>
                <c:pt idx="0">
                  <c:v>29.811111111111114</c:v>
                </c:pt>
                <c:pt idx="1">
                  <c:v>30.733333333333331</c:v>
                </c:pt>
                <c:pt idx="2">
                  <c:v>30.811111111111106</c:v>
                </c:pt>
                <c:pt idx="3">
                  <c:v>30.988888888888891</c:v>
                </c:pt>
                <c:pt idx="4">
                  <c:v>31.044444444444448</c:v>
                </c:pt>
                <c:pt idx="5">
                  <c:v>31.066666666666666</c:v>
                </c:pt>
                <c:pt idx="6">
                  <c:v>31.066666666666666</c:v>
                </c:pt>
                <c:pt idx="7">
                  <c:v>31.066666666666666</c:v>
                </c:pt>
                <c:pt idx="8">
                  <c:v>31.066666666666666</c:v>
                </c:pt>
                <c:pt idx="9">
                  <c:v>31.066666666666666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F9-4F0E-8895-77F3B29D1CF2}"/>
            </c:ext>
          </c:extLst>
        </c:ser>
        <c:ser>
          <c:idx val="0"/>
          <c:order val="5"/>
          <c:tx>
            <c:strRef>
              <c:f>'Comparing Results 0923'!$B$1</c:f>
              <c:strCache>
                <c:ptCount val="1"/>
                <c:pt idx="0">
                  <c:v>0.22 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'Comparing Results 0923'!$A$2:$A$11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'Comparing Results 0923'!$B$2:$B$11</c:f>
              <c:numCache>
                <c:formatCode>General</c:formatCode>
                <c:ptCount val="10"/>
                <c:pt idx="0">
                  <c:v>26.666666666666668</c:v>
                </c:pt>
                <c:pt idx="1">
                  <c:v>28.600000000000005</c:v>
                </c:pt>
                <c:pt idx="2">
                  <c:v>28.844444444444445</c:v>
                </c:pt>
                <c:pt idx="3">
                  <c:v>29.277777777777782</c:v>
                </c:pt>
                <c:pt idx="4">
                  <c:v>29.466666666666665</c:v>
                </c:pt>
                <c:pt idx="5">
                  <c:v>29.655555555555555</c:v>
                </c:pt>
                <c:pt idx="6">
                  <c:v>29.677777777777777</c:v>
                </c:pt>
                <c:pt idx="7">
                  <c:v>29.75555555555556</c:v>
                </c:pt>
                <c:pt idx="8">
                  <c:v>29.766666666666666</c:v>
                </c:pt>
                <c:pt idx="9">
                  <c:v>29.811111111111114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9-4F0E-8895-77F3B29D1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052016"/>
        <c:axId val="1950053680"/>
      </c:scatterChart>
      <c:valAx>
        <c:axId val="195005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[minutes]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53680"/>
        <c:crosses val="autoZero"/>
        <c:crossBetween val="midCat"/>
      </c:valAx>
      <c:valAx>
        <c:axId val="1950053680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[</a:t>
                </a:r>
                <a:r>
                  <a:rPr lang="en-US" baseline="30000"/>
                  <a:t>O</a:t>
                </a:r>
                <a:r>
                  <a:rPr lang="en-US" baseline="0"/>
                  <a:t>C]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5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38439711668054"/>
          <c:y val="0.14995414556925793"/>
          <c:w val="0.13470745106936047"/>
          <c:h val="0.36108611922645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107188</xdr:colOff>
      <xdr:row>12</xdr:row>
      <xdr:rowOff>57853</xdr:rowOff>
    </xdr:from>
    <xdr:to>
      <xdr:col>10</xdr:col>
      <xdr:colOff>481610</xdr:colOff>
      <xdr:row>32</xdr:row>
      <xdr:rowOff>50057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C4823-9F69-4756-A830-3C9048625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len Nguyen" id="{991E0227-3268-43DA-A8CC-7AC76F85DFE7}" userId="ebd71e67008fb7e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9-21T17:05:55.21" personId="{991E0227-3268-43DA-A8CC-7AC76F85DFE7}" id="{DCA47AEF-087A-4FF7-8359-2DE72DA6FB1A}">
    <text>STARTING FROM THE 4.5 CURVE/TEMP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3" dT="2021-09-24T19:07:39.47" personId="{991E0227-3268-43DA-A8CC-7AC76F85DFE7}" id="{6ED7F81F-0B68-4CD0-AB29-4AE619175E95}">
    <text>1.897 after resonance adjusting</text>
  </threadedComment>
  <threadedComment ref="P3" dT="2021-09-24T19:08:00.53" personId="{991E0227-3268-43DA-A8CC-7AC76F85DFE7}" id="{37028321-84B1-46B5-B16C-4D9B23649049}">
    <text>578 after resonance adjusting</text>
  </threadedComment>
  <threadedComment ref="R3" dT="2021-09-24T19:08:12.94" personId="{991E0227-3268-43DA-A8CC-7AC76F85DFE7}" id="{DDF4DD27-7244-4B6D-A97D-75C9EBD75D53}">
    <text>304 after resonance adjusting</text>
  </threadedComment>
  <threadedComment ref="O5" dT="2021-09-24T19:27:32.40" personId="{991E0227-3268-43DA-A8CC-7AC76F85DFE7}" id="{BFCBC053-0766-4B94-9401-245EBEB738C2}">
    <text>1.896</text>
  </threadedComment>
  <threadedComment ref="P5" dT="2021-09-24T19:27:48.82" personId="{991E0227-3268-43DA-A8CC-7AC76F85DFE7}" id="{5F6A4858-DE3B-4AA3-800C-98CF0DB9F0DD}">
    <text>720</text>
  </threadedComment>
  <threadedComment ref="R5" dT="2021-09-24T19:28:04.91" personId="{991E0227-3268-43DA-A8CC-7AC76F85DFE7}" id="{E3C12289-AEB0-43E5-A30F-28747D7E2782}">
    <text>302</text>
  </threadedComment>
  <threadedComment ref="O7" dT="2021-09-24T19:50:44.75" personId="{991E0227-3268-43DA-A8CC-7AC76F85DFE7}" id="{4026672F-0C44-4B60-9FCC-1D7370FF11FD}">
    <text>1.897</text>
  </threadedComment>
  <threadedComment ref="P7" dT="2021-09-24T19:50:54.15" personId="{991E0227-3268-43DA-A8CC-7AC76F85DFE7}" id="{3B9CC549-97AD-44A1-8909-A9D7FCA0B777}">
    <text>659</text>
  </threadedComment>
  <threadedComment ref="R7" dT="2021-09-24T19:51:02.53" personId="{991E0227-3268-43DA-A8CC-7AC76F85DFE7}" id="{8D2D17E3-FB09-494F-A324-1344F550CC10}">
    <text>300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D6DF-078B-4E94-A5F7-035E86563629}">
  <sheetPr codeName="Sheet3"/>
  <dimension ref="A1:S24"/>
  <sheetViews>
    <sheetView zoomScale="92" zoomScaleNormal="92" workbookViewId="0">
      <selection activeCell="E18" sqref="E18"/>
    </sheetView>
  </sheetViews>
  <sheetFormatPr defaultRowHeight="14.25" x14ac:dyDescent="0.45"/>
  <cols>
    <col min="1" max="1" width="17.9296875" bestFit="1" customWidth="1"/>
    <col min="2" max="2" width="15.796875" bestFit="1" customWidth="1"/>
    <col min="3" max="3" width="28" bestFit="1" customWidth="1"/>
    <col min="4" max="4" width="13.265625" bestFit="1" customWidth="1"/>
    <col min="6" max="7" width="15.265625" customWidth="1"/>
    <col min="8" max="8" width="11.59765625" bestFit="1" customWidth="1"/>
  </cols>
  <sheetData>
    <row r="1" spans="1:19" x14ac:dyDescent="0.45">
      <c r="A1" t="s">
        <v>25</v>
      </c>
      <c r="B1">
        <v>7688</v>
      </c>
      <c r="C1" t="s">
        <v>0</v>
      </c>
    </row>
    <row r="2" spans="1:19" ht="15.75" x14ac:dyDescent="0.5">
      <c r="A2" t="s">
        <v>1</v>
      </c>
      <c r="B2">
        <v>823</v>
      </c>
      <c r="C2" t="s">
        <v>2</v>
      </c>
      <c r="D2" s="2" t="s">
        <v>19</v>
      </c>
      <c r="E2" s="2">
        <v>2</v>
      </c>
      <c r="F2" s="2" t="s">
        <v>20</v>
      </c>
      <c r="G2" s="2"/>
    </row>
    <row r="3" spans="1:19" x14ac:dyDescent="0.45">
      <c r="D3" t="s">
        <v>21</v>
      </c>
      <c r="E3">
        <f>((1/(2*PI()*E2*10^6))^2)/(B1*10^-9)</f>
        <v>8.2369588679059728E-10</v>
      </c>
      <c r="F3" t="s">
        <v>22</v>
      </c>
    </row>
    <row r="4" spans="1:19" x14ac:dyDescent="0.45">
      <c r="A4" t="s">
        <v>3</v>
      </c>
      <c r="B4" s="3">
        <f>(1/(2*PI()*SQRT(B2*10^-12*B1*10^-9)))/10^6</f>
        <v>2.0008453702930353</v>
      </c>
      <c r="C4" t="s">
        <v>4</v>
      </c>
      <c r="E4">
        <f>E3*10^12</f>
        <v>823.69588679059723</v>
      </c>
      <c r="F4" t="s">
        <v>23</v>
      </c>
    </row>
    <row r="5" spans="1:19" ht="15.75" x14ac:dyDescent="0.5">
      <c r="A5" t="s">
        <v>5</v>
      </c>
      <c r="B5" s="4">
        <f>0.635*PI()*((1.27/2)^2-(0.79/2)^2)</f>
        <v>0.49314208201929699</v>
      </c>
    </row>
    <row r="7" spans="1:19" ht="15.75" x14ac:dyDescent="0.5">
      <c r="A7" s="5" t="s">
        <v>30</v>
      </c>
      <c r="B7" s="5" t="s">
        <v>6</v>
      </c>
      <c r="C7" s="5" t="s">
        <v>7</v>
      </c>
      <c r="D7" s="5" t="s">
        <v>8</v>
      </c>
      <c r="E7" s="5" t="s">
        <v>9</v>
      </c>
      <c r="F7" s="5" t="s">
        <v>24</v>
      </c>
      <c r="G7" s="5" t="s">
        <v>40</v>
      </c>
      <c r="H7" s="5" t="s">
        <v>10</v>
      </c>
      <c r="I7" s="5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/>
      <c r="P7" s="6" t="s">
        <v>17</v>
      </c>
      <c r="Q7" s="6" t="s">
        <v>18</v>
      </c>
    </row>
    <row r="8" spans="1:19" ht="15.75" x14ac:dyDescent="0.5">
      <c r="A8" s="7">
        <f>$B$2*10^-12*D8*2*B8*10^6*1000*PI()*0.5</f>
        <v>336.72297799168405</v>
      </c>
      <c r="B8">
        <v>1.9039999999999999</v>
      </c>
      <c r="C8">
        <v>293.24</v>
      </c>
      <c r="D8">
        <v>68.400000000000006</v>
      </c>
      <c r="E8" s="8">
        <f>D8*1000/(C8)</f>
        <v>233.25603601145818</v>
      </c>
      <c r="F8" s="8">
        <f>2*PI()*$B$1*10^-9*B8*10^6/E8</f>
        <v>0.39430047130305373</v>
      </c>
      <c r="G8" s="8">
        <f t="shared" ref="G8:G14" si="0">1/2*F8*(A8*10^-3)^2</f>
        <v>2.2353359763108177E-2</v>
      </c>
      <c r="H8" s="9">
        <f>1/($B$2*10^-12*(2*PI()*B8*10^6)^2)</f>
        <v>8.4899775134744478E-6</v>
      </c>
      <c r="I8" s="8" t="e">
        <f>(2*PI()*B8*10^6*H8)/((C8/(D8*1000))*SQRT($B$3^2 + (1/(2*PI()*B8*10^6*#REF!*10^-12))^2) -#REF! - $B$3)</f>
        <v>#REF!</v>
      </c>
      <c r="J8" s="7" t="e">
        <f>(2*PI()*B8*10^6*H8)/I8</f>
        <v>#REF!</v>
      </c>
      <c r="K8" s="7" t="e">
        <f>J8*(A8/1000)^2</f>
        <v>#REF!</v>
      </c>
      <c r="L8" s="7" t="e">
        <f>K8/B$5*1000</f>
        <v>#REF!</v>
      </c>
      <c r="M8" s="2">
        <f xml:space="preserve"> (4*8.85*10^-12*0.01*0.01)/0.0015</f>
        <v>2.3599999999999996E-12</v>
      </c>
      <c r="N8" s="2">
        <f>0.5*D8*D8*2*PI()*B8*10^6*M8*0.02</f>
        <v>1.3209032806641458E-3</v>
      </c>
      <c r="O8" s="10" t="e">
        <f>N8/K8</f>
        <v>#REF!</v>
      </c>
      <c r="P8">
        <f>N8/((A8/1000)^2)</f>
        <v>1.1649988897221642E-2</v>
      </c>
      <c r="Q8" s="11" t="e">
        <f>2*PI()*B8*10^6*H8/(J8-P8)</f>
        <v>#REF!</v>
      </c>
      <c r="S8" t="e">
        <f>_xlfn.CONCAT("(",A8/1000,",",Q8,")")</f>
        <v>#REF!</v>
      </c>
    </row>
    <row r="9" spans="1:19" ht="15.75" x14ac:dyDescent="0.5">
      <c r="A9" s="7">
        <f t="shared" ref="A9:A14" si="1">$B$2*10^-12*D9*2*B9*10^6*1000*PI()*0.5</f>
        <v>419.42686732297489</v>
      </c>
      <c r="B9">
        <v>1.9039999999999999</v>
      </c>
      <c r="C9">
        <v>376.32400000000001</v>
      </c>
      <c r="D9">
        <v>85.2</v>
      </c>
      <c r="E9" s="8">
        <f t="shared" ref="E9:E14" si="2">D9*1000/(C9)</f>
        <v>226.40065475494521</v>
      </c>
      <c r="F9" s="8">
        <f t="shared" ref="F9:F14" si="3">2*PI()*$B$1*10^-9*B9*10^6/E9</f>
        <v>0.40623983633417959</v>
      </c>
      <c r="G9" s="8">
        <f t="shared" si="0"/>
        <v>3.5732631969258556E-2</v>
      </c>
      <c r="H9" s="9">
        <f t="shared" ref="H9:H14" si="4">1/($B$2*10^-12*(2*PI()*B9*10^6)^2)</f>
        <v>8.4899775134744478E-6</v>
      </c>
      <c r="I9" s="8" t="e">
        <f>(2*PI()*B9*10^6*H9)/((C9/(D9*1000))*SQRT($B$3^2 + (1/(2*PI()*B9*10^6*#REF!*10^-12))^2) -#REF! - $B$3)</f>
        <v>#REF!</v>
      </c>
      <c r="J9" s="7" t="e">
        <f>(2*PI()*B9*10^6*H9)/I9</f>
        <v>#REF!</v>
      </c>
      <c r="K9" s="7" t="e">
        <f>J9*(A9/1000)^2</f>
        <v>#REF!</v>
      </c>
      <c r="L9" s="7" t="e">
        <f>K9/B$5*1000</f>
        <v>#REF!</v>
      </c>
      <c r="M9" s="2">
        <f t="shared" ref="M9:M14" si="5" xml:space="preserve"> (4*8.85*10^-12*0.01*0.01)/0.0015</f>
        <v>2.3599999999999996E-12</v>
      </c>
      <c r="N9" s="2">
        <f t="shared" ref="N9:N14" si="6">0.5*D9*D9*2*PI()*B9*10^6*M9*0.02</f>
        <v>2.0494531972385229E-3</v>
      </c>
      <c r="O9" s="10" t="e">
        <f t="shared" ref="O9:O14" si="7">N9/K9</f>
        <v>#REF!</v>
      </c>
      <c r="P9">
        <f t="shared" ref="P9:P14" si="8">N9/((A9/1000)^2)</f>
        <v>1.1649988897221644E-2</v>
      </c>
      <c r="Q9" s="11" t="e">
        <f t="shared" ref="Q9:Q14" si="9">2*PI()*B9*10^6*H9/(J9-P9)</f>
        <v>#REF!</v>
      </c>
      <c r="S9" t="e">
        <f t="shared" ref="S9:S14" si="10">_xlfn.CONCAT("(",A9/1000,",",Q9,")")</f>
        <v>#REF!</v>
      </c>
    </row>
    <row r="10" spans="1:19" s="28" customFormat="1" ht="15.75" x14ac:dyDescent="0.5">
      <c r="A10" s="27">
        <f t="shared" si="1"/>
        <v>547.42098176425816</v>
      </c>
      <c r="B10" s="28">
        <v>1.9039999999999999</v>
      </c>
      <c r="C10" s="28">
        <f>2*248.27</f>
        <v>496.54</v>
      </c>
      <c r="D10" s="28">
        <v>111.2</v>
      </c>
      <c r="E10" s="29">
        <f t="shared" si="2"/>
        <v>223.94973214645344</v>
      </c>
      <c r="F10" s="29">
        <f t="shared" si="3"/>
        <v>0.41068575546879288</v>
      </c>
      <c r="G10" s="29">
        <f t="shared" si="0"/>
        <v>6.1535044990054591E-2</v>
      </c>
      <c r="H10" s="30">
        <f t="shared" si="4"/>
        <v>8.4899775134744478E-6</v>
      </c>
      <c r="I10" s="29" t="e">
        <f>(2*PI()*B10*10^6*H10)/((C10/(D10*1000))*SQRT($B$3^2 + (1/(2*PI()*B10*10^6*#REF!*10^-12))^2) -#REF! - $B$3)</f>
        <v>#REF!</v>
      </c>
      <c r="J10" s="27" t="e">
        <f t="shared" ref="J10:J14" si="11">(2*PI()*B10*10^6*H10)/I10</f>
        <v>#REF!</v>
      </c>
      <c r="K10" s="27" t="e">
        <f t="shared" ref="K10:K14" si="12">J10*(A10/1000)^2</f>
        <v>#REF!</v>
      </c>
      <c r="L10" s="27" t="e">
        <f t="shared" ref="L10:L14" si="13">K10/B$5*1000</f>
        <v>#REF!</v>
      </c>
      <c r="M10" s="31">
        <f t="shared" si="5"/>
        <v>2.3599999999999996E-12</v>
      </c>
      <c r="N10" s="31">
        <f t="shared" si="6"/>
        <v>3.4911490421958148E-3</v>
      </c>
      <c r="O10" s="32" t="e">
        <f t="shared" si="7"/>
        <v>#REF!</v>
      </c>
      <c r="P10" s="28">
        <f t="shared" si="8"/>
        <v>1.1649988897221646E-2</v>
      </c>
      <c r="Q10" s="33" t="e">
        <f t="shared" si="9"/>
        <v>#REF!</v>
      </c>
      <c r="S10" s="28" t="e">
        <f t="shared" si="10"/>
        <v>#REF!</v>
      </c>
    </row>
    <row r="11" spans="1:19" ht="15.75" x14ac:dyDescent="0.5">
      <c r="A11" s="7">
        <f t="shared" si="1"/>
        <v>744.33500398161709</v>
      </c>
      <c r="B11">
        <v>1.9039999999999999</v>
      </c>
      <c r="C11">
        <f>2*341.903</f>
        <v>683.80600000000004</v>
      </c>
      <c r="D11">
        <v>151.19999999999999</v>
      </c>
      <c r="E11" s="8">
        <f t="shared" si="2"/>
        <v>221.11534558047165</v>
      </c>
      <c r="F11" s="8">
        <f t="shared" si="3"/>
        <v>0.41595016705942667</v>
      </c>
      <c r="G11" s="8">
        <f t="shared" si="0"/>
        <v>0.11522539182907865</v>
      </c>
      <c r="H11" s="9">
        <f t="shared" si="4"/>
        <v>8.4899775134744478E-6</v>
      </c>
      <c r="I11" s="8" t="e">
        <f>(2*PI()*B11*10^6*H11)/((C11/(D11*1000))*SQRT($B$3^2 + (1/(2*PI()*B11*10^6*#REF!*10^-12))^2) -#REF! - $B$3)</f>
        <v>#REF!</v>
      </c>
      <c r="J11" s="7" t="e">
        <f t="shared" si="11"/>
        <v>#REF!</v>
      </c>
      <c r="K11" s="7" t="e">
        <f t="shared" si="12"/>
        <v>#REF!</v>
      </c>
      <c r="L11" s="7" t="e">
        <f t="shared" si="13"/>
        <v>#REF!</v>
      </c>
      <c r="M11" s="2">
        <f t="shared" si="5"/>
        <v>2.3599999999999996E-12</v>
      </c>
      <c r="N11" s="2">
        <f t="shared" si="6"/>
        <v>6.4544969171511151E-3</v>
      </c>
      <c r="O11" s="10" t="e">
        <f t="shared" si="7"/>
        <v>#REF!</v>
      </c>
      <c r="P11">
        <f t="shared" si="8"/>
        <v>1.1649988897221649E-2</v>
      </c>
      <c r="Q11" s="11" t="e">
        <f t="shared" si="9"/>
        <v>#REF!</v>
      </c>
      <c r="S11" t="e">
        <f t="shared" si="10"/>
        <v>#REF!</v>
      </c>
    </row>
    <row r="12" spans="1:19" ht="15.75" x14ac:dyDescent="0.5">
      <c r="A12" s="7">
        <f>$B$2*10^-12*D12*2*B12*10^6*1000*PI()*0.5</f>
        <v>1073.1814210846071</v>
      </c>
      <c r="B12">
        <v>1.9039999999999999</v>
      </c>
      <c r="C12">
        <f>2*486.501</f>
        <v>973.00199999999995</v>
      </c>
      <c r="D12">
        <v>218</v>
      </c>
      <c r="E12" s="8">
        <f t="shared" si="2"/>
        <v>224.04887143089121</v>
      </c>
      <c r="F12" s="8">
        <f t="shared" si="3"/>
        <v>0.4105040313134069</v>
      </c>
      <c r="G12" s="8">
        <f t="shared" si="0"/>
        <v>0.23639251538451955</v>
      </c>
      <c r="H12" s="9">
        <f t="shared" si="4"/>
        <v>8.4899775134744478E-6</v>
      </c>
      <c r="I12" s="8" t="e">
        <f>(2*PI()*B12*10^6*H12)/((C12/(D12*1000))*SQRT($B$3^2 + (1/(2*PI()*B12*10^6*#REF!*10^-12))^2) -#REF! - $B$3)</f>
        <v>#REF!</v>
      </c>
      <c r="J12" s="7" t="e">
        <f t="shared" si="11"/>
        <v>#REF!</v>
      </c>
      <c r="K12" s="7" t="e">
        <f t="shared" si="12"/>
        <v>#REF!</v>
      </c>
      <c r="L12" s="7" t="e">
        <f t="shared" si="13"/>
        <v>#REF!</v>
      </c>
      <c r="M12" s="2">
        <f t="shared" si="5"/>
        <v>2.3599999999999996E-12</v>
      </c>
      <c r="N12" s="2">
        <f t="shared" si="6"/>
        <v>1.3417506136563995E-2</v>
      </c>
      <c r="O12" s="10" t="e">
        <f t="shared" si="7"/>
        <v>#REF!</v>
      </c>
      <c r="P12">
        <f t="shared" si="8"/>
        <v>1.1649988897221637E-2</v>
      </c>
      <c r="Q12" s="11" t="e">
        <f t="shared" si="9"/>
        <v>#REF!</v>
      </c>
      <c r="S12" t="e">
        <f t="shared" si="10"/>
        <v>#REF!</v>
      </c>
    </row>
    <row r="13" spans="1:19" s="18" customFormat="1" ht="15.75" x14ac:dyDescent="0.5">
      <c r="A13" s="21">
        <f>$B$2*10^-12*D13*2*B13*10^6*1000*PI()*0.5</f>
        <v>1476.855166630193</v>
      </c>
      <c r="B13" s="18">
        <v>1.9039999999999999</v>
      </c>
      <c r="C13" s="18">
        <f>2*677.978</f>
        <v>1355.9559999999999</v>
      </c>
      <c r="D13" s="18">
        <v>300</v>
      </c>
      <c r="E13" s="22">
        <f t="shared" si="2"/>
        <v>221.24611713064436</v>
      </c>
      <c r="F13" s="22">
        <f t="shared" si="3"/>
        <v>0.41570431213168191</v>
      </c>
      <c r="G13" s="35">
        <f>1/2*F13*(A13*10^-3)^2</f>
        <v>0.45334658352635382</v>
      </c>
      <c r="H13" s="23">
        <f t="shared" si="4"/>
        <v>8.4899775134744478E-6</v>
      </c>
      <c r="I13" s="22" t="e">
        <f>(2*PI()*B13*10^6*H13)/((C13/(D13*1000))*SQRT($B$3^2 + (1/(2*PI()*B13*10^6*#REF!*10^-12))^2) -#REF! - $B$3)</f>
        <v>#REF!</v>
      </c>
      <c r="J13" s="21" t="e">
        <f t="shared" si="11"/>
        <v>#REF!</v>
      </c>
      <c r="K13" s="21" t="e">
        <f t="shared" si="12"/>
        <v>#REF!</v>
      </c>
      <c r="L13" s="21" t="e">
        <f t="shared" si="13"/>
        <v>#REF!</v>
      </c>
      <c r="M13" s="24">
        <f t="shared" si="5"/>
        <v>2.3599999999999996E-12</v>
      </c>
      <c r="N13" s="24">
        <f t="shared" si="6"/>
        <v>2.540980456802373E-2</v>
      </c>
      <c r="O13" s="25" t="e">
        <f t="shared" si="7"/>
        <v>#REF!</v>
      </c>
      <c r="P13" s="18">
        <f t="shared" si="8"/>
        <v>1.1649988897221644E-2</v>
      </c>
      <c r="Q13" s="26" t="e">
        <f t="shared" si="9"/>
        <v>#REF!</v>
      </c>
      <c r="S13" s="18" t="e">
        <f t="shared" si="10"/>
        <v>#REF!</v>
      </c>
    </row>
    <row r="14" spans="1:19" ht="15.75" x14ac:dyDescent="0.5">
      <c r="A14" s="7">
        <f t="shared" si="1"/>
        <v>1860.8375099540431</v>
      </c>
      <c r="B14">
        <v>1.9039999999999999</v>
      </c>
      <c r="C14">
        <f>2*870.366</f>
        <v>1740.732</v>
      </c>
      <c r="D14">
        <v>378</v>
      </c>
      <c r="E14" s="8">
        <f t="shared" si="2"/>
        <v>217.1500265405588</v>
      </c>
      <c r="F14" s="8">
        <f t="shared" si="3"/>
        <v>0.42354572273755414</v>
      </c>
      <c r="G14" s="8">
        <f t="shared" si="0"/>
        <v>0.7333093259251009</v>
      </c>
      <c r="H14" s="9">
        <f t="shared" si="4"/>
        <v>8.4899775134744478E-6</v>
      </c>
      <c r="I14" s="8" t="e">
        <f>(2*PI()*B14*10^6*H14)/((C14/(D14*1000))*SQRT($B$3^2 + (1/(2*PI()*B14*10^6*#REF!*10^-12))^2) -#REF! - $B$3)</f>
        <v>#REF!</v>
      </c>
      <c r="J14" s="7" t="e">
        <f t="shared" si="11"/>
        <v>#REF!</v>
      </c>
      <c r="K14" s="7" t="e">
        <f t="shared" si="12"/>
        <v>#REF!</v>
      </c>
      <c r="L14" s="7" t="e">
        <f t="shared" si="13"/>
        <v>#REF!</v>
      </c>
      <c r="M14" s="2">
        <f t="shared" si="5"/>
        <v>2.3599999999999996E-12</v>
      </c>
      <c r="N14" s="2">
        <f t="shared" si="6"/>
        <v>4.0340605732194473E-2</v>
      </c>
      <c r="O14" s="10" t="e">
        <f t="shared" si="7"/>
        <v>#REF!</v>
      </c>
      <c r="P14">
        <f t="shared" si="8"/>
        <v>1.1649988897221646E-2</v>
      </c>
      <c r="Q14" s="11" t="e">
        <f t="shared" si="9"/>
        <v>#REF!</v>
      </c>
      <c r="S14" t="e">
        <f t="shared" si="10"/>
        <v>#REF!</v>
      </c>
    </row>
    <row r="16" spans="1:19" x14ac:dyDescent="0.45">
      <c r="G16" s="8"/>
    </row>
    <row r="17" spans="1:7" x14ac:dyDescent="0.45">
      <c r="G17" s="8"/>
    </row>
    <row r="18" spans="1:7" x14ac:dyDescent="0.45">
      <c r="A18" s="34"/>
      <c r="B18" s="34"/>
      <c r="G18" s="8"/>
    </row>
    <row r="19" spans="1:7" x14ac:dyDescent="0.45">
      <c r="G19" s="8"/>
    </row>
    <row r="20" spans="1:7" x14ac:dyDescent="0.45">
      <c r="G20" s="8"/>
    </row>
    <row r="21" spans="1:7" x14ac:dyDescent="0.45">
      <c r="G21" s="8"/>
    </row>
    <row r="22" spans="1:7" x14ac:dyDescent="0.45">
      <c r="G22" s="8"/>
    </row>
    <row r="24" spans="1:7" x14ac:dyDescent="0.45">
      <c r="A24" s="28"/>
      <c r="B24" s="2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C4C84-4A04-42C5-8275-2709D992A983}">
  <sheetPr codeName="Sheet12"/>
  <dimension ref="A1:Q11"/>
  <sheetViews>
    <sheetView workbookViewId="0">
      <selection activeCell="E21" sqref="E21"/>
    </sheetView>
  </sheetViews>
  <sheetFormatPr defaultRowHeight="14.25" x14ac:dyDescent="0.45"/>
  <cols>
    <col min="1" max="1" width="9.33203125" style="1" customWidth="1"/>
    <col min="2" max="2" width="9.06640625" style="14"/>
    <col min="3" max="3" width="9.06640625" style="15"/>
    <col min="4" max="6" width="9.06640625" style="1"/>
    <col min="7" max="7" width="9.06640625" style="15"/>
    <col min="8" max="10" width="9.06640625" style="1"/>
    <col min="11" max="11" width="9.06640625" style="15"/>
    <col min="12" max="14" width="9.06640625" style="1"/>
    <col min="15" max="17" width="9.06640625" style="15"/>
    <col min="18" max="16384" width="9.06640625" style="1"/>
  </cols>
  <sheetData>
    <row r="1" spans="1:17" ht="28.5" x14ac:dyDescent="0.45">
      <c r="A1" s="1" t="s">
        <v>29</v>
      </c>
      <c r="B1" s="14" t="s">
        <v>41</v>
      </c>
      <c r="C1" s="15" t="s">
        <v>42</v>
      </c>
      <c r="D1" s="1" t="s">
        <v>37</v>
      </c>
      <c r="E1" s="1" t="s">
        <v>37</v>
      </c>
      <c r="F1" s="1" t="s">
        <v>37</v>
      </c>
      <c r="G1" s="15" t="s">
        <v>43</v>
      </c>
      <c r="H1" s="1" t="s">
        <v>38</v>
      </c>
      <c r="I1" s="1" t="s">
        <v>38</v>
      </c>
      <c r="J1" s="1" t="s">
        <v>38</v>
      </c>
      <c r="K1" s="15" t="s">
        <v>44</v>
      </c>
      <c r="L1" s="1" t="s">
        <v>39</v>
      </c>
      <c r="M1" s="1" t="s">
        <v>39</v>
      </c>
      <c r="N1" s="1" t="s">
        <v>39</v>
      </c>
      <c r="O1" s="15" t="s">
        <v>26</v>
      </c>
      <c r="P1" s="15" t="s">
        <v>28</v>
      </c>
      <c r="Q1" s="15" t="s">
        <v>40</v>
      </c>
    </row>
    <row r="2" spans="1:17" x14ac:dyDescent="0.45">
      <c r="A2" s="1">
        <v>0</v>
      </c>
      <c r="B2" s="14">
        <f>AVERAGE(C2, G2, K2)</f>
        <v>26.666666666666668</v>
      </c>
      <c r="C2" s="15">
        <f>AVERAGE(D2:F2)</f>
        <v>27.2</v>
      </c>
      <c r="D2" s="1">
        <v>27.1</v>
      </c>
      <c r="E2" s="1">
        <v>27.2</v>
      </c>
      <c r="F2" s="1">
        <v>27.3</v>
      </c>
      <c r="G2" s="15">
        <f>AVERAGE(H2:J2)</f>
        <v>26.8</v>
      </c>
      <c r="H2" s="1">
        <v>26.8</v>
      </c>
      <c r="I2" s="1">
        <v>26.7</v>
      </c>
      <c r="J2" s="1">
        <v>26.9</v>
      </c>
      <c r="K2" s="15">
        <f>AVERAGE(L2:N2)</f>
        <v>26</v>
      </c>
      <c r="L2" s="1">
        <v>26</v>
      </c>
      <c r="M2" s="1">
        <v>26.1</v>
      </c>
      <c r="N2" s="1">
        <v>25.9</v>
      </c>
      <c r="O2" s="15">
        <v>4.4943</v>
      </c>
      <c r="P2" s="15">
        <v>4.7539999999999999E-2</v>
      </c>
      <c r="Q2" s="15">
        <f>O2*P2</f>
        <v>0.213659022</v>
      </c>
    </row>
    <row r="3" spans="1:17" x14ac:dyDescent="0.45">
      <c r="A3">
        <v>10</v>
      </c>
      <c r="B3" s="14">
        <f t="shared" ref="B3:B8" si="0">AVERAGE(C3, G3, K3)</f>
        <v>28.600000000000005</v>
      </c>
      <c r="C3" s="15">
        <f t="shared" ref="C3:C8" si="1">AVERAGE(D3:F3)</f>
        <v>29.400000000000002</v>
      </c>
      <c r="D3" s="1">
        <v>29.4</v>
      </c>
      <c r="E3" s="1">
        <v>29.5</v>
      </c>
      <c r="F3" s="1">
        <v>29.3</v>
      </c>
      <c r="G3" s="15">
        <f t="shared" ref="G3:G11" si="2">AVERAGE(H3:J3)</f>
        <v>28.666666666666668</v>
      </c>
      <c r="H3" s="1">
        <v>28.7</v>
      </c>
      <c r="I3" s="1">
        <v>28.6</v>
      </c>
      <c r="J3" s="1">
        <v>28.7</v>
      </c>
      <c r="K3" s="15">
        <f t="shared" ref="K3:K11" si="3">AVERAGE(L3:N3)</f>
        <v>27.733333333333334</v>
      </c>
      <c r="L3" s="1">
        <v>27.6</v>
      </c>
      <c r="M3" s="1">
        <v>27.6</v>
      </c>
      <c r="N3" s="1">
        <v>28</v>
      </c>
      <c r="O3" s="15">
        <v>4.4951999999999996</v>
      </c>
      <c r="P3" s="15">
        <v>4.7719999999999999E-2</v>
      </c>
      <c r="Q3" s="15">
        <f t="shared" ref="Q3:Q11" si="4">O3*P3</f>
        <v>0.21451094399999998</v>
      </c>
    </row>
    <row r="4" spans="1:17" x14ac:dyDescent="0.45">
      <c r="A4" s="1">
        <v>20</v>
      </c>
      <c r="B4" s="14">
        <f t="shared" si="0"/>
        <v>28.844444444444445</v>
      </c>
      <c r="C4" s="15">
        <f t="shared" si="1"/>
        <v>29.599999999999998</v>
      </c>
      <c r="D4" s="1">
        <v>28.9</v>
      </c>
      <c r="E4" s="1">
        <v>30</v>
      </c>
      <c r="F4" s="1">
        <v>29.9</v>
      </c>
      <c r="G4" s="15">
        <f t="shared" si="2"/>
        <v>29.133333333333336</v>
      </c>
      <c r="H4" s="1">
        <v>29.1</v>
      </c>
      <c r="I4" s="1">
        <v>29.2</v>
      </c>
      <c r="J4" s="1">
        <v>29.1</v>
      </c>
      <c r="K4" s="15">
        <f t="shared" si="3"/>
        <v>27.8</v>
      </c>
      <c r="L4" s="1">
        <v>27.8</v>
      </c>
      <c r="M4" s="1">
        <v>27.9</v>
      </c>
      <c r="N4" s="1">
        <v>27.7</v>
      </c>
      <c r="O4" s="15">
        <v>4.4954999999999998</v>
      </c>
      <c r="P4" s="15">
        <v>4.7789999999999999E-2</v>
      </c>
      <c r="Q4" s="15">
        <f t="shared" si="4"/>
        <v>0.21483994499999998</v>
      </c>
    </row>
    <row r="5" spans="1:17" x14ac:dyDescent="0.45">
      <c r="A5" s="1">
        <v>30</v>
      </c>
      <c r="B5" s="14">
        <f t="shared" si="0"/>
        <v>29.277777777777782</v>
      </c>
      <c r="C5" s="15">
        <f t="shared" si="1"/>
        <v>30.133333333333336</v>
      </c>
      <c r="D5" s="1">
        <v>30</v>
      </c>
      <c r="E5" s="1">
        <v>30.2</v>
      </c>
      <c r="F5" s="1">
        <v>30.2</v>
      </c>
      <c r="G5" s="15">
        <f t="shared" si="2"/>
        <v>29.400000000000002</v>
      </c>
      <c r="H5" s="1">
        <v>29.3</v>
      </c>
      <c r="I5" s="1">
        <v>29.4</v>
      </c>
      <c r="J5" s="1">
        <v>29.5</v>
      </c>
      <c r="K5" s="15">
        <f t="shared" si="3"/>
        <v>28.3</v>
      </c>
      <c r="L5" s="1">
        <v>28.4</v>
      </c>
      <c r="M5" s="1">
        <v>28.3</v>
      </c>
      <c r="N5" s="1">
        <v>28.2</v>
      </c>
      <c r="O5" s="15">
        <v>4.4958</v>
      </c>
      <c r="P5" s="15">
        <v>4.7849999999999997E-2</v>
      </c>
      <c r="Q5" s="15">
        <f t="shared" si="4"/>
        <v>0.21512402999999999</v>
      </c>
    </row>
    <row r="6" spans="1:17" x14ac:dyDescent="0.45">
      <c r="A6" s="1">
        <v>40</v>
      </c>
      <c r="B6" s="14">
        <f t="shared" si="0"/>
        <v>29.466666666666665</v>
      </c>
      <c r="C6" s="15">
        <f t="shared" si="1"/>
        <v>30.5</v>
      </c>
      <c r="D6" s="1">
        <v>30.6</v>
      </c>
      <c r="E6" s="1">
        <v>30.5</v>
      </c>
      <c r="F6" s="1">
        <v>30.4</v>
      </c>
      <c r="G6" s="15">
        <f t="shared" si="2"/>
        <v>29.566666666666666</v>
      </c>
      <c r="H6" s="1">
        <v>29.7</v>
      </c>
      <c r="I6" s="1">
        <v>29.5</v>
      </c>
      <c r="J6" s="1">
        <v>29.5</v>
      </c>
      <c r="K6" s="15">
        <f t="shared" si="3"/>
        <v>28.333333333333332</v>
      </c>
      <c r="L6" s="1">
        <v>28.4</v>
      </c>
      <c r="M6" s="1">
        <v>28.3</v>
      </c>
      <c r="N6" s="1">
        <v>28.3</v>
      </c>
      <c r="O6" s="15">
        <v>4.4960000000000004</v>
      </c>
      <c r="P6" s="15">
        <v>4.7899999999999998E-2</v>
      </c>
      <c r="Q6" s="15">
        <f t="shared" si="4"/>
        <v>0.21535840000000001</v>
      </c>
    </row>
    <row r="7" spans="1:17" x14ac:dyDescent="0.45">
      <c r="A7" s="1">
        <v>50</v>
      </c>
      <c r="B7" s="14">
        <f t="shared" si="0"/>
        <v>29.655555555555555</v>
      </c>
      <c r="C7" s="15">
        <f t="shared" si="1"/>
        <v>30.600000000000005</v>
      </c>
      <c r="D7" s="1">
        <v>30.6</v>
      </c>
      <c r="E7" s="1">
        <v>30.6</v>
      </c>
      <c r="F7" s="1">
        <v>30.6</v>
      </c>
      <c r="G7" s="15">
        <f t="shared" si="2"/>
        <v>29.866666666666664</v>
      </c>
      <c r="H7" s="1">
        <v>30</v>
      </c>
      <c r="I7" s="1">
        <v>29.8</v>
      </c>
      <c r="J7" s="1">
        <v>29.8</v>
      </c>
      <c r="K7" s="15">
        <f>AVERAGE(L7:N7)</f>
        <v>28.5</v>
      </c>
      <c r="L7" s="1">
        <v>28.5</v>
      </c>
      <c r="M7" s="1">
        <v>28.4</v>
      </c>
      <c r="N7" s="1">
        <v>28.6</v>
      </c>
      <c r="O7" s="15">
        <v>4.4961000000000002</v>
      </c>
      <c r="P7" s="15">
        <v>4.793E-2</v>
      </c>
      <c r="Q7" s="15">
        <f t="shared" si="4"/>
        <v>0.21549807300000001</v>
      </c>
    </row>
    <row r="8" spans="1:17" x14ac:dyDescent="0.45">
      <c r="A8" s="1">
        <v>60</v>
      </c>
      <c r="B8" s="14">
        <f t="shared" si="0"/>
        <v>29.677777777777777</v>
      </c>
      <c r="C8" s="15">
        <f t="shared" si="1"/>
        <v>30.566666666666666</v>
      </c>
      <c r="D8" s="1">
        <v>30.6</v>
      </c>
      <c r="E8" s="1">
        <v>30.6</v>
      </c>
      <c r="F8" s="1">
        <v>30.5</v>
      </c>
      <c r="G8" s="15">
        <f t="shared" si="2"/>
        <v>29.833333333333332</v>
      </c>
      <c r="H8" s="1">
        <v>29.8</v>
      </c>
      <c r="I8" s="1">
        <v>29.9</v>
      </c>
      <c r="J8" s="1">
        <v>29.8</v>
      </c>
      <c r="K8" s="15">
        <f t="shared" si="3"/>
        <v>28.633333333333336</v>
      </c>
      <c r="L8" s="1">
        <v>28.6</v>
      </c>
      <c r="M8" s="1">
        <v>28.5</v>
      </c>
      <c r="N8" s="1">
        <v>28.8</v>
      </c>
      <c r="O8" s="15">
        <v>4.4961000000000002</v>
      </c>
      <c r="P8" s="15">
        <v>4.7960000000000003E-2</v>
      </c>
      <c r="Q8" s="15">
        <f t="shared" si="4"/>
        <v>0.21563295600000001</v>
      </c>
    </row>
    <row r="9" spans="1:17" x14ac:dyDescent="0.45">
      <c r="A9" s="1">
        <v>70</v>
      </c>
      <c r="B9" s="14">
        <f t="shared" ref="B9:B10" si="5">AVERAGE(C9, G9, K9)</f>
        <v>29.75555555555556</v>
      </c>
      <c r="C9" s="15">
        <f t="shared" ref="C9:C10" si="6">AVERAGE(D9:F9)</f>
        <v>30.633333333333336</v>
      </c>
      <c r="D9" s="1">
        <v>30.6</v>
      </c>
      <c r="E9" s="1">
        <v>30.7</v>
      </c>
      <c r="F9" s="1">
        <v>30.6</v>
      </c>
      <c r="G9" s="15">
        <f t="shared" si="2"/>
        <v>30</v>
      </c>
      <c r="H9" s="1">
        <v>30</v>
      </c>
      <c r="I9" s="1">
        <v>29.9</v>
      </c>
      <c r="J9" s="1">
        <v>30.1</v>
      </c>
      <c r="K9" s="15">
        <f t="shared" si="3"/>
        <v>28.633333333333336</v>
      </c>
      <c r="L9" s="1">
        <v>28.6</v>
      </c>
      <c r="M9" s="1">
        <v>28.7</v>
      </c>
      <c r="N9" s="1">
        <v>28.6</v>
      </c>
      <c r="O9" s="15">
        <v>4.4962</v>
      </c>
      <c r="P9" s="15">
        <v>4.7980000000000002E-2</v>
      </c>
      <c r="Q9" s="15">
        <f t="shared" si="4"/>
        <v>0.21572767600000001</v>
      </c>
    </row>
    <row r="10" spans="1:17" x14ac:dyDescent="0.45">
      <c r="A10" s="1">
        <v>80</v>
      </c>
      <c r="B10" s="14">
        <f t="shared" si="5"/>
        <v>29.766666666666666</v>
      </c>
      <c r="C10" s="15">
        <f t="shared" si="6"/>
        <v>30.700000000000003</v>
      </c>
      <c r="D10" s="1">
        <v>30.8</v>
      </c>
      <c r="E10" s="1">
        <v>30.6</v>
      </c>
      <c r="F10" s="1">
        <v>30.7</v>
      </c>
      <c r="G10" s="15">
        <f t="shared" si="2"/>
        <v>30</v>
      </c>
      <c r="H10" s="1">
        <v>30</v>
      </c>
      <c r="I10" s="1">
        <v>30.1</v>
      </c>
      <c r="J10" s="1">
        <v>29.9</v>
      </c>
      <c r="K10" s="15">
        <f t="shared" si="3"/>
        <v>28.599999999999998</v>
      </c>
      <c r="L10" s="1">
        <v>28.5</v>
      </c>
      <c r="M10" s="1">
        <v>28.6</v>
      </c>
      <c r="N10" s="1">
        <v>28.7</v>
      </c>
      <c r="O10" s="15">
        <v>4.4962</v>
      </c>
      <c r="P10" s="15">
        <v>4.8000000000000001E-2</v>
      </c>
      <c r="Q10" s="15">
        <f t="shared" si="4"/>
        <v>0.2158176</v>
      </c>
    </row>
    <row r="11" spans="1:17" x14ac:dyDescent="0.45">
      <c r="A11" s="1">
        <v>90</v>
      </c>
      <c r="B11" s="14">
        <f t="shared" ref="B11" si="7">AVERAGE(C11, G11, K11)</f>
        <v>29.811111111111114</v>
      </c>
      <c r="C11" s="15">
        <f t="shared" ref="C11" si="8">AVERAGE(D11:F11)</f>
        <v>30.7</v>
      </c>
      <c r="D11" s="1">
        <v>30.7</v>
      </c>
      <c r="E11" s="1">
        <v>30.7</v>
      </c>
      <c r="F11" s="1">
        <v>30.7</v>
      </c>
      <c r="G11" s="15">
        <f t="shared" si="2"/>
        <v>30.100000000000005</v>
      </c>
      <c r="H11" s="1">
        <v>30.1</v>
      </c>
      <c r="I11" s="1">
        <v>30.1</v>
      </c>
      <c r="J11" s="1">
        <v>30.1</v>
      </c>
      <c r="K11" s="15">
        <f t="shared" si="3"/>
        <v>28.633333333333336</v>
      </c>
      <c r="L11" s="1">
        <v>28.7</v>
      </c>
      <c r="M11" s="1">
        <v>28.6</v>
      </c>
      <c r="N11" s="1">
        <v>28.6</v>
      </c>
      <c r="O11" s="15">
        <v>4.4962</v>
      </c>
      <c r="P11" s="15">
        <v>4.8009999999999997E-2</v>
      </c>
      <c r="Q11" s="15">
        <f t="shared" si="4"/>
        <v>0.21586256199999998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9E4D-1D11-4B3F-B474-D1A106E07F4F}">
  <sheetPr codeName="Sheet15"/>
  <dimension ref="A1:Q7"/>
  <sheetViews>
    <sheetView workbookViewId="0">
      <selection activeCell="M19" sqref="M19"/>
    </sheetView>
  </sheetViews>
  <sheetFormatPr defaultRowHeight="14.25" x14ac:dyDescent="0.45"/>
  <cols>
    <col min="1" max="1" width="9.06640625" style="1"/>
    <col min="2" max="2" width="9.06640625" style="14"/>
    <col min="3" max="3" width="9.06640625" style="15"/>
    <col min="4" max="6" width="9.06640625" style="1"/>
    <col min="7" max="7" width="9.06640625" style="15"/>
    <col min="8" max="10" width="9.06640625" style="1"/>
    <col min="11" max="11" width="9.06640625" style="15"/>
    <col min="12" max="14" width="9.06640625" style="1"/>
    <col min="15" max="16" width="9.06640625" style="15"/>
    <col min="17" max="17" width="11.19921875" style="15" bestFit="1" customWidth="1"/>
    <col min="18" max="16384" width="9.06640625" style="1"/>
  </cols>
  <sheetData>
    <row r="1" spans="1:17" ht="28.5" x14ac:dyDescent="0.45">
      <c r="A1" s="1" t="s">
        <v>29</v>
      </c>
      <c r="B1" s="14" t="s">
        <v>41</v>
      </c>
      <c r="C1" s="15" t="s">
        <v>42</v>
      </c>
      <c r="D1" s="1" t="s">
        <v>37</v>
      </c>
      <c r="E1" s="1" t="s">
        <v>37</v>
      </c>
      <c r="F1" s="1" t="s">
        <v>37</v>
      </c>
      <c r="G1" s="15" t="s">
        <v>43</v>
      </c>
      <c r="H1" s="1" t="s">
        <v>38</v>
      </c>
      <c r="I1" s="1" t="s">
        <v>38</v>
      </c>
      <c r="J1" s="1" t="s">
        <v>38</v>
      </c>
      <c r="K1" s="15" t="s">
        <v>44</v>
      </c>
      <c r="L1" s="1" t="s">
        <v>39</v>
      </c>
      <c r="M1" s="1" t="s">
        <v>39</v>
      </c>
      <c r="N1" s="1" t="s">
        <v>39</v>
      </c>
      <c r="O1" s="15" t="s">
        <v>26</v>
      </c>
      <c r="P1" s="15" t="s">
        <v>28</v>
      </c>
      <c r="Q1" s="15" t="s">
        <v>40</v>
      </c>
    </row>
    <row r="2" spans="1:17" x14ac:dyDescent="0.45">
      <c r="A2" s="1">
        <v>0</v>
      </c>
      <c r="B2" s="14">
        <f t="shared" ref="B2:B7" si="0">AVERAGE(C2, G2, K2)</f>
        <v>29.811111111111114</v>
      </c>
      <c r="C2" s="15">
        <f t="shared" ref="C2:C7" si="1">AVERAGE(D2:F2)</f>
        <v>30.7</v>
      </c>
      <c r="D2" s="1">
        <v>30.7</v>
      </c>
      <c r="E2" s="1">
        <v>30.7</v>
      </c>
      <c r="F2" s="1">
        <v>30.7</v>
      </c>
      <c r="G2" s="15">
        <f t="shared" ref="G2:G7" si="2">AVERAGE(H2:J2)</f>
        <v>30.100000000000005</v>
      </c>
      <c r="H2" s="1">
        <v>30.1</v>
      </c>
      <c r="I2" s="1">
        <v>30.1</v>
      </c>
      <c r="J2" s="1">
        <v>30.1</v>
      </c>
      <c r="K2" s="15">
        <f t="shared" ref="K2:K7" si="3">AVERAGE(L2:N2)</f>
        <v>28.633333333333336</v>
      </c>
      <c r="L2" s="1">
        <v>28.7</v>
      </c>
      <c r="M2" s="1">
        <v>28.6</v>
      </c>
      <c r="N2" s="1">
        <v>28.6</v>
      </c>
      <c r="O2" s="15">
        <v>4.9966999999999997</v>
      </c>
      <c r="P2" s="15">
        <v>5.339E-2</v>
      </c>
      <c r="Q2" s="15">
        <f>O2*P2</f>
        <v>0.26677381299999997</v>
      </c>
    </row>
    <row r="3" spans="1:17" x14ac:dyDescent="0.45">
      <c r="A3" s="1">
        <v>10</v>
      </c>
      <c r="B3" s="14">
        <f t="shared" si="0"/>
        <v>30.733333333333331</v>
      </c>
      <c r="C3" s="15">
        <f t="shared" si="1"/>
        <v>31.7</v>
      </c>
      <c r="D3" s="1">
        <v>31.8</v>
      </c>
      <c r="E3" s="1">
        <v>31.7</v>
      </c>
      <c r="F3" s="1">
        <v>31.6</v>
      </c>
      <c r="G3" s="15">
        <f t="shared" si="2"/>
        <v>30.899999999999995</v>
      </c>
      <c r="H3" s="1">
        <v>30.8</v>
      </c>
      <c r="I3" s="1">
        <v>31</v>
      </c>
      <c r="J3" s="1">
        <v>30.9</v>
      </c>
      <c r="K3" s="15">
        <f t="shared" si="3"/>
        <v>29.599999999999998</v>
      </c>
      <c r="L3" s="1">
        <v>29.7</v>
      </c>
      <c r="M3" s="1">
        <v>29.6</v>
      </c>
      <c r="N3" s="1">
        <v>29.5</v>
      </c>
      <c r="O3" s="15">
        <v>4.9969999999999999</v>
      </c>
      <c r="P3" s="15">
        <v>5.3519999999999998E-2</v>
      </c>
      <c r="Q3" s="15">
        <f t="shared" ref="Q3:Q7" si="4">O3*P3</f>
        <v>0.26743943999999997</v>
      </c>
    </row>
    <row r="4" spans="1:17" x14ac:dyDescent="0.45">
      <c r="A4" s="1">
        <v>20</v>
      </c>
      <c r="B4" s="14">
        <f t="shared" si="0"/>
        <v>30.811111111111106</v>
      </c>
      <c r="C4" s="15">
        <f t="shared" si="1"/>
        <v>31.899999999999995</v>
      </c>
      <c r="D4" s="1">
        <v>31.9</v>
      </c>
      <c r="E4" s="1">
        <v>31.9</v>
      </c>
      <c r="F4" s="1">
        <v>31.9</v>
      </c>
      <c r="G4" s="15">
        <f t="shared" si="2"/>
        <v>30.933333333333334</v>
      </c>
      <c r="H4" s="1">
        <v>30.9</v>
      </c>
      <c r="I4" s="1">
        <v>30.9</v>
      </c>
      <c r="J4" s="1">
        <v>31</v>
      </c>
      <c r="K4" s="15">
        <f t="shared" si="3"/>
        <v>29.599999999999998</v>
      </c>
      <c r="L4" s="1">
        <v>29.5</v>
      </c>
      <c r="M4" s="1">
        <v>29.6</v>
      </c>
      <c r="N4" s="1">
        <v>29.7</v>
      </c>
      <c r="O4" s="15">
        <v>4.9973000000000001</v>
      </c>
      <c r="P4" s="15">
        <v>5.3519999999999998E-2</v>
      </c>
      <c r="Q4" s="15">
        <f t="shared" si="4"/>
        <v>0.26745549600000001</v>
      </c>
    </row>
    <row r="5" spans="1:17" x14ac:dyDescent="0.45">
      <c r="A5" s="1">
        <v>30</v>
      </c>
      <c r="B5" s="14">
        <f t="shared" si="0"/>
        <v>30.988888888888891</v>
      </c>
      <c r="C5" s="15">
        <f t="shared" si="1"/>
        <v>32.1</v>
      </c>
      <c r="D5" s="1">
        <v>32</v>
      </c>
      <c r="E5" s="1">
        <v>32.1</v>
      </c>
      <c r="F5" s="1">
        <v>32.200000000000003</v>
      </c>
      <c r="G5" s="15">
        <f t="shared" si="2"/>
        <v>30.966666666666669</v>
      </c>
      <c r="H5" s="1">
        <v>31</v>
      </c>
      <c r="I5" s="1">
        <v>31</v>
      </c>
      <c r="J5" s="1">
        <v>30.9</v>
      </c>
      <c r="K5" s="15">
        <f t="shared" si="3"/>
        <v>29.900000000000002</v>
      </c>
      <c r="L5" s="1">
        <v>29.8</v>
      </c>
      <c r="M5" s="1">
        <v>29.9</v>
      </c>
      <c r="N5" s="1">
        <v>30</v>
      </c>
      <c r="O5" s="15">
        <v>4.9976000000000003</v>
      </c>
      <c r="P5" s="15">
        <v>5.3650000000000003E-2</v>
      </c>
      <c r="Q5" s="15">
        <f t="shared" si="4"/>
        <v>0.26812124000000004</v>
      </c>
    </row>
    <row r="6" spans="1:17" x14ac:dyDescent="0.45">
      <c r="A6" s="1">
        <v>40</v>
      </c>
      <c r="B6" s="14">
        <f t="shared" si="0"/>
        <v>31.044444444444448</v>
      </c>
      <c r="C6" s="15">
        <f t="shared" si="1"/>
        <v>32.133333333333333</v>
      </c>
      <c r="D6" s="1">
        <v>32.1</v>
      </c>
      <c r="E6" s="1">
        <v>32.1</v>
      </c>
      <c r="F6" s="1">
        <v>32.200000000000003</v>
      </c>
      <c r="G6" s="15">
        <f t="shared" si="2"/>
        <v>31.066666666666666</v>
      </c>
      <c r="H6" s="1">
        <v>31.1</v>
      </c>
      <c r="I6" s="1">
        <v>31</v>
      </c>
      <c r="J6" s="1">
        <v>31.1</v>
      </c>
      <c r="K6" s="15">
        <f t="shared" si="3"/>
        <v>29.933333333333334</v>
      </c>
      <c r="L6" s="1">
        <v>29.9</v>
      </c>
      <c r="M6" s="1">
        <v>30</v>
      </c>
      <c r="N6" s="1">
        <v>29.9</v>
      </c>
      <c r="O6" s="15">
        <v>4.9978999999999996</v>
      </c>
      <c r="P6" s="15">
        <v>5.3699999999999998E-2</v>
      </c>
      <c r="Q6" s="15">
        <f t="shared" si="4"/>
        <v>0.26838722999999998</v>
      </c>
    </row>
    <row r="7" spans="1:17" x14ac:dyDescent="0.45">
      <c r="A7" s="1">
        <v>50</v>
      </c>
      <c r="B7" s="14">
        <f t="shared" si="0"/>
        <v>31.066666666666666</v>
      </c>
      <c r="C7" s="15">
        <f t="shared" si="1"/>
        <v>32.133333333333333</v>
      </c>
      <c r="D7" s="1">
        <v>32.200000000000003</v>
      </c>
      <c r="E7" s="1">
        <v>32.1</v>
      </c>
      <c r="F7" s="1">
        <v>32.1</v>
      </c>
      <c r="G7" s="15">
        <f t="shared" si="2"/>
        <v>31.066666666666666</v>
      </c>
      <c r="H7" s="1">
        <v>31</v>
      </c>
      <c r="I7" s="1">
        <v>31.1</v>
      </c>
      <c r="J7" s="1">
        <v>31.1</v>
      </c>
      <c r="K7" s="15">
        <f t="shared" si="3"/>
        <v>30</v>
      </c>
      <c r="L7" s="1">
        <v>30</v>
      </c>
      <c r="M7" s="1">
        <v>29.9</v>
      </c>
      <c r="N7" s="1">
        <v>30.1</v>
      </c>
      <c r="O7" s="15">
        <v>4.9981999999999998</v>
      </c>
      <c r="P7" s="15">
        <v>5.4370000000000002E-2</v>
      </c>
      <c r="Q7" s="15">
        <f t="shared" si="4"/>
        <v>0.27175213399999998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E7D36-94DC-4937-9E82-D9B900699669}">
  <sheetPr codeName="Sheet17"/>
  <dimension ref="A1:Q9"/>
  <sheetViews>
    <sheetView workbookViewId="0">
      <selection activeCell="B8" sqref="B8"/>
    </sheetView>
  </sheetViews>
  <sheetFormatPr defaultRowHeight="14.25" x14ac:dyDescent="0.45"/>
  <cols>
    <col min="1" max="1" width="9.06640625" style="1"/>
    <col min="2" max="2" width="9.06640625" style="14"/>
    <col min="3" max="3" width="9.06640625" style="15"/>
    <col min="4" max="6" width="9.06640625" style="1"/>
    <col min="7" max="7" width="9.06640625" style="15"/>
    <col min="8" max="10" width="9.06640625" style="1"/>
    <col min="11" max="11" width="9.06640625" style="15"/>
    <col min="12" max="14" width="9.06640625" style="1"/>
    <col min="15" max="17" width="9.06640625" style="15"/>
    <col min="18" max="16384" width="9.06640625" style="1"/>
  </cols>
  <sheetData>
    <row r="1" spans="1:17" ht="28.5" x14ac:dyDescent="0.45">
      <c r="A1" s="1" t="s">
        <v>29</v>
      </c>
      <c r="B1" s="14" t="s">
        <v>41</v>
      </c>
      <c r="C1" s="15" t="s">
        <v>42</v>
      </c>
      <c r="D1" s="1" t="s">
        <v>37</v>
      </c>
      <c r="E1" s="1" t="s">
        <v>37</v>
      </c>
      <c r="F1" s="1" t="s">
        <v>37</v>
      </c>
      <c r="G1" s="15" t="s">
        <v>43</v>
      </c>
      <c r="H1" s="1" t="s">
        <v>38</v>
      </c>
      <c r="I1" s="1" t="s">
        <v>38</v>
      </c>
      <c r="J1" s="1" t="s">
        <v>38</v>
      </c>
      <c r="K1" s="15" t="s">
        <v>44</v>
      </c>
      <c r="L1" s="1" t="s">
        <v>39</v>
      </c>
      <c r="M1" s="1" t="s">
        <v>39</v>
      </c>
      <c r="N1" s="1" t="s">
        <v>39</v>
      </c>
      <c r="O1" s="15" t="s">
        <v>26</v>
      </c>
      <c r="P1" s="15" t="s">
        <v>28</v>
      </c>
      <c r="Q1" s="15" t="s">
        <v>40</v>
      </c>
    </row>
    <row r="2" spans="1:17" x14ac:dyDescent="0.45">
      <c r="A2" s="1">
        <v>0</v>
      </c>
      <c r="B2" s="14">
        <f>AVERAGE(C2, G2, K2)</f>
        <v>24.511111111111109</v>
      </c>
      <c r="C2" s="15">
        <f>AVERAGE(D2:F2)</f>
        <v>25.066666666666666</v>
      </c>
      <c r="D2" s="1">
        <v>25</v>
      </c>
      <c r="E2" s="1">
        <v>25.1</v>
      </c>
      <c r="F2" s="1">
        <v>25.1</v>
      </c>
      <c r="G2" s="15">
        <f>AVERAGE(H2:J2)</f>
        <v>24.200000000000003</v>
      </c>
      <c r="H2" s="1">
        <v>24.3</v>
      </c>
      <c r="I2" s="1">
        <v>24.1</v>
      </c>
      <c r="J2" s="1">
        <v>24.2</v>
      </c>
      <c r="K2" s="15">
        <f>AVERAGE(L2:N2)</f>
        <v>24.266666666666666</v>
      </c>
      <c r="L2" s="1">
        <v>24.2</v>
      </c>
      <c r="M2" s="1">
        <v>24.3</v>
      </c>
      <c r="N2" s="1">
        <v>24.3</v>
      </c>
      <c r="O2" s="15">
        <v>5.4950999999999999</v>
      </c>
      <c r="P2" s="15">
        <v>5.7329999999999999E-2</v>
      </c>
      <c r="Q2" s="15">
        <f>O2*P2</f>
        <v>0.31503408299999996</v>
      </c>
    </row>
    <row r="3" spans="1:17" x14ac:dyDescent="0.45">
      <c r="A3" s="1">
        <v>10</v>
      </c>
      <c r="B3" s="14">
        <f t="shared" ref="B3:B8" si="0">AVERAGE(C3, G3, K3)</f>
        <v>28.133333333333336</v>
      </c>
      <c r="C3" s="15">
        <f t="shared" ref="C3:C8" si="1">AVERAGE(D3:F3)</f>
        <v>29.366666666666664</v>
      </c>
      <c r="D3" s="1">
        <v>29.3</v>
      </c>
      <c r="E3" s="1">
        <v>29.4</v>
      </c>
      <c r="F3" s="1">
        <v>29.4</v>
      </c>
      <c r="G3" s="15">
        <f t="shared" ref="G3:G9" si="2">AVERAGE(H3:J3)</f>
        <v>28.066666666666666</v>
      </c>
      <c r="H3" s="1">
        <v>28.1</v>
      </c>
      <c r="I3" s="1">
        <v>28.1</v>
      </c>
      <c r="J3" s="1">
        <v>28</v>
      </c>
      <c r="K3" s="15">
        <f t="shared" ref="K3:K9" si="3">AVERAGE(L3:N3)</f>
        <v>26.966666666666669</v>
      </c>
      <c r="L3" s="1">
        <v>27</v>
      </c>
      <c r="M3" s="1">
        <v>26.9</v>
      </c>
      <c r="N3" s="1">
        <v>27</v>
      </c>
      <c r="O3" s="15">
        <v>5.4960000000000004</v>
      </c>
      <c r="P3" s="15">
        <v>5.8119999999999998E-2</v>
      </c>
      <c r="Q3" s="15">
        <f t="shared" ref="Q3:Q9" si="4">O3*P3</f>
        <v>0.31942752000000002</v>
      </c>
    </row>
    <row r="4" spans="1:17" x14ac:dyDescent="0.45">
      <c r="A4" s="1">
        <v>20</v>
      </c>
      <c r="B4" s="14">
        <f t="shared" si="0"/>
        <v>29.8</v>
      </c>
      <c r="C4" s="15">
        <f t="shared" si="1"/>
        <v>30.933333333333334</v>
      </c>
      <c r="D4" s="1">
        <v>30.9</v>
      </c>
      <c r="E4" s="1">
        <v>30.9</v>
      </c>
      <c r="F4" s="1">
        <v>31</v>
      </c>
      <c r="G4" s="15">
        <f t="shared" si="2"/>
        <v>29.8</v>
      </c>
      <c r="H4" s="1">
        <v>29.8</v>
      </c>
      <c r="I4" s="1">
        <v>29.9</v>
      </c>
      <c r="J4" s="1">
        <v>29.7</v>
      </c>
      <c r="K4" s="15">
        <f t="shared" si="3"/>
        <v>28.666666666666668</v>
      </c>
      <c r="L4" s="1">
        <v>28.7</v>
      </c>
      <c r="M4" s="1">
        <v>28.7</v>
      </c>
      <c r="N4" s="1">
        <v>28.6</v>
      </c>
      <c r="O4" s="15">
        <v>5.4965000000000002</v>
      </c>
      <c r="P4" s="15">
        <v>5.8659999999999997E-2</v>
      </c>
      <c r="Q4" s="15">
        <f t="shared" si="4"/>
        <v>0.32242469000000001</v>
      </c>
    </row>
    <row r="5" spans="1:17" x14ac:dyDescent="0.45">
      <c r="A5" s="1">
        <v>30</v>
      </c>
      <c r="B5" s="14">
        <f t="shared" si="0"/>
        <v>30.955555555555559</v>
      </c>
      <c r="C5" s="15">
        <f t="shared" si="1"/>
        <v>32.133333333333333</v>
      </c>
      <c r="D5" s="1">
        <v>32.200000000000003</v>
      </c>
      <c r="E5" s="1">
        <v>32.1</v>
      </c>
      <c r="F5" s="1">
        <v>32.1</v>
      </c>
      <c r="G5" s="15">
        <f t="shared" si="2"/>
        <v>31.033333333333331</v>
      </c>
      <c r="H5" s="1">
        <v>31.1</v>
      </c>
      <c r="I5" s="1">
        <v>31</v>
      </c>
      <c r="J5" s="1">
        <v>31</v>
      </c>
      <c r="K5" s="15">
        <f t="shared" si="3"/>
        <v>29.700000000000003</v>
      </c>
      <c r="L5" s="1">
        <v>29.6</v>
      </c>
      <c r="M5" s="1">
        <v>29.8</v>
      </c>
      <c r="N5" s="1">
        <v>29.7</v>
      </c>
      <c r="O5" s="15">
        <v>5.4966999999999997</v>
      </c>
      <c r="P5" s="15">
        <v>5.8979999999999998E-2</v>
      </c>
      <c r="Q5" s="15">
        <f t="shared" si="4"/>
        <v>0.32419536599999998</v>
      </c>
    </row>
    <row r="6" spans="1:17" x14ac:dyDescent="0.45">
      <c r="A6" s="1">
        <v>40</v>
      </c>
      <c r="B6" s="14">
        <f t="shared" si="0"/>
        <v>31.377777777777776</v>
      </c>
      <c r="C6" s="15">
        <f t="shared" si="1"/>
        <v>32.466666666666669</v>
      </c>
      <c r="D6" s="1">
        <v>32.4</v>
      </c>
      <c r="E6" s="1">
        <v>32.5</v>
      </c>
      <c r="F6" s="1">
        <v>32.5</v>
      </c>
      <c r="G6" s="15">
        <f t="shared" si="2"/>
        <v>31.566666666666666</v>
      </c>
      <c r="H6" s="1">
        <v>31.6</v>
      </c>
      <c r="I6" s="1">
        <v>31.5</v>
      </c>
      <c r="J6" s="1">
        <v>31.6</v>
      </c>
      <c r="K6" s="15">
        <f t="shared" si="3"/>
        <v>30.099999999999998</v>
      </c>
      <c r="L6" s="1">
        <v>30.1</v>
      </c>
      <c r="M6" s="1">
        <v>30.2</v>
      </c>
      <c r="N6" s="1">
        <v>30</v>
      </c>
      <c r="O6" s="15">
        <v>5.4965999999999999</v>
      </c>
      <c r="P6" s="15">
        <v>5.9159999999999997E-2</v>
      </c>
      <c r="Q6" s="15">
        <f t="shared" si="4"/>
        <v>0.32517885599999996</v>
      </c>
    </row>
    <row r="7" spans="1:17" x14ac:dyDescent="0.45">
      <c r="A7" s="1">
        <v>50</v>
      </c>
      <c r="B7" s="14">
        <f t="shared" si="0"/>
        <v>31.888888888888886</v>
      </c>
      <c r="C7" s="15">
        <f t="shared" si="1"/>
        <v>33.200000000000003</v>
      </c>
      <c r="D7" s="1">
        <v>33.200000000000003</v>
      </c>
      <c r="E7" s="1">
        <v>33.200000000000003</v>
      </c>
      <c r="F7" s="1">
        <v>33.200000000000003</v>
      </c>
      <c r="G7" s="15">
        <f t="shared" si="2"/>
        <v>31.899999999999995</v>
      </c>
      <c r="H7" s="1">
        <v>31.9</v>
      </c>
      <c r="I7" s="1">
        <v>31.9</v>
      </c>
      <c r="J7" s="1">
        <v>31.9</v>
      </c>
      <c r="K7" s="15">
        <f t="shared" si="3"/>
        <v>30.566666666666666</v>
      </c>
      <c r="L7" s="1">
        <v>30.6</v>
      </c>
      <c r="M7" s="1">
        <v>30.5</v>
      </c>
      <c r="N7" s="1">
        <v>30.6</v>
      </c>
      <c r="O7" s="15">
        <v>5.4968000000000004</v>
      </c>
      <c r="P7" s="15">
        <v>5.9270000000000003E-2</v>
      </c>
      <c r="Q7" s="15">
        <f t="shared" si="4"/>
        <v>0.32579533600000005</v>
      </c>
    </row>
    <row r="8" spans="1:17" x14ac:dyDescent="0.45">
      <c r="A8" s="1">
        <v>60</v>
      </c>
      <c r="B8" s="14">
        <f t="shared" si="0"/>
        <v>32.06666666666667</v>
      </c>
      <c r="C8" s="15">
        <f t="shared" si="1"/>
        <v>33.5</v>
      </c>
      <c r="D8" s="1">
        <v>33.4</v>
      </c>
      <c r="E8" s="1">
        <v>33.6</v>
      </c>
      <c r="F8" s="1">
        <v>33.5</v>
      </c>
      <c r="G8" s="15">
        <f t="shared" si="2"/>
        <v>32.033333333333331</v>
      </c>
      <c r="H8" s="1">
        <v>32.1</v>
      </c>
      <c r="I8" s="1">
        <v>32</v>
      </c>
      <c r="J8" s="1">
        <v>32</v>
      </c>
      <c r="K8" s="15">
        <f t="shared" si="3"/>
        <v>30.666666666666668</v>
      </c>
      <c r="L8" s="1">
        <v>30.7</v>
      </c>
      <c r="M8" s="1">
        <v>30.6</v>
      </c>
      <c r="N8" s="1">
        <v>30.7</v>
      </c>
      <c r="O8" s="15">
        <v>5.4968000000000004</v>
      </c>
      <c r="P8" s="15">
        <v>5.9330000000000001E-2</v>
      </c>
      <c r="Q8" s="15">
        <f t="shared" si="4"/>
        <v>0.32612514400000003</v>
      </c>
    </row>
    <row r="9" spans="1:17" x14ac:dyDescent="0.45">
      <c r="A9" s="1">
        <v>70</v>
      </c>
      <c r="B9" s="14">
        <f t="shared" ref="B9" si="5">AVERAGE(C9, G9, K9)</f>
        <v>32.255555555555553</v>
      </c>
      <c r="C9" s="15">
        <f t="shared" ref="C9" si="6">AVERAGE(D9:F9)</f>
        <v>33.833333333333329</v>
      </c>
      <c r="D9" s="1">
        <v>33.799999999999997</v>
      </c>
      <c r="E9" s="1">
        <v>33.9</v>
      </c>
      <c r="F9" s="1">
        <v>33.799999999999997</v>
      </c>
      <c r="G9" s="15">
        <f t="shared" si="2"/>
        <v>32.233333333333334</v>
      </c>
      <c r="H9" s="1">
        <v>32.299999999999997</v>
      </c>
      <c r="I9" s="1">
        <v>32.200000000000003</v>
      </c>
      <c r="J9" s="1">
        <v>32.200000000000003</v>
      </c>
      <c r="K9" s="15">
        <f t="shared" si="3"/>
        <v>30.7</v>
      </c>
      <c r="L9" s="1">
        <v>30.7</v>
      </c>
      <c r="M9" s="1">
        <v>30.8</v>
      </c>
      <c r="N9" s="1">
        <v>30.6</v>
      </c>
      <c r="O9" s="15">
        <v>5.4969000000000001</v>
      </c>
      <c r="P9" s="15">
        <v>5.9380000000000002E-2</v>
      </c>
      <c r="Q9" s="15">
        <f t="shared" si="4"/>
        <v>0.32640592200000001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8DA6-25D9-4FAF-838B-10A2BE504F77}">
  <sheetPr codeName="Sheet18"/>
  <dimension ref="A1:Q8"/>
  <sheetViews>
    <sheetView workbookViewId="0">
      <selection activeCell="F21" sqref="F21"/>
    </sheetView>
  </sheetViews>
  <sheetFormatPr defaultRowHeight="14.25" x14ac:dyDescent="0.45"/>
  <cols>
    <col min="1" max="1" width="8.53125" style="1" customWidth="1"/>
    <col min="2" max="2" width="9.06640625" style="14"/>
    <col min="3" max="3" width="9.06640625" style="15"/>
    <col min="4" max="6" width="9.06640625" style="1"/>
    <col min="7" max="7" width="9.06640625" style="15"/>
    <col min="8" max="10" width="9.06640625" style="1"/>
    <col min="11" max="11" width="9.06640625" style="15"/>
    <col min="12" max="14" width="9.06640625" style="1"/>
    <col min="15" max="17" width="9.06640625" style="15"/>
    <col min="18" max="16384" width="9.06640625" style="1"/>
  </cols>
  <sheetData>
    <row r="1" spans="1:17" ht="28.5" x14ac:dyDescent="0.45">
      <c r="A1" s="1" t="s">
        <v>29</v>
      </c>
      <c r="B1" s="14" t="s">
        <v>41</v>
      </c>
      <c r="C1" s="15" t="s">
        <v>42</v>
      </c>
      <c r="D1" s="1" t="s">
        <v>37</v>
      </c>
      <c r="E1" s="1" t="s">
        <v>37</v>
      </c>
      <c r="F1" s="1" t="s">
        <v>37</v>
      </c>
      <c r="G1" s="15" t="s">
        <v>43</v>
      </c>
      <c r="H1" s="1" t="s">
        <v>38</v>
      </c>
      <c r="I1" s="1" t="s">
        <v>38</v>
      </c>
      <c r="J1" s="1" t="s">
        <v>38</v>
      </c>
      <c r="K1" s="15" t="s">
        <v>44</v>
      </c>
      <c r="L1" s="1" t="s">
        <v>39</v>
      </c>
      <c r="M1" s="1" t="s">
        <v>39</v>
      </c>
      <c r="N1" s="1" t="s">
        <v>39</v>
      </c>
      <c r="O1" s="15" t="s">
        <v>26</v>
      </c>
      <c r="P1" s="15" t="s">
        <v>28</v>
      </c>
      <c r="Q1" s="15" t="s">
        <v>40</v>
      </c>
    </row>
    <row r="2" spans="1:17" x14ac:dyDescent="0.45">
      <c r="A2" s="1">
        <v>0</v>
      </c>
      <c r="B2" s="14">
        <f t="shared" ref="B2" si="0">AVERAGE(C2, G2, K2)</f>
        <v>31.655555555555555</v>
      </c>
      <c r="C2" s="15">
        <f t="shared" ref="C2" si="1">AVERAGE(D2:F2)</f>
        <v>32.966666666666669</v>
      </c>
      <c r="D2" s="1">
        <v>33</v>
      </c>
      <c r="E2" s="1">
        <v>33</v>
      </c>
      <c r="F2" s="1">
        <v>32.9</v>
      </c>
      <c r="G2" s="15">
        <f t="shared" ref="G2:G8" si="2">AVERAGE(H2:J2)</f>
        <v>31.933333333333334</v>
      </c>
      <c r="H2" s="1">
        <v>32</v>
      </c>
      <c r="I2" s="1">
        <v>31.9</v>
      </c>
      <c r="J2" s="1">
        <v>31.9</v>
      </c>
      <c r="K2" s="15">
        <f t="shared" ref="K2:K8" si="3">AVERAGE(L2:N2)</f>
        <v>30.066666666666666</v>
      </c>
      <c r="L2" s="1">
        <v>30.2</v>
      </c>
      <c r="M2" s="1">
        <v>30</v>
      </c>
      <c r="N2" s="1">
        <v>30</v>
      </c>
      <c r="O2" s="15">
        <v>5.9969000000000001</v>
      </c>
      <c r="P2" s="15">
        <v>6.4729999999999996E-2</v>
      </c>
      <c r="Q2" s="15">
        <f t="shared" ref="Q2:Q8" si="4">O2*P2</f>
        <v>0.38817933699999996</v>
      </c>
    </row>
    <row r="3" spans="1:17" x14ac:dyDescent="0.45">
      <c r="A3" s="1">
        <v>10</v>
      </c>
      <c r="B3" s="14">
        <f t="shared" ref="B3:B6" si="5">AVERAGE(C3, G3, K3)</f>
        <v>32.488888888888887</v>
      </c>
      <c r="C3" s="15">
        <f t="shared" ref="C3:C6" si="6">AVERAGE(D3:F3)</f>
        <v>34.1</v>
      </c>
      <c r="D3" s="1">
        <v>34</v>
      </c>
      <c r="E3" s="1">
        <v>34.200000000000003</v>
      </c>
      <c r="F3" s="1">
        <v>34.1</v>
      </c>
      <c r="G3" s="15">
        <f t="shared" si="2"/>
        <v>32.766666666666666</v>
      </c>
      <c r="H3" s="1">
        <v>32.799999999999997</v>
      </c>
      <c r="I3" s="1">
        <v>32.799999999999997</v>
      </c>
      <c r="J3" s="1">
        <v>32.700000000000003</v>
      </c>
      <c r="K3" s="15">
        <f t="shared" si="3"/>
        <v>30.599999999999998</v>
      </c>
      <c r="L3" s="1">
        <v>30.6</v>
      </c>
      <c r="M3" s="1">
        <v>30.7</v>
      </c>
      <c r="N3" s="1">
        <v>30.5</v>
      </c>
      <c r="O3" s="15">
        <v>5.9972000000000003</v>
      </c>
      <c r="P3" s="15">
        <v>6.497E-2</v>
      </c>
      <c r="Q3" s="15">
        <f t="shared" si="4"/>
        <v>0.389638084</v>
      </c>
    </row>
    <row r="4" spans="1:17" x14ac:dyDescent="0.45">
      <c r="A4" s="1">
        <v>20</v>
      </c>
      <c r="B4" s="14">
        <f t="shared" si="5"/>
        <v>32.9</v>
      </c>
      <c r="C4" s="15">
        <f t="shared" si="6"/>
        <v>34.533333333333331</v>
      </c>
      <c r="D4" s="1">
        <v>34.5</v>
      </c>
      <c r="E4" s="1">
        <v>34.6</v>
      </c>
      <c r="F4" s="1">
        <v>34.5</v>
      </c>
      <c r="G4" s="15">
        <f t="shared" si="2"/>
        <v>33.266666666666666</v>
      </c>
      <c r="H4" s="1">
        <v>33.299999999999997</v>
      </c>
      <c r="I4" s="1">
        <v>33.299999999999997</v>
      </c>
      <c r="J4" s="1">
        <v>33.200000000000003</v>
      </c>
      <c r="K4" s="15">
        <f t="shared" si="3"/>
        <v>30.900000000000002</v>
      </c>
      <c r="L4" s="1">
        <v>30.8</v>
      </c>
      <c r="M4" s="1">
        <v>30.9</v>
      </c>
      <c r="N4" s="1">
        <v>31</v>
      </c>
      <c r="O4" s="15">
        <v>5.9970999999999997</v>
      </c>
      <c r="P4" s="15">
        <v>6.5119999999999997E-2</v>
      </c>
      <c r="Q4" s="15">
        <f t="shared" si="4"/>
        <v>0.39053115199999994</v>
      </c>
    </row>
    <row r="5" spans="1:17" x14ac:dyDescent="0.45">
      <c r="A5" s="1">
        <v>30</v>
      </c>
      <c r="B5" s="14">
        <f t="shared" si="5"/>
        <v>33.31111111111111</v>
      </c>
      <c r="C5" s="15">
        <f t="shared" si="6"/>
        <v>35.233333333333334</v>
      </c>
      <c r="D5" s="1">
        <v>35.299999999999997</v>
      </c>
      <c r="E5" s="1">
        <v>35.200000000000003</v>
      </c>
      <c r="F5" s="1">
        <v>35.200000000000003</v>
      </c>
      <c r="G5" s="15">
        <f t="shared" si="2"/>
        <v>33.533333333333331</v>
      </c>
      <c r="H5" s="1">
        <v>33.6</v>
      </c>
      <c r="I5" s="1">
        <v>33.5</v>
      </c>
      <c r="J5" s="1">
        <v>33.5</v>
      </c>
      <c r="K5" s="15">
        <f t="shared" si="3"/>
        <v>31.166666666666668</v>
      </c>
      <c r="L5" s="1">
        <v>31.2</v>
      </c>
      <c r="M5" s="1">
        <v>31.2</v>
      </c>
      <c r="N5" s="1">
        <v>31.1</v>
      </c>
      <c r="O5" s="15">
        <v>5.9969999999999999</v>
      </c>
      <c r="P5" s="15">
        <v>6.5180000000000002E-2</v>
      </c>
      <c r="Q5" s="15">
        <f t="shared" si="4"/>
        <v>0.39088445999999999</v>
      </c>
    </row>
    <row r="6" spans="1:17" x14ac:dyDescent="0.45">
      <c r="A6" s="1">
        <v>40</v>
      </c>
      <c r="B6" s="14">
        <f t="shared" si="5"/>
        <v>33.633333333333333</v>
      </c>
      <c r="C6" s="15">
        <f t="shared" si="6"/>
        <v>35.033333333333331</v>
      </c>
      <c r="D6" s="1">
        <v>35</v>
      </c>
      <c r="E6" s="1">
        <v>35.1</v>
      </c>
      <c r="F6" s="1">
        <v>35</v>
      </c>
      <c r="G6" s="15">
        <f t="shared" si="2"/>
        <v>33.833333333333336</v>
      </c>
      <c r="H6" s="1">
        <v>33.700000000000003</v>
      </c>
      <c r="I6" s="1">
        <v>33.799999999999997</v>
      </c>
      <c r="J6" s="1">
        <v>34</v>
      </c>
      <c r="K6" s="15">
        <f t="shared" si="3"/>
        <v>32.033333333333331</v>
      </c>
      <c r="L6" s="1">
        <v>32</v>
      </c>
      <c r="M6" s="1">
        <v>32.1</v>
      </c>
      <c r="N6" s="1">
        <v>32</v>
      </c>
      <c r="O6" s="15">
        <v>5.9969999999999999</v>
      </c>
      <c r="P6" s="15">
        <v>6.5210000000000004E-2</v>
      </c>
      <c r="Q6" s="15">
        <f t="shared" si="4"/>
        <v>0.39106436999999999</v>
      </c>
    </row>
    <row r="7" spans="1:17" x14ac:dyDescent="0.45">
      <c r="A7" s="1">
        <v>50</v>
      </c>
      <c r="B7" s="14">
        <f t="shared" ref="B7:B8" si="7">AVERAGE(C7, G7, K7)</f>
        <v>33.755555555555553</v>
      </c>
      <c r="C7" s="15">
        <f t="shared" ref="C7:C8" si="8">AVERAGE(D7:F7)</f>
        <v>35.666666666666671</v>
      </c>
      <c r="D7" s="1">
        <v>35.700000000000003</v>
      </c>
      <c r="E7" s="1">
        <v>35.6</v>
      </c>
      <c r="F7" s="1">
        <v>35.700000000000003</v>
      </c>
      <c r="G7" s="15">
        <f t="shared" si="2"/>
        <v>33.9</v>
      </c>
      <c r="H7" s="1">
        <v>34</v>
      </c>
      <c r="I7" s="1">
        <v>33.9</v>
      </c>
      <c r="J7" s="1">
        <v>33.799999999999997</v>
      </c>
      <c r="K7" s="15">
        <f t="shared" si="3"/>
        <v>31.7</v>
      </c>
      <c r="L7" s="1">
        <v>31.6</v>
      </c>
      <c r="M7" s="1">
        <v>31.7</v>
      </c>
      <c r="N7" s="1">
        <v>31.8</v>
      </c>
      <c r="O7" s="15">
        <v>5.9969999999999999</v>
      </c>
      <c r="P7" s="15">
        <v>6.5240000000000006E-2</v>
      </c>
      <c r="Q7" s="15">
        <f t="shared" si="4"/>
        <v>0.39124428000000006</v>
      </c>
    </row>
    <row r="8" spans="1:17" x14ac:dyDescent="0.45">
      <c r="A8" s="1">
        <v>60</v>
      </c>
      <c r="B8" s="14">
        <f t="shared" si="7"/>
        <v>33.877777777777773</v>
      </c>
      <c r="C8" s="15">
        <f t="shared" si="8"/>
        <v>35.1</v>
      </c>
      <c r="D8" s="1">
        <v>35.200000000000003</v>
      </c>
      <c r="E8" s="1">
        <v>35</v>
      </c>
      <c r="F8" s="1">
        <v>35.1</v>
      </c>
      <c r="G8" s="15">
        <f t="shared" si="2"/>
        <v>33.9</v>
      </c>
      <c r="H8" s="1">
        <v>33.9</v>
      </c>
      <c r="I8" s="1">
        <v>33.799999999999997</v>
      </c>
      <c r="J8" s="1">
        <v>34</v>
      </c>
      <c r="K8" s="15">
        <f t="shared" si="3"/>
        <v>32.633333333333333</v>
      </c>
      <c r="L8" s="1">
        <v>32.6</v>
      </c>
      <c r="M8" s="1">
        <v>32.799999999999997</v>
      </c>
      <c r="N8" s="1">
        <v>32.5</v>
      </c>
      <c r="O8" s="15">
        <v>5.9969999999999999</v>
      </c>
      <c r="P8" s="15">
        <v>6.5250000000000002E-2</v>
      </c>
      <c r="Q8" s="15">
        <f t="shared" si="4"/>
        <v>0.39130425000000002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D98C7-E11A-4D0E-8643-83FC06B5A6DD}">
  <sheetPr codeName="Sheet14"/>
  <dimension ref="A1:Q10"/>
  <sheetViews>
    <sheetView workbookViewId="0">
      <selection activeCell="G21" sqref="G21"/>
    </sheetView>
  </sheetViews>
  <sheetFormatPr defaultRowHeight="14.25" x14ac:dyDescent="0.45"/>
  <cols>
    <col min="1" max="1" width="9.06640625" style="1"/>
    <col min="2" max="2" width="9.06640625" style="14"/>
    <col min="3" max="3" width="9.06640625" style="15"/>
    <col min="4" max="6" width="9.06640625" style="1"/>
    <col min="7" max="7" width="9.06640625" style="15"/>
    <col min="8" max="10" width="9.06640625" style="1"/>
    <col min="11" max="11" width="9.06640625" style="15"/>
    <col min="12" max="14" width="9.06640625" style="1"/>
    <col min="15" max="17" width="9.06640625" style="15"/>
    <col min="18" max="16384" width="9.06640625" style="1"/>
  </cols>
  <sheetData>
    <row r="1" spans="1:17" ht="28.5" x14ac:dyDescent="0.45">
      <c r="A1" s="1" t="s">
        <v>29</v>
      </c>
      <c r="B1" s="14" t="s">
        <v>41</v>
      </c>
      <c r="C1" s="15" t="s">
        <v>42</v>
      </c>
      <c r="D1" s="1" t="s">
        <v>37</v>
      </c>
      <c r="E1" s="1" t="s">
        <v>37</v>
      </c>
      <c r="F1" s="1" t="s">
        <v>37</v>
      </c>
      <c r="G1" s="15" t="s">
        <v>43</v>
      </c>
      <c r="H1" s="1" t="s">
        <v>38</v>
      </c>
      <c r="I1" s="1" t="s">
        <v>38</v>
      </c>
      <c r="J1" s="1" t="s">
        <v>38</v>
      </c>
      <c r="K1" s="15" t="s">
        <v>44</v>
      </c>
      <c r="L1" s="1" t="s">
        <v>39</v>
      </c>
      <c r="M1" s="1" t="s">
        <v>39</v>
      </c>
      <c r="N1" s="1" t="s">
        <v>39</v>
      </c>
      <c r="O1" s="15" t="s">
        <v>26</v>
      </c>
      <c r="P1" s="15" t="s">
        <v>28</v>
      </c>
      <c r="Q1" s="15" t="s">
        <v>40</v>
      </c>
    </row>
    <row r="2" spans="1:17" x14ac:dyDescent="0.45">
      <c r="A2" s="1">
        <v>0</v>
      </c>
      <c r="B2" s="14">
        <f>AVERAGE(C2, G2, K2)</f>
        <v>24.766666666666666</v>
      </c>
      <c r="C2" s="15">
        <f>AVERAGE(D2:F2)</f>
        <v>24.533333333333331</v>
      </c>
      <c r="D2" s="1">
        <v>24.5</v>
      </c>
      <c r="E2" s="1">
        <v>24.6</v>
      </c>
      <c r="F2" s="1">
        <v>24.5</v>
      </c>
      <c r="G2" s="15">
        <f>AVERAGE(H2:J2)</f>
        <v>24.966666666666669</v>
      </c>
      <c r="H2" s="1">
        <v>25</v>
      </c>
      <c r="I2" s="1">
        <v>25</v>
      </c>
      <c r="J2" s="1">
        <v>24.9</v>
      </c>
      <c r="K2" s="15">
        <f>AVERAGE(L2:N2)</f>
        <v>24.8</v>
      </c>
      <c r="L2" s="1">
        <v>24.9</v>
      </c>
      <c r="M2" s="1">
        <v>24.8</v>
      </c>
      <c r="N2" s="1">
        <v>24.7</v>
      </c>
      <c r="O2" s="15">
        <v>6.4950000000000001</v>
      </c>
      <c r="P2" s="15">
        <v>6.7669999999999994E-2</v>
      </c>
      <c r="Q2" s="15">
        <f>O2*P2</f>
        <v>0.43951664999999995</v>
      </c>
    </row>
    <row r="3" spans="1:17" x14ac:dyDescent="0.45">
      <c r="A3" s="1">
        <v>10</v>
      </c>
      <c r="B3" s="14">
        <f t="shared" ref="B3:B10" si="0">AVERAGE(C3, G3, K3)</f>
        <v>29.677777777777777</v>
      </c>
      <c r="C3" s="15">
        <f t="shared" ref="C3:C10" si="1">AVERAGE(D3:F3)</f>
        <v>31</v>
      </c>
      <c r="D3" s="1">
        <v>30.9</v>
      </c>
      <c r="E3" s="1">
        <v>31</v>
      </c>
      <c r="F3" s="1">
        <v>31.1</v>
      </c>
      <c r="G3" s="15">
        <f t="shared" ref="G3:G10" si="2">AVERAGE(H3:J3)</f>
        <v>29.566666666666666</v>
      </c>
      <c r="H3" s="1">
        <v>29.6</v>
      </c>
      <c r="I3" s="1">
        <v>29.5</v>
      </c>
      <c r="J3" s="1">
        <v>29.6</v>
      </c>
      <c r="K3" s="15">
        <f t="shared" ref="K3:K10" si="3">AVERAGE(L3:N3)</f>
        <v>28.466666666666669</v>
      </c>
      <c r="L3" s="1">
        <v>28.5</v>
      </c>
      <c r="M3" s="1">
        <v>28.4</v>
      </c>
      <c r="N3" s="1">
        <v>28.5</v>
      </c>
      <c r="O3" s="15">
        <v>6.4969999999999999</v>
      </c>
      <c r="P3" s="15">
        <v>6.923E-2</v>
      </c>
      <c r="Q3" s="15">
        <f t="shared" ref="Q3:Q10" si="4">O3*P3</f>
        <v>0.44978731</v>
      </c>
    </row>
    <row r="4" spans="1:17" x14ac:dyDescent="0.45">
      <c r="A4" s="1">
        <v>20</v>
      </c>
      <c r="B4" s="14">
        <f t="shared" si="0"/>
        <v>31.900000000000002</v>
      </c>
      <c r="C4" s="15">
        <f t="shared" si="1"/>
        <v>33.300000000000004</v>
      </c>
      <c r="D4" s="1">
        <v>33.200000000000003</v>
      </c>
      <c r="E4" s="1">
        <v>33.299999999999997</v>
      </c>
      <c r="F4" s="1">
        <v>33.4</v>
      </c>
      <c r="G4" s="15">
        <f t="shared" si="2"/>
        <v>31.866666666666664</v>
      </c>
      <c r="H4" s="1">
        <v>31.9</v>
      </c>
      <c r="I4" s="1">
        <v>31.9</v>
      </c>
      <c r="J4" s="1">
        <v>31.8</v>
      </c>
      <c r="K4" s="15">
        <f t="shared" si="3"/>
        <v>30.533333333333331</v>
      </c>
      <c r="L4" s="1">
        <v>30.5</v>
      </c>
      <c r="M4" s="1">
        <v>30.6</v>
      </c>
      <c r="N4" s="1">
        <v>30.5</v>
      </c>
      <c r="O4" s="15">
        <v>6.4973000000000001</v>
      </c>
      <c r="P4" s="15">
        <v>7.0040000000000005E-2</v>
      </c>
      <c r="Q4" s="15">
        <f t="shared" si="4"/>
        <v>0.45507089200000006</v>
      </c>
    </row>
    <row r="5" spans="1:17" x14ac:dyDescent="0.45">
      <c r="A5" s="1">
        <v>30</v>
      </c>
      <c r="B5" s="14">
        <f t="shared" si="0"/>
        <v>33.344444444444441</v>
      </c>
      <c r="C5" s="15">
        <f t="shared" si="1"/>
        <v>34.766666666666666</v>
      </c>
      <c r="D5" s="1">
        <v>34.799999999999997</v>
      </c>
      <c r="E5" s="1">
        <v>34.799999999999997</v>
      </c>
      <c r="F5" s="1">
        <v>34.700000000000003</v>
      </c>
      <c r="G5" s="15">
        <f t="shared" si="2"/>
        <v>33.733333333333327</v>
      </c>
      <c r="H5" s="1">
        <v>33.9</v>
      </c>
      <c r="I5" s="1">
        <v>33.799999999999997</v>
      </c>
      <c r="J5" s="1">
        <v>33.5</v>
      </c>
      <c r="K5" s="15">
        <f t="shared" si="3"/>
        <v>31.533333333333331</v>
      </c>
      <c r="L5" s="1">
        <v>31.6</v>
      </c>
      <c r="M5" s="1">
        <v>31.5</v>
      </c>
      <c r="N5" s="1">
        <v>31.5</v>
      </c>
      <c r="O5" s="15">
        <v>6.4973000000000001</v>
      </c>
      <c r="P5" s="15">
        <v>7.0580000000000004E-2</v>
      </c>
      <c r="Q5" s="15">
        <f t="shared" si="4"/>
        <v>0.45857943400000001</v>
      </c>
    </row>
    <row r="6" spans="1:17" x14ac:dyDescent="0.45">
      <c r="A6" s="1">
        <v>40</v>
      </c>
      <c r="B6" s="14">
        <f t="shared" si="0"/>
        <v>34.044444444444444</v>
      </c>
      <c r="C6" s="15">
        <f t="shared" si="1"/>
        <v>35.633333333333333</v>
      </c>
      <c r="D6" s="1">
        <v>35.5</v>
      </c>
      <c r="E6" s="1">
        <v>35.700000000000003</v>
      </c>
      <c r="F6" s="1">
        <v>35.700000000000003</v>
      </c>
      <c r="G6" s="15">
        <f t="shared" si="2"/>
        <v>34.166666666666664</v>
      </c>
      <c r="H6" s="1">
        <v>34.200000000000003</v>
      </c>
      <c r="I6" s="1">
        <v>34.200000000000003</v>
      </c>
      <c r="J6" s="1">
        <v>34.1</v>
      </c>
      <c r="K6" s="15">
        <f t="shared" si="3"/>
        <v>32.333333333333336</v>
      </c>
      <c r="L6" s="1">
        <v>32.299999999999997</v>
      </c>
      <c r="M6" s="1">
        <v>32.299999999999997</v>
      </c>
      <c r="N6" s="1">
        <v>32.4</v>
      </c>
      <c r="O6" s="15">
        <v>6.4976000000000003</v>
      </c>
      <c r="P6" s="15">
        <v>7.0809999999999998E-2</v>
      </c>
      <c r="Q6" s="15">
        <f t="shared" si="4"/>
        <v>0.460095056</v>
      </c>
    </row>
    <row r="7" spans="1:17" x14ac:dyDescent="0.45">
      <c r="A7" s="1">
        <v>50</v>
      </c>
      <c r="B7" s="14">
        <f t="shared" si="0"/>
        <v>34.511111111111113</v>
      </c>
      <c r="C7" s="15">
        <f t="shared" si="1"/>
        <v>36.133333333333333</v>
      </c>
      <c r="D7" s="1">
        <v>36.200000000000003</v>
      </c>
      <c r="E7" s="1">
        <v>36.1</v>
      </c>
      <c r="F7" s="1">
        <v>36.1</v>
      </c>
      <c r="G7" s="15">
        <f t="shared" si="2"/>
        <v>34.700000000000003</v>
      </c>
      <c r="H7" s="1">
        <v>34.700000000000003</v>
      </c>
      <c r="I7" s="1">
        <v>34.700000000000003</v>
      </c>
      <c r="J7" s="1">
        <v>34.700000000000003</v>
      </c>
      <c r="K7" s="15">
        <f t="shared" si="3"/>
        <v>32.699999999999996</v>
      </c>
      <c r="L7" s="1">
        <v>32.799999999999997</v>
      </c>
      <c r="M7" s="1">
        <v>32.700000000000003</v>
      </c>
      <c r="N7" s="1">
        <v>32.6</v>
      </c>
      <c r="O7" s="15">
        <v>6.4977999999999998</v>
      </c>
      <c r="P7" s="15">
        <v>7.0989999999999998E-2</v>
      </c>
      <c r="Q7" s="15">
        <f t="shared" si="4"/>
        <v>0.46127882199999998</v>
      </c>
    </row>
    <row r="8" spans="1:17" x14ac:dyDescent="0.45">
      <c r="A8" s="1">
        <v>60</v>
      </c>
      <c r="B8" s="14">
        <f t="shared" si="0"/>
        <v>35</v>
      </c>
      <c r="C8" s="15">
        <f t="shared" si="1"/>
        <v>36.9</v>
      </c>
      <c r="D8" s="1">
        <v>36.9</v>
      </c>
      <c r="E8" s="1">
        <v>36.9</v>
      </c>
      <c r="F8" s="1">
        <v>36.9</v>
      </c>
      <c r="G8" s="15">
        <f t="shared" si="2"/>
        <v>34.9</v>
      </c>
      <c r="H8" s="1">
        <v>35</v>
      </c>
      <c r="I8" s="1">
        <v>34.9</v>
      </c>
      <c r="J8" s="1">
        <v>34.799999999999997</v>
      </c>
      <c r="K8" s="15">
        <f t="shared" si="3"/>
        <v>33.199999999999996</v>
      </c>
      <c r="L8" s="1">
        <v>33.299999999999997</v>
      </c>
      <c r="M8" s="1">
        <v>33.200000000000003</v>
      </c>
      <c r="N8" s="1">
        <v>33.1</v>
      </c>
      <c r="O8" s="15">
        <v>6.4976000000000003</v>
      </c>
      <c r="P8" s="15">
        <v>7.1099999999999997E-2</v>
      </c>
      <c r="Q8" s="15">
        <f t="shared" si="4"/>
        <v>0.46197936000000001</v>
      </c>
    </row>
    <row r="9" spans="1:17" x14ac:dyDescent="0.45">
      <c r="A9" s="1">
        <v>70</v>
      </c>
      <c r="B9" s="14">
        <f t="shared" si="0"/>
        <v>35.211111111111109</v>
      </c>
      <c r="C9" s="15">
        <f t="shared" si="1"/>
        <v>37.033333333333331</v>
      </c>
      <c r="D9" s="1">
        <v>37.200000000000003</v>
      </c>
      <c r="E9" s="1">
        <v>37</v>
      </c>
      <c r="F9" s="1">
        <v>36.9</v>
      </c>
      <c r="G9" s="15">
        <f t="shared" si="2"/>
        <v>35.233333333333334</v>
      </c>
      <c r="H9" s="1">
        <v>35.200000000000003</v>
      </c>
      <c r="I9" s="1">
        <v>35.299999999999997</v>
      </c>
      <c r="J9" s="1">
        <v>35.200000000000003</v>
      </c>
      <c r="K9" s="15">
        <f t="shared" si="3"/>
        <v>33.366666666666667</v>
      </c>
      <c r="L9" s="1">
        <v>33.299999999999997</v>
      </c>
      <c r="M9" s="1">
        <v>33.4</v>
      </c>
      <c r="N9" s="1">
        <v>33.4</v>
      </c>
      <c r="O9" s="15">
        <v>6.4974999999999996</v>
      </c>
      <c r="P9" s="15">
        <v>7.1160000000000001E-2</v>
      </c>
      <c r="Q9" s="15">
        <f t="shared" si="4"/>
        <v>0.4623621</v>
      </c>
    </row>
    <row r="10" spans="1:17" x14ac:dyDescent="0.45">
      <c r="A10" s="1">
        <v>80</v>
      </c>
      <c r="B10" s="14">
        <f t="shared" si="0"/>
        <v>35.211111111111109</v>
      </c>
      <c r="C10" s="15">
        <f t="shared" si="1"/>
        <v>37.033333333333331</v>
      </c>
      <c r="D10" s="1">
        <v>37.1</v>
      </c>
      <c r="E10" s="1">
        <v>37</v>
      </c>
      <c r="F10" s="1">
        <v>37</v>
      </c>
      <c r="G10" s="15">
        <f t="shared" si="2"/>
        <v>35.333333333333329</v>
      </c>
      <c r="H10" s="1">
        <v>35.4</v>
      </c>
      <c r="I10" s="1">
        <v>35.299999999999997</v>
      </c>
      <c r="J10" s="1">
        <v>35.299999999999997</v>
      </c>
      <c r="K10" s="15">
        <f t="shared" si="3"/>
        <v>33.266666666666666</v>
      </c>
      <c r="L10" s="1">
        <v>33.200000000000003</v>
      </c>
      <c r="M10" s="1">
        <v>33.299999999999997</v>
      </c>
      <c r="N10" s="1">
        <v>33.299999999999997</v>
      </c>
      <c r="O10" s="15">
        <v>6.4976000000000003</v>
      </c>
      <c r="P10" s="15">
        <v>7.1220000000000006E-2</v>
      </c>
      <c r="Q10" s="15">
        <f t="shared" si="4"/>
        <v>0.46275907200000005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74F7A-5E81-4669-8C2B-4A88B7A8EFA1}">
  <sheetPr codeName="Sheet19"/>
  <dimension ref="A1:U23"/>
  <sheetViews>
    <sheetView zoomScale="88" zoomScaleNormal="88" workbookViewId="0">
      <selection activeCell="J25" sqref="J25"/>
    </sheetView>
  </sheetViews>
  <sheetFormatPr defaultRowHeight="14.25" x14ac:dyDescent="0.45"/>
  <cols>
    <col min="6" max="11" width="9.06640625" style="8"/>
    <col min="20" max="20" width="10.19921875" bestFit="1" customWidth="1"/>
  </cols>
  <sheetData>
    <row r="1" spans="1:21" ht="28.5" x14ac:dyDescent="0.45">
      <c r="A1" s="1" t="s">
        <v>29</v>
      </c>
      <c r="B1" s="14" t="s">
        <v>41</v>
      </c>
      <c r="C1" s="15" t="s">
        <v>42</v>
      </c>
      <c r="D1" s="1" t="s">
        <v>37</v>
      </c>
      <c r="E1" s="1" t="s">
        <v>37</v>
      </c>
      <c r="F1" s="1" t="s">
        <v>37</v>
      </c>
      <c r="G1" s="15" t="s">
        <v>43</v>
      </c>
      <c r="H1" s="1" t="s">
        <v>38</v>
      </c>
      <c r="I1" s="1" t="s">
        <v>38</v>
      </c>
      <c r="J1" s="1" t="s">
        <v>38</v>
      </c>
      <c r="K1" s="15" t="s">
        <v>44</v>
      </c>
      <c r="L1" s="1" t="s">
        <v>39</v>
      </c>
      <c r="M1" s="1" t="s">
        <v>39</v>
      </c>
      <c r="N1" s="1" t="s">
        <v>39</v>
      </c>
      <c r="O1" s="15" t="s">
        <v>53</v>
      </c>
      <c r="P1" s="15" t="s">
        <v>50</v>
      </c>
      <c r="Q1" s="15" t="s">
        <v>51</v>
      </c>
      <c r="R1" s="15" t="s">
        <v>52</v>
      </c>
      <c r="S1" s="15" t="s">
        <v>26</v>
      </c>
      <c r="T1" s="15" t="s">
        <v>40</v>
      </c>
      <c r="U1" s="15" t="s">
        <v>31</v>
      </c>
    </row>
    <row r="2" spans="1:21" x14ac:dyDescent="0.45">
      <c r="A2" s="1">
        <v>0</v>
      </c>
      <c r="B2" s="14">
        <f>AVERAGE(C2, G2, K2)</f>
        <v>25.566666666666666</v>
      </c>
      <c r="C2" s="15">
        <f>AVERAGE(D2:F2)</f>
        <v>25.566666666666666</v>
      </c>
      <c r="D2" s="1">
        <v>25.5</v>
      </c>
      <c r="E2" s="1">
        <v>25.6</v>
      </c>
      <c r="F2" s="1">
        <v>25.6</v>
      </c>
      <c r="G2" s="15">
        <f>AVERAGE(H2:J2)</f>
        <v>25.566666666666666</v>
      </c>
      <c r="H2" s="1">
        <v>25.6</v>
      </c>
      <c r="I2" s="1">
        <v>25.5</v>
      </c>
      <c r="J2" s="1">
        <v>25.6</v>
      </c>
      <c r="K2" s="15">
        <f>AVERAGE(L2:N2)</f>
        <v>25.566666666666666</v>
      </c>
      <c r="L2" s="1">
        <v>25.6</v>
      </c>
      <c r="M2" s="1">
        <v>25.5</v>
      </c>
      <c r="N2" s="1">
        <v>25.6</v>
      </c>
      <c r="O2" s="15">
        <v>1.8979999999999999</v>
      </c>
      <c r="P2" s="15">
        <v>660</v>
      </c>
      <c r="Q2" s="15">
        <f>P2*2</f>
        <v>1320</v>
      </c>
      <c r="R2" s="15">
        <v>314</v>
      </c>
      <c r="S2" s="18">
        <f>R2*$E$15*10^-12*O2*10^6*2*PI()/2</f>
        <v>1.533414729438132</v>
      </c>
      <c r="T2" s="15">
        <v>0.45</v>
      </c>
      <c r="U2" s="18">
        <f>T2/(S2^2)*2</f>
        <v>0.38275709361670435</v>
      </c>
    </row>
    <row r="3" spans="1:21" x14ac:dyDescent="0.45">
      <c r="A3" s="1">
        <v>10</v>
      </c>
      <c r="B3" s="14">
        <f t="shared" ref="B3:B10" si="0">AVERAGE(C3, G3, K3)</f>
        <v>30.288888888888891</v>
      </c>
      <c r="C3" s="15">
        <f t="shared" ref="C3:C10" si="1">AVERAGE(D3:F3)</f>
        <v>32.166666666666671</v>
      </c>
      <c r="D3" s="1">
        <v>32.200000000000003</v>
      </c>
      <c r="E3" s="1">
        <v>32.1</v>
      </c>
      <c r="F3" s="1">
        <v>32.200000000000003</v>
      </c>
      <c r="G3" s="15">
        <f t="shared" ref="G3:G10" si="2">AVERAGE(H3:J3)</f>
        <v>30.166666666666668</v>
      </c>
      <c r="H3" s="1">
        <v>30.1</v>
      </c>
      <c r="I3" s="1">
        <v>30.2</v>
      </c>
      <c r="J3" s="1">
        <v>30.2</v>
      </c>
      <c r="K3" s="15">
        <f t="shared" ref="K3:K10" si="3">AVERAGE(L3:N3)</f>
        <v>28.533333333333331</v>
      </c>
      <c r="L3" s="1">
        <v>28.5</v>
      </c>
      <c r="M3" s="1">
        <v>28.5</v>
      </c>
      <c r="N3" s="1">
        <v>28.6</v>
      </c>
      <c r="O3" s="15">
        <v>1.8979999999999999</v>
      </c>
      <c r="P3" s="15">
        <v>674</v>
      </c>
      <c r="Q3" s="15">
        <f t="shared" ref="Q3:Q10" si="4">P3*2</f>
        <v>1348</v>
      </c>
      <c r="R3" s="15">
        <v>314</v>
      </c>
      <c r="S3" s="18">
        <f t="shared" ref="S3:S10" si="5">R3*$E$15*10^-12*O3*10^6*2*PI()/2</f>
        <v>1.533414729438132</v>
      </c>
      <c r="T3" s="15">
        <v>0.45</v>
      </c>
      <c r="U3" s="18">
        <f t="shared" ref="U3:U9" si="6">T3/(S3^2)*2</f>
        <v>0.38275709361670435</v>
      </c>
    </row>
    <row r="4" spans="1:21" x14ac:dyDescent="0.45">
      <c r="A4" s="1">
        <v>20</v>
      </c>
      <c r="B4" s="14">
        <f t="shared" si="0"/>
        <v>32.800000000000004</v>
      </c>
      <c r="C4" s="15">
        <f t="shared" si="1"/>
        <v>35.533333333333331</v>
      </c>
      <c r="D4" s="1">
        <v>35.5</v>
      </c>
      <c r="E4" s="1">
        <v>35.6</v>
      </c>
      <c r="F4" s="1">
        <v>35.5</v>
      </c>
      <c r="G4" s="15">
        <f t="shared" si="2"/>
        <v>32.300000000000004</v>
      </c>
      <c r="H4" s="1">
        <v>32.299999999999997</v>
      </c>
      <c r="I4" s="1">
        <v>32.200000000000003</v>
      </c>
      <c r="J4" s="1">
        <v>32.4</v>
      </c>
      <c r="K4" s="15">
        <f t="shared" si="3"/>
        <v>30.566666666666666</v>
      </c>
      <c r="L4" s="1">
        <v>30.6</v>
      </c>
      <c r="M4" s="1">
        <v>30.6</v>
      </c>
      <c r="N4" s="1">
        <v>30.5</v>
      </c>
      <c r="O4" s="15">
        <v>1.897</v>
      </c>
      <c r="P4" s="15">
        <v>584</v>
      </c>
      <c r="Q4" s="15">
        <f t="shared" si="4"/>
        <v>1168</v>
      </c>
      <c r="R4" s="15">
        <v>308</v>
      </c>
      <c r="S4" s="18">
        <f t="shared" si="5"/>
        <v>1.5033213380111716</v>
      </c>
      <c r="T4" s="15">
        <v>0.45</v>
      </c>
      <c r="U4" s="18">
        <f t="shared" si="6"/>
        <v>0.39823448575852954</v>
      </c>
    </row>
    <row r="5" spans="1:21" x14ac:dyDescent="0.45">
      <c r="A5" s="1">
        <v>30</v>
      </c>
      <c r="B5" s="14">
        <f t="shared" si="0"/>
        <v>33.944444444444443</v>
      </c>
      <c r="C5" s="15">
        <f t="shared" si="1"/>
        <v>36.6</v>
      </c>
      <c r="D5" s="1">
        <v>36.6</v>
      </c>
      <c r="E5" s="1">
        <v>36.700000000000003</v>
      </c>
      <c r="F5" s="1">
        <v>36.5</v>
      </c>
      <c r="G5" s="15">
        <f t="shared" si="2"/>
        <v>33.699999999999996</v>
      </c>
      <c r="H5" s="1">
        <v>33.799999999999997</v>
      </c>
      <c r="I5" s="1">
        <v>33.700000000000003</v>
      </c>
      <c r="J5" s="1">
        <v>33.6</v>
      </c>
      <c r="K5" s="15">
        <f t="shared" si="3"/>
        <v>31.533333333333331</v>
      </c>
      <c r="L5" s="1">
        <v>31.5</v>
      </c>
      <c r="M5" s="1">
        <v>31.6</v>
      </c>
      <c r="N5" s="1">
        <v>31.5</v>
      </c>
      <c r="O5" s="15">
        <v>1.897</v>
      </c>
      <c r="P5" s="15">
        <v>596</v>
      </c>
      <c r="Q5" s="15">
        <f t="shared" si="4"/>
        <v>1192</v>
      </c>
      <c r="R5" s="15">
        <v>312</v>
      </c>
      <c r="S5" s="18">
        <f t="shared" si="5"/>
        <v>1.5228449917515767</v>
      </c>
      <c r="T5" s="15">
        <v>0.45</v>
      </c>
      <c r="U5" s="18">
        <f t="shared" si="6"/>
        <v>0.38808880112792915</v>
      </c>
    </row>
    <row r="6" spans="1:21" x14ac:dyDescent="0.45">
      <c r="A6" s="1">
        <v>40</v>
      </c>
      <c r="B6" s="14">
        <f t="shared" si="0"/>
        <v>34.25555555555556</v>
      </c>
      <c r="C6" s="15">
        <f t="shared" si="1"/>
        <v>36.666666666666664</v>
      </c>
      <c r="D6" s="1">
        <v>36.799999999999997</v>
      </c>
      <c r="E6" s="1">
        <v>36.6</v>
      </c>
      <c r="F6" s="1">
        <v>36.6</v>
      </c>
      <c r="G6" s="15">
        <f t="shared" si="2"/>
        <v>34.166666666666671</v>
      </c>
      <c r="H6" s="1">
        <v>34.1</v>
      </c>
      <c r="I6" s="1">
        <v>34.200000000000003</v>
      </c>
      <c r="J6" s="1">
        <v>34.200000000000003</v>
      </c>
      <c r="K6" s="15">
        <f t="shared" si="3"/>
        <v>31.933333333333334</v>
      </c>
      <c r="L6" s="1">
        <v>31.9</v>
      </c>
      <c r="M6" s="1">
        <v>32</v>
      </c>
      <c r="N6" s="1">
        <v>31.9</v>
      </c>
      <c r="O6" s="15">
        <v>1.8959999999999999</v>
      </c>
      <c r="P6" s="15">
        <v>721</v>
      </c>
      <c r="Q6" s="15">
        <f t="shared" si="4"/>
        <v>1442</v>
      </c>
      <c r="R6" s="15">
        <v>298</v>
      </c>
      <c r="S6" s="18">
        <f t="shared" si="5"/>
        <v>1.453745460273939</v>
      </c>
      <c r="T6" s="15">
        <v>0.45</v>
      </c>
      <c r="U6" s="18">
        <f t="shared" si="6"/>
        <v>0.42585893765658983</v>
      </c>
    </row>
    <row r="7" spans="1:21" x14ac:dyDescent="0.45">
      <c r="A7" s="1">
        <v>50</v>
      </c>
      <c r="B7" s="14">
        <f t="shared" si="0"/>
        <v>34.511111111111113</v>
      </c>
      <c r="C7" s="15">
        <f t="shared" si="1"/>
        <v>37.066666666666663</v>
      </c>
      <c r="D7" s="1">
        <v>37.1</v>
      </c>
      <c r="E7" s="1">
        <v>37</v>
      </c>
      <c r="F7" s="1">
        <v>37.1</v>
      </c>
      <c r="G7" s="15">
        <f t="shared" si="2"/>
        <v>34.433333333333337</v>
      </c>
      <c r="H7" s="1">
        <v>34.5</v>
      </c>
      <c r="I7" s="1">
        <v>34.4</v>
      </c>
      <c r="J7" s="1">
        <v>34.4</v>
      </c>
      <c r="K7" s="15">
        <f t="shared" si="3"/>
        <v>32.033333333333331</v>
      </c>
      <c r="L7" s="1">
        <v>32</v>
      </c>
      <c r="M7" s="1">
        <v>32.1</v>
      </c>
      <c r="N7" s="1">
        <v>32</v>
      </c>
      <c r="O7" s="15">
        <v>1.8959999999999999</v>
      </c>
      <c r="P7" s="15">
        <v>728</v>
      </c>
      <c r="Q7" s="15">
        <f t="shared" si="4"/>
        <v>1456</v>
      </c>
      <c r="R7" s="15">
        <v>290</v>
      </c>
      <c r="S7" s="18">
        <f t="shared" si="5"/>
        <v>1.4147187365081957</v>
      </c>
      <c r="T7" s="15">
        <v>0.45</v>
      </c>
      <c r="U7" s="18">
        <f t="shared" si="6"/>
        <v>0.44967868132765521</v>
      </c>
    </row>
    <row r="8" spans="1:21" x14ac:dyDescent="0.45">
      <c r="A8" s="1">
        <v>60</v>
      </c>
      <c r="B8" s="14">
        <f t="shared" si="0"/>
        <v>34.777777777777779</v>
      </c>
      <c r="C8" s="15">
        <f t="shared" si="1"/>
        <v>37.466666666666669</v>
      </c>
      <c r="D8" s="1">
        <v>37.5</v>
      </c>
      <c r="E8" s="1">
        <v>37.4</v>
      </c>
      <c r="F8" s="1">
        <v>37.5</v>
      </c>
      <c r="G8" s="15">
        <f t="shared" si="2"/>
        <v>34.633333333333333</v>
      </c>
      <c r="H8" s="1">
        <v>34.700000000000003</v>
      </c>
      <c r="I8" s="1">
        <v>34.6</v>
      </c>
      <c r="J8" s="1">
        <v>34.6</v>
      </c>
      <c r="K8" s="15">
        <f t="shared" si="3"/>
        <v>32.233333333333334</v>
      </c>
      <c r="L8" s="1">
        <v>32.200000000000003</v>
      </c>
      <c r="M8" s="1">
        <v>32.299999999999997</v>
      </c>
      <c r="N8" s="1">
        <v>32.200000000000003</v>
      </c>
      <c r="O8" s="15">
        <v>1.897</v>
      </c>
      <c r="P8" s="15">
        <v>660</v>
      </c>
      <c r="Q8" s="15">
        <f t="shared" si="4"/>
        <v>1320</v>
      </c>
      <c r="R8" s="15">
        <v>300</v>
      </c>
      <c r="S8" s="18">
        <f t="shared" si="5"/>
        <v>1.4642740305303621</v>
      </c>
      <c r="T8" s="15">
        <v>0.45</v>
      </c>
      <c r="U8" s="18">
        <f t="shared" si="6"/>
        <v>0.41975684729996826</v>
      </c>
    </row>
    <row r="9" spans="1:21" x14ac:dyDescent="0.45">
      <c r="A9" s="1">
        <v>70</v>
      </c>
      <c r="B9" s="14">
        <f t="shared" si="0"/>
        <v>35.011111111111113</v>
      </c>
      <c r="C9" s="15">
        <f t="shared" si="1"/>
        <v>37.733333333333334</v>
      </c>
      <c r="D9" s="1">
        <v>37.700000000000003</v>
      </c>
      <c r="E9" s="1">
        <v>37.799999999999997</v>
      </c>
      <c r="F9" s="1">
        <v>37.700000000000003</v>
      </c>
      <c r="G9" s="15">
        <f t="shared" si="2"/>
        <v>35.06666666666667</v>
      </c>
      <c r="H9" s="1">
        <v>35.1</v>
      </c>
      <c r="I9" s="1">
        <v>35.1</v>
      </c>
      <c r="J9" s="1">
        <v>35</v>
      </c>
      <c r="K9" s="15">
        <f t="shared" si="3"/>
        <v>32.233333333333334</v>
      </c>
      <c r="L9" s="1">
        <v>32.299999999999997</v>
      </c>
      <c r="M9" s="1">
        <v>32.200000000000003</v>
      </c>
      <c r="N9" s="1">
        <v>32.200000000000003</v>
      </c>
      <c r="O9" s="15">
        <v>1.897</v>
      </c>
      <c r="P9" s="15">
        <v>659</v>
      </c>
      <c r="Q9" s="15">
        <f t="shared" si="4"/>
        <v>1318</v>
      </c>
      <c r="R9" s="15">
        <v>298</v>
      </c>
      <c r="S9" s="18">
        <f t="shared" si="5"/>
        <v>1.4545122036601597</v>
      </c>
      <c r="T9" s="15">
        <v>0.45</v>
      </c>
      <c r="U9" s="18">
        <f t="shared" si="6"/>
        <v>0.42541007451237717</v>
      </c>
    </row>
    <row r="10" spans="1:21" x14ac:dyDescent="0.45">
      <c r="A10" s="1">
        <v>80</v>
      </c>
      <c r="B10" s="14">
        <f t="shared" si="0"/>
        <v>35.066666666666663</v>
      </c>
      <c r="C10" s="15">
        <f t="shared" si="1"/>
        <v>37.833333333333329</v>
      </c>
      <c r="D10" s="1">
        <v>37.9</v>
      </c>
      <c r="E10" s="1">
        <v>37.799999999999997</v>
      </c>
      <c r="F10" s="1">
        <v>37.799999999999997</v>
      </c>
      <c r="G10" s="15">
        <f t="shared" si="2"/>
        <v>35.066666666666663</v>
      </c>
      <c r="H10" s="1">
        <v>35</v>
      </c>
      <c r="I10" s="1">
        <v>35.1</v>
      </c>
      <c r="J10" s="1">
        <v>35.1</v>
      </c>
      <c r="K10" s="15">
        <f t="shared" si="3"/>
        <v>32.299999999999997</v>
      </c>
      <c r="L10" s="1">
        <v>32.299999999999997</v>
      </c>
      <c r="M10" s="1">
        <v>32.299999999999997</v>
      </c>
      <c r="N10" s="1">
        <v>32.299999999999997</v>
      </c>
      <c r="O10" s="15">
        <v>1.897</v>
      </c>
      <c r="P10" s="15">
        <v>656</v>
      </c>
      <c r="Q10" s="15">
        <f t="shared" si="4"/>
        <v>1312</v>
      </c>
      <c r="R10" s="15">
        <v>298</v>
      </c>
      <c r="S10" s="18">
        <f t="shared" si="5"/>
        <v>1.4545122036601597</v>
      </c>
      <c r="T10" s="15">
        <v>0.45</v>
      </c>
      <c r="U10" s="18">
        <f>T10/(S10^2)*2</f>
        <v>0.42541007451237717</v>
      </c>
    </row>
    <row r="11" spans="1:21" x14ac:dyDescent="0.45">
      <c r="D11" s="12"/>
      <c r="E11" s="13"/>
      <c r="M11" s="8"/>
    </row>
    <row r="12" spans="1:21" x14ac:dyDescent="0.45">
      <c r="D12" t="s">
        <v>27</v>
      </c>
      <c r="F12"/>
      <c r="M12" s="8"/>
    </row>
    <row r="13" spans="1:21" x14ac:dyDescent="0.45">
      <c r="D13" t="s">
        <v>34</v>
      </c>
      <c r="E13">
        <v>1.9319999999999999</v>
      </c>
      <c r="F13" t="s">
        <v>35</v>
      </c>
      <c r="M13" s="8"/>
    </row>
    <row r="14" spans="1:21" x14ac:dyDescent="0.45">
      <c r="F14"/>
    </row>
    <row r="15" spans="1:21" x14ac:dyDescent="0.45">
      <c r="D15" t="s">
        <v>22</v>
      </c>
      <c r="E15">
        <v>819</v>
      </c>
      <c r="F15" t="s">
        <v>23</v>
      </c>
    </row>
    <row r="16" spans="1:21" x14ac:dyDescent="0.45">
      <c r="D16" t="s">
        <v>54</v>
      </c>
      <c r="E16" s="19">
        <v>0.5</v>
      </c>
      <c r="F16"/>
    </row>
    <row r="17" spans="4:7" x14ac:dyDescent="0.45">
      <c r="D17" t="s">
        <v>33</v>
      </c>
      <c r="F17"/>
    </row>
    <row r="18" spans="4:7" x14ac:dyDescent="0.45">
      <c r="D18" t="s">
        <v>32</v>
      </c>
      <c r="F18"/>
    </row>
    <row r="19" spans="4:7" x14ac:dyDescent="0.45">
      <c r="D19" t="s">
        <v>36</v>
      </c>
      <c r="F19"/>
    </row>
    <row r="20" spans="4:7" x14ac:dyDescent="0.45">
      <c r="F20"/>
    </row>
    <row r="21" spans="4:7" x14ac:dyDescent="0.45">
      <c r="F21"/>
      <c r="G21"/>
    </row>
    <row r="22" spans="4:7" x14ac:dyDescent="0.45">
      <c r="F22"/>
      <c r="G22"/>
    </row>
    <row r="23" spans="4:7" x14ac:dyDescent="0.45">
      <c r="F23"/>
      <c r="G23"/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1825-411D-4B8B-BC27-E90568256B3A}">
  <dimension ref="A1:O15"/>
  <sheetViews>
    <sheetView tabSelected="1" zoomScale="85" zoomScaleNormal="85" workbookViewId="0">
      <selection activeCell="O13" sqref="O13"/>
    </sheetView>
  </sheetViews>
  <sheetFormatPr defaultRowHeight="14.25" x14ac:dyDescent="0.45"/>
  <cols>
    <col min="14" max="14" width="9.1328125" bestFit="1" customWidth="1"/>
    <col min="15" max="15" width="9.3984375" bestFit="1" customWidth="1"/>
  </cols>
  <sheetData>
    <row r="1" spans="1:15" x14ac:dyDescent="0.45">
      <c r="A1" t="s">
        <v>29</v>
      </c>
      <c r="B1" t="s">
        <v>45</v>
      </c>
      <c r="C1" t="s">
        <v>29</v>
      </c>
      <c r="D1" t="s">
        <v>46</v>
      </c>
      <c r="E1" t="s">
        <v>29</v>
      </c>
      <c r="F1" t="s">
        <v>47</v>
      </c>
      <c r="G1" t="s">
        <v>29</v>
      </c>
      <c r="H1" t="s">
        <v>48</v>
      </c>
      <c r="I1" t="s">
        <v>29</v>
      </c>
      <c r="J1" t="s">
        <v>49</v>
      </c>
      <c r="K1" t="s">
        <v>29</v>
      </c>
      <c r="L1" t="s">
        <v>55</v>
      </c>
    </row>
    <row r="2" spans="1:15" x14ac:dyDescent="0.45">
      <c r="A2">
        <v>0</v>
      </c>
      <c r="B2">
        <v>26.666666666666668</v>
      </c>
      <c r="C2">
        <v>0</v>
      </c>
      <c r="D2">
        <v>29.811111111111114</v>
      </c>
      <c r="E2">
        <v>0</v>
      </c>
      <c r="F2">
        <v>24.511111111111109</v>
      </c>
      <c r="G2">
        <v>0</v>
      </c>
      <c r="H2">
        <v>31.655555555555555</v>
      </c>
      <c r="I2">
        <v>0</v>
      </c>
      <c r="J2">
        <v>24.766666666666666</v>
      </c>
      <c r="K2">
        <v>0</v>
      </c>
      <c r="L2">
        <v>25.566666666666666</v>
      </c>
      <c r="N2" s="17"/>
      <c r="O2" s="17"/>
    </row>
    <row r="3" spans="1:15" x14ac:dyDescent="0.45">
      <c r="A3">
        <v>10</v>
      </c>
      <c r="B3">
        <v>28.600000000000005</v>
      </c>
      <c r="C3">
        <v>10</v>
      </c>
      <c r="D3">
        <v>30.733333333333331</v>
      </c>
      <c r="E3">
        <v>10</v>
      </c>
      <c r="F3">
        <v>28.133333333333336</v>
      </c>
      <c r="G3">
        <v>10</v>
      </c>
      <c r="H3">
        <v>32.488888888888887</v>
      </c>
      <c r="I3">
        <v>10</v>
      </c>
      <c r="J3">
        <v>29.677777777777777</v>
      </c>
      <c r="K3">
        <v>10</v>
      </c>
      <c r="L3">
        <v>30.288888888888891</v>
      </c>
      <c r="N3" s="17"/>
      <c r="O3" s="17"/>
    </row>
    <row r="4" spans="1:15" x14ac:dyDescent="0.45">
      <c r="A4">
        <v>20</v>
      </c>
      <c r="B4">
        <v>28.844444444444445</v>
      </c>
      <c r="C4">
        <v>20</v>
      </c>
      <c r="D4">
        <v>30.811111111111106</v>
      </c>
      <c r="E4">
        <v>20</v>
      </c>
      <c r="F4">
        <v>29.8</v>
      </c>
      <c r="G4">
        <v>20</v>
      </c>
      <c r="H4">
        <v>32.9</v>
      </c>
      <c r="I4">
        <v>20</v>
      </c>
      <c r="J4">
        <v>31.900000000000002</v>
      </c>
      <c r="K4">
        <v>20</v>
      </c>
      <c r="L4">
        <v>32.800000000000004</v>
      </c>
      <c r="N4" s="17"/>
      <c r="O4" s="17"/>
    </row>
    <row r="5" spans="1:15" x14ac:dyDescent="0.45">
      <c r="A5">
        <v>30</v>
      </c>
      <c r="B5">
        <v>29.277777777777782</v>
      </c>
      <c r="C5">
        <v>30</v>
      </c>
      <c r="D5">
        <v>30.988888888888891</v>
      </c>
      <c r="E5">
        <v>30</v>
      </c>
      <c r="F5">
        <v>30.955555555555559</v>
      </c>
      <c r="G5">
        <v>30</v>
      </c>
      <c r="H5">
        <v>33.31111111111111</v>
      </c>
      <c r="I5">
        <v>30</v>
      </c>
      <c r="J5">
        <v>33.344444444444441</v>
      </c>
      <c r="K5">
        <v>30</v>
      </c>
      <c r="L5">
        <v>33.944444444444443</v>
      </c>
      <c r="N5" s="17"/>
      <c r="O5" s="17"/>
    </row>
    <row r="6" spans="1:15" x14ac:dyDescent="0.45">
      <c r="A6">
        <v>40</v>
      </c>
      <c r="B6">
        <v>29.466666666666665</v>
      </c>
      <c r="C6">
        <v>40</v>
      </c>
      <c r="D6">
        <v>31.044444444444448</v>
      </c>
      <c r="E6">
        <v>40</v>
      </c>
      <c r="F6">
        <v>31.377777777777776</v>
      </c>
      <c r="G6">
        <v>40</v>
      </c>
      <c r="H6">
        <v>33.633333333333333</v>
      </c>
      <c r="I6">
        <v>40</v>
      </c>
      <c r="J6">
        <v>34.044444444444444</v>
      </c>
      <c r="K6">
        <v>40</v>
      </c>
      <c r="L6">
        <v>34.25555555555556</v>
      </c>
      <c r="N6" s="17"/>
      <c r="O6" s="17"/>
    </row>
    <row r="7" spans="1:15" x14ac:dyDescent="0.45">
      <c r="A7">
        <v>50</v>
      </c>
      <c r="B7">
        <v>29.655555555555555</v>
      </c>
      <c r="C7">
        <v>50</v>
      </c>
      <c r="D7">
        <v>31.066666666666666</v>
      </c>
      <c r="E7">
        <v>50</v>
      </c>
      <c r="F7">
        <v>31.888888888888886</v>
      </c>
      <c r="G7">
        <v>50</v>
      </c>
      <c r="H7">
        <v>33.755555555555553</v>
      </c>
      <c r="I7">
        <v>50</v>
      </c>
      <c r="J7">
        <v>34.511111111111113</v>
      </c>
      <c r="K7">
        <v>50</v>
      </c>
      <c r="L7">
        <v>34.511111111111113</v>
      </c>
    </row>
    <row r="8" spans="1:15" x14ac:dyDescent="0.45">
      <c r="A8">
        <v>60</v>
      </c>
      <c r="B8">
        <v>29.677777777777777</v>
      </c>
      <c r="C8" s="20">
        <v>60</v>
      </c>
      <c r="D8" s="20">
        <v>31.066666666666666</v>
      </c>
      <c r="E8">
        <v>60</v>
      </c>
      <c r="F8">
        <v>32.06666666666667</v>
      </c>
      <c r="G8">
        <v>60</v>
      </c>
      <c r="H8">
        <v>33.877777777777773</v>
      </c>
      <c r="I8">
        <v>60</v>
      </c>
      <c r="J8">
        <v>35</v>
      </c>
      <c r="K8">
        <v>60</v>
      </c>
      <c r="L8">
        <v>34.777777777777779</v>
      </c>
    </row>
    <row r="9" spans="1:15" x14ac:dyDescent="0.45">
      <c r="A9">
        <v>70</v>
      </c>
      <c r="B9">
        <v>29.75555555555556</v>
      </c>
      <c r="C9" s="20">
        <v>70</v>
      </c>
      <c r="D9" s="20">
        <v>31.066666666666666</v>
      </c>
      <c r="E9">
        <v>70</v>
      </c>
      <c r="F9">
        <v>32.255555555555553</v>
      </c>
      <c r="G9" s="20">
        <v>70</v>
      </c>
      <c r="H9" s="20">
        <v>33.877777777777773</v>
      </c>
      <c r="I9">
        <v>70</v>
      </c>
      <c r="J9">
        <v>35.211111111111109</v>
      </c>
      <c r="K9">
        <v>70</v>
      </c>
      <c r="L9">
        <v>35.011111111111113</v>
      </c>
    </row>
    <row r="10" spans="1:15" x14ac:dyDescent="0.45">
      <c r="A10">
        <v>80</v>
      </c>
      <c r="B10">
        <v>29.766666666666666</v>
      </c>
      <c r="C10" s="20">
        <v>80</v>
      </c>
      <c r="D10" s="20">
        <v>31.066666666666666</v>
      </c>
      <c r="E10" s="20">
        <v>80</v>
      </c>
      <c r="F10" s="20">
        <v>32.255555555555553</v>
      </c>
      <c r="G10" s="20">
        <v>80</v>
      </c>
      <c r="H10" s="20">
        <v>33.877777777777773</v>
      </c>
      <c r="I10" s="17">
        <v>80</v>
      </c>
      <c r="J10">
        <v>35.211111111111109</v>
      </c>
      <c r="K10">
        <v>80</v>
      </c>
      <c r="L10">
        <v>35.066666666666663</v>
      </c>
    </row>
    <row r="11" spans="1:15" x14ac:dyDescent="0.45">
      <c r="A11">
        <v>90</v>
      </c>
      <c r="B11">
        <v>29.811111111111114</v>
      </c>
      <c r="C11" s="20">
        <v>90</v>
      </c>
      <c r="D11" s="20">
        <v>31.066666666666666</v>
      </c>
      <c r="E11" s="20">
        <v>90</v>
      </c>
      <c r="F11" s="20">
        <v>32.255555555555553</v>
      </c>
      <c r="G11" s="20">
        <v>90</v>
      </c>
      <c r="H11" s="20">
        <v>33.877777777777773</v>
      </c>
      <c r="I11" s="20">
        <v>90</v>
      </c>
      <c r="J11" s="20">
        <v>35.211111111111109</v>
      </c>
      <c r="K11" s="20">
        <v>90</v>
      </c>
      <c r="L11" s="20">
        <v>35.066666666666663</v>
      </c>
    </row>
    <row r="15" spans="1:15" x14ac:dyDescent="0.45">
      <c r="K15" s="16"/>
      <c r="L15" s="16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Primary Measurements</vt:lpstr>
      <vt:lpstr>4.5 A</vt:lpstr>
      <vt:lpstr>5.0 A</vt:lpstr>
      <vt:lpstr>5.5 A</vt:lpstr>
      <vt:lpstr>6.0 A</vt:lpstr>
      <vt:lpstr>6.5 A</vt:lpstr>
      <vt:lpstr>AC 50%</vt:lpstr>
      <vt:lpstr>Comparing Results 0923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Nguyen</dc:creator>
  <cp:lastModifiedBy>Allen Nguyen</cp:lastModifiedBy>
  <dcterms:created xsi:type="dcterms:W3CDTF">2021-09-07T15:07:39Z</dcterms:created>
  <dcterms:modified xsi:type="dcterms:W3CDTF">2021-11-03T17:50:07Z</dcterms:modified>
</cp:coreProperties>
</file>