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432\Downloads\"/>
    </mc:Choice>
  </mc:AlternateContent>
  <xr:revisionPtr revIDLastSave="0" documentId="13_ncr:1_{6E946E4E-76A4-4046-9EB2-06A15610B3F6}" xr6:coauthVersionLast="36" xr6:coauthVersionMax="36" xr10:uidLastSave="{00000000-0000-0000-0000-000000000000}"/>
  <bookViews>
    <workbookView xWindow="0" yWindow="0" windowWidth="21495" windowHeight="10110" activeTab="3" xr2:uid="{F0661E5B-6DBE-A14D-B78A-8D6AC08F6764}"/>
  </bookViews>
  <sheets>
    <sheet name="Losses_SimResults" sheetId="15" r:id="rId1"/>
    <sheet name="DsC_N49_Xfmr_Chrac" sheetId="12" r:id="rId2"/>
    <sheet name="DsC_N49_Sec_OpenCkt" sheetId="8" r:id="rId3"/>
    <sheet name="DsC_N49_Sec_ShortCkt" sheetId="10" r:id="rId4"/>
    <sheet name="SsC_N49_Xfmr_Chrac" sheetId="13" r:id="rId5"/>
    <sheet name="SsC_N49_ShortCkt" sheetId="14" r:id="rId6"/>
    <sheet name="Q_SetUp Summary" sheetId="16" r:id="rId7"/>
    <sheet name="N49_Steinmetz params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6" l="1"/>
  <c r="E30" i="16"/>
  <c r="E29" i="16"/>
  <c r="E28" i="16"/>
  <c r="E27" i="16"/>
  <c r="E26" i="16"/>
  <c r="L18" i="14"/>
  <c r="L11" i="14"/>
  <c r="K14" i="14"/>
  <c r="K11" i="14"/>
  <c r="P12" i="14"/>
  <c r="P13" i="14"/>
  <c r="P14" i="14"/>
  <c r="P15" i="14"/>
  <c r="P16" i="14"/>
  <c r="P17" i="14"/>
  <c r="P18" i="14"/>
  <c r="P11" i="14"/>
  <c r="M12" i="14"/>
  <c r="M13" i="14"/>
  <c r="M14" i="14"/>
  <c r="M15" i="14"/>
  <c r="M16" i="14"/>
  <c r="M17" i="14"/>
  <c r="M18" i="14"/>
  <c r="M11" i="14"/>
  <c r="K12" i="14"/>
  <c r="L12" i="14" s="1"/>
  <c r="K13" i="14"/>
  <c r="K15" i="14"/>
  <c r="K16" i="14"/>
  <c r="K17" i="14"/>
  <c r="L17" i="14" s="1"/>
  <c r="K18" i="14"/>
  <c r="L16" i="14"/>
  <c r="L15" i="14"/>
  <c r="L14" i="14"/>
  <c r="L13" i="14"/>
  <c r="H29" i="16"/>
  <c r="H30" i="16"/>
  <c r="H28" i="16"/>
  <c r="H27" i="16"/>
  <c r="H26" i="16"/>
  <c r="R29" i="10"/>
  <c r="Q29" i="10"/>
  <c r="P30" i="10"/>
  <c r="P31" i="10"/>
  <c r="P32" i="10"/>
  <c r="P33" i="10"/>
  <c r="P34" i="10"/>
  <c r="P35" i="10"/>
  <c r="P36" i="10"/>
  <c r="P29" i="10"/>
  <c r="O29" i="10"/>
  <c r="M30" i="10"/>
  <c r="M31" i="10"/>
  <c r="M32" i="10"/>
  <c r="M33" i="10"/>
  <c r="M34" i="10"/>
  <c r="M35" i="10"/>
  <c r="M36" i="10"/>
  <c r="M29" i="10"/>
  <c r="K30" i="10"/>
  <c r="K31" i="10"/>
  <c r="K32" i="10"/>
  <c r="L32" i="10" s="1"/>
  <c r="K33" i="10"/>
  <c r="L33" i="10" s="1"/>
  <c r="K34" i="10"/>
  <c r="K35" i="10"/>
  <c r="K36" i="10"/>
  <c r="K29" i="10"/>
  <c r="L29" i="10" s="1"/>
  <c r="L30" i="10"/>
  <c r="L31" i="10"/>
  <c r="L34" i="10"/>
  <c r="L35" i="10"/>
  <c r="L36" i="10"/>
  <c r="B30" i="10"/>
  <c r="F26" i="16" s="1"/>
  <c r="B33" i="10"/>
  <c r="F27" i="16" s="1"/>
  <c r="B35" i="10"/>
  <c r="B36" i="10"/>
  <c r="F30" i="16" s="1"/>
  <c r="F29" i="16"/>
  <c r="F28" i="16"/>
  <c r="B50" i="10"/>
  <c r="F79" i="10"/>
  <c r="F78" i="10"/>
  <c r="C79" i="10"/>
  <c r="C78" i="10"/>
  <c r="B78" i="10"/>
  <c r="B79" i="10"/>
  <c r="B52" i="10"/>
  <c r="E79" i="10"/>
  <c r="I29" i="10"/>
  <c r="H29" i="10"/>
  <c r="G29" i="10"/>
  <c r="G29" i="16"/>
  <c r="G30" i="16"/>
  <c r="G28" i="16"/>
  <c r="G27" i="16"/>
  <c r="G26" i="16"/>
  <c r="C30" i="16"/>
  <c r="C29" i="16"/>
  <c r="C28" i="16"/>
  <c r="C27" i="16"/>
  <c r="C26" i="16"/>
  <c r="D30" i="16"/>
  <c r="D29" i="16"/>
  <c r="D28" i="16"/>
  <c r="D27" i="16"/>
  <c r="D26" i="16"/>
  <c r="C19" i="16"/>
  <c r="B12" i="14"/>
  <c r="B13" i="14"/>
  <c r="B14" i="14"/>
  <c r="B15" i="14"/>
  <c r="B16" i="14"/>
  <c r="B17" i="14"/>
  <c r="B18" i="14"/>
  <c r="B11" i="14"/>
  <c r="J11" i="14" s="1"/>
  <c r="I11" i="14"/>
  <c r="H12" i="14"/>
  <c r="H13" i="14"/>
  <c r="H14" i="14"/>
  <c r="H15" i="14"/>
  <c r="H16" i="14"/>
  <c r="H17" i="14"/>
  <c r="H18" i="14"/>
  <c r="H11" i="14"/>
  <c r="G12" i="14"/>
  <c r="G13" i="14"/>
  <c r="I13" i="14" s="1"/>
  <c r="G14" i="14"/>
  <c r="G15" i="14"/>
  <c r="G16" i="14"/>
  <c r="G17" i="14"/>
  <c r="G18" i="14"/>
  <c r="G11" i="14"/>
  <c r="F11" i="14"/>
  <c r="D18" i="14"/>
  <c r="F18" i="14" s="1"/>
  <c r="D17" i="14"/>
  <c r="F17" i="14" s="1"/>
  <c r="D16" i="14"/>
  <c r="F16" i="14" s="1"/>
  <c r="D15" i="14"/>
  <c r="F15" i="14" s="1"/>
  <c r="D14" i="14"/>
  <c r="D13" i="14"/>
  <c r="F13" i="14" s="1"/>
  <c r="D12" i="14"/>
  <c r="F12" i="14" s="1"/>
  <c r="D11" i="14"/>
  <c r="N18" i="14"/>
  <c r="O18" i="14" s="1"/>
  <c r="I18" i="14"/>
  <c r="N17" i="14"/>
  <c r="O17" i="14" s="1"/>
  <c r="N16" i="14"/>
  <c r="O16" i="14" s="1"/>
  <c r="N15" i="14"/>
  <c r="O15" i="14" s="1"/>
  <c r="O14" i="14"/>
  <c r="N14" i="14"/>
  <c r="F14" i="14"/>
  <c r="N13" i="14"/>
  <c r="O13" i="14" s="1"/>
  <c r="N12" i="14"/>
  <c r="O12" i="14" s="1"/>
  <c r="N11" i="14"/>
  <c r="O11" i="14" s="1"/>
  <c r="B8" i="14"/>
  <c r="B6" i="14"/>
  <c r="H5" i="14"/>
  <c r="B7" i="14" s="1"/>
  <c r="E5" i="14"/>
  <c r="E6" i="14" s="1"/>
  <c r="B5" i="14"/>
  <c r="B4" i="14"/>
  <c r="N33" i="8"/>
  <c r="H30" i="10"/>
  <c r="H31" i="10"/>
  <c r="H32" i="10"/>
  <c r="H33" i="10"/>
  <c r="H34" i="10"/>
  <c r="H35" i="10"/>
  <c r="H36" i="10"/>
  <c r="G30" i="10"/>
  <c r="I30" i="10" s="1"/>
  <c r="G31" i="10"/>
  <c r="G32" i="10"/>
  <c r="G33" i="10"/>
  <c r="G34" i="10"/>
  <c r="G35" i="10"/>
  <c r="G36" i="10"/>
  <c r="F29" i="10"/>
  <c r="B23" i="10"/>
  <c r="B32" i="10"/>
  <c r="B31" i="10"/>
  <c r="B34" i="10"/>
  <c r="B29" i="10"/>
  <c r="F30" i="10"/>
  <c r="F31" i="10"/>
  <c r="F32" i="10"/>
  <c r="F33" i="10"/>
  <c r="F34" i="10"/>
  <c r="F35" i="10"/>
  <c r="F36" i="10"/>
  <c r="N36" i="10"/>
  <c r="O36" i="10" s="1"/>
  <c r="D36" i="10"/>
  <c r="D32" i="10"/>
  <c r="D33" i="10"/>
  <c r="D35" i="10"/>
  <c r="D34" i="10"/>
  <c r="D31" i="10"/>
  <c r="D30" i="10"/>
  <c r="D29" i="10"/>
  <c r="B25" i="10"/>
  <c r="N35" i="10"/>
  <c r="O35" i="10" s="1"/>
  <c r="O34" i="10"/>
  <c r="N34" i="10"/>
  <c r="N33" i="10"/>
  <c r="O33" i="10" s="1"/>
  <c r="O32" i="10"/>
  <c r="N32" i="10"/>
  <c r="N31" i="10"/>
  <c r="O31" i="10" s="1"/>
  <c r="N30" i="10"/>
  <c r="O30" i="10" s="1"/>
  <c r="N29" i="10"/>
  <c r="B26" i="10"/>
  <c r="B24" i="10"/>
  <c r="E23" i="10"/>
  <c r="E24" i="10" s="1"/>
  <c r="B22" i="10"/>
  <c r="J33" i="8"/>
  <c r="M7" i="10"/>
  <c r="T53" i="8"/>
  <c r="S54" i="8"/>
  <c r="S55" i="8"/>
  <c r="S56" i="8"/>
  <c r="S57" i="8"/>
  <c r="S53" i="8"/>
  <c r="S34" i="8"/>
  <c r="S35" i="8"/>
  <c r="S36" i="8"/>
  <c r="S37" i="8"/>
  <c r="S38" i="8"/>
  <c r="S33" i="8"/>
  <c r="S13" i="8"/>
  <c r="S14" i="8"/>
  <c r="S15" i="8"/>
  <c r="S16" i="8"/>
  <c r="S17" i="8"/>
  <c r="S12" i="8"/>
  <c r="Q12" i="8"/>
  <c r="J29" i="10" l="1"/>
  <c r="I28" i="16"/>
  <c r="I12" i="14"/>
  <c r="J12" i="14" s="1"/>
  <c r="Q14" i="14"/>
  <c r="Q12" i="14"/>
  <c r="Q15" i="14"/>
  <c r="Q13" i="14"/>
  <c r="R13" i="14" s="1"/>
  <c r="S13" i="14" s="1"/>
  <c r="Q11" i="14"/>
  <c r="Q16" i="14"/>
  <c r="Q18" i="14"/>
  <c r="Q17" i="14"/>
  <c r="R18" i="14"/>
  <c r="S18" i="14" s="1"/>
  <c r="J18" i="14"/>
  <c r="J13" i="14"/>
  <c r="H6" i="14"/>
  <c r="I17" i="14"/>
  <c r="I14" i="14"/>
  <c r="I15" i="14"/>
  <c r="I16" i="14"/>
  <c r="J16" i="14" s="1"/>
  <c r="Q32" i="10"/>
  <c r="R32" i="10" s="1"/>
  <c r="S32" i="10" s="1"/>
  <c r="I32" i="10"/>
  <c r="J32" i="10" s="1"/>
  <c r="I31" i="10"/>
  <c r="J31" i="10" s="1"/>
  <c r="Q36" i="10"/>
  <c r="I36" i="10"/>
  <c r="J36" i="10" s="1"/>
  <c r="Q34" i="10"/>
  <c r="I34" i="10"/>
  <c r="J34" i="10" s="1"/>
  <c r="J30" i="10"/>
  <c r="I33" i="10"/>
  <c r="J33" i="10" s="1"/>
  <c r="Q31" i="10"/>
  <c r="Q35" i="10"/>
  <c r="Q33" i="10"/>
  <c r="Q30" i="10"/>
  <c r="R30" i="10" s="1"/>
  <c r="S30" i="10" s="1"/>
  <c r="I35" i="10"/>
  <c r="D16" i="12"/>
  <c r="B16" i="12"/>
  <c r="M3" i="12"/>
  <c r="B44" i="10"/>
  <c r="I26" i="16" l="1"/>
  <c r="I27" i="16"/>
  <c r="R12" i="14"/>
  <c r="S12" i="14" s="1"/>
  <c r="J14" i="14"/>
  <c r="R14" i="14"/>
  <c r="S14" i="14" s="1"/>
  <c r="J15" i="14"/>
  <c r="R15" i="14"/>
  <c r="S15" i="14" s="1"/>
  <c r="J17" i="14"/>
  <c r="R17" i="14"/>
  <c r="S17" i="14" s="1"/>
  <c r="R16" i="14"/>
  <c r="S16" i="14" s="1"/>
  <c r="R11" i="14"/>
  <c r="S11" i="14" s="1"/>
  <c r="R31" i="10"/>
  <c r="S31" i="10" s="1"/>
  <c r="R36" i="10"/>
  <c r="S36" i="10" s="1"/>
  <c r="R33" i="10"/>
  <c r="S33" i="10" s="1"/>
  <c r="R34" i="10"/>
  <c r="S34" i="10" s="1"/>
  <c r="S29" i="10"/>
  <c r="J35" i="10"/>
  <c r="I29" i="16" s="1"/>
  <c r="R35" i="10"/>
  <c r="S35" i="10" s="1"/>
  <c r="B30" i="17"/>
  <c r="F24" i="17" l="1"/>
  <c r="F30" i="17" s="1"/>
  <c r="B24" i="17"/>
  <c r="H15" i="17"/>
  <c r="F15" i="17"/>
  <c r="D15" i="17"/>
  <c r="B15" i="17"/>
  <c r="H14" i="17"/>
  <c r="F14" i="17"/>
  <c r="D14" i="17"/>
  <c r="B14" i="17"/>
  <c r="H13" i="17"/>
  <c r="F13" i="17"/>
  <c r="D13" i="17"/>
  <c r="B13" i="17"/>
  <c r="H12" i="17"/>
  <c r="F12" i="17"/>
  <c r="D12" i="17"/>
  <c r="B12" i="17"/>
  <c r="H11" i="17"/>
  <c r="F11" i="17"/>
  <c r="D11" i="17"/>
  <c r="B11" i="17"/>
  <c r="H85" i="14"/>
  <c r="H79" i="14"/>
  <c r="H76" i="14"/>
  <c r="L65" i="14"/>
  <c r="M65" i="14" s="1"/>
  <c r="F65" i="14"/>
  <c r="L64" i="14"/>
  <c r="M64" i="14" s="1"/>
  <c r="F64" i="14"/>
  <c r="L63" i="14"/>
  <c r="M63" i="14" s="1"/>
  <c r="F63" i="14"/>
  <c r="L62" i="14"/>
  <c r="M62" i="14" s="1"/>
  <c r="F62" i="14"/>
  <c r="L61" i="14"/>
  <c r="M61" i="14" s="1"/>
  <c r="F61" i="14"/>
  <c r="L60" i="14"/>
  <c r="M60" i="14" s="1"/>
  <c r="F60" i="14"/>
  <c r="B57" i="14"/>
  <c r="B56" i="14"/>
  <c r="H55" i="14"/>
  <c r="D85" i="14" s="1"/>
  <c r="H54" i="14"/>
  <c r="I85" i="14" s="1"/>
  <c r="E54" i="14"/>
  <c r="E55" i="14" s="1"/>
  <c r="B54" i="14"/>
  <c r="B55" i="14" s="1"/>
  <c r="B53" i="14"/>
  <c r="L40" i="14"/>
  <c r="M40" i="14" s="1"/>
  <c r="F40" i="14"/>
  <c r="L39" i="14"/>
  <c r="M39" i="14" s="1"/>
  <c r="F39" i="14"/>
  <c r="L38" i="14"/>
  <c r="M38" i="14" s="1"/>
  <c r="F38" i="14"/>
  <c r="L37" i="14"/>
  <c r="M37" i="14" s="1"/>
  <c r="F37" i="14"/>
  <c r="L36" i="14"/>
  <c r="M36" i="14" s="1"/>
  <c r="F36" i="14"/>
  <c r="L35" i="14"/>
  <c r="M35" i="14" s="1"/>
  <c r="F35" i="14"/>
  <c r="L34" i="14"/>
  <c r="M34" i="14" s="1"/>
  <c r="F34" i="14"/>
  <c r="L33" i="14"/>
  <c r="M33" i="14" s="1"/>
  <c r="F33" i="14"/>
  <c r="AA32" i="14"/>
  <c r="Z32" i="14"/>
  <c r="X32" i="14"/>
  <c r="W32" i="14"/>
  <c r="B30" i="14"/>
  <c r="H27" i="14"/>
  <c r="G34" i="14" s="1"/>
  <c r="E27" i="14"/>
  <c r="E28" i="14" s="1"/>
  <c r="B27" i="14"/>
  <c r="B28" i="14" s="1"/>
  <c r="B26" i="14"/>
  <c r="M3" i="13"/>
  <c r="M186" i="10"/>
  <c r="L186" i="10"/>
  <c r="G186" i="10"/>
  <c r="F186" i="10"/>
  <c r="L185" i="10"/>
  <c r="M185" i="10" s="1"/>
  <c r="O185" i="10" s="1"/>
  <c r="G185" i="10"/>
  <c r="H185" i="10" s="1"/>
  <c r="F185" i="10"/>
  <c r="L184" i="10"/>
  <c r="M184" i="10" s="1"/>
  <c r="H184" i="10"/>
  <c r="G184" i="10"/>
  <c r="I184" i="10" s="1"/>
  <c r="F184" i="10"/>
  <c r="L183" i="10"/>
  <c r="M183" i="10" s="1"/>
  <c r="G183" i="10"/>
  <c r="F183" i="10"/>
  <c r="L182" i="10"/>
  <c r="M182" i="10" s="1"/>
  <c r="G182" i="10"/>
  <c r="F182" i="10"/>
  <c r="B179" i="10"/>
  <c r="B178" i="10"/>
  <c r="B177" i="10"/>
  <c r="B185" i="10" s="1"/>
  <c r="E176" i="10"/>
  <c r="E177" i="10" s="1"/>
  <c r="B175" i="10"/>
  <c r="J167" i="10"/>
  <c r="G167" i="10"/>
  <c r="H167" i="10" s="1"/>
  <c r="F167" i="10"/>
  <c r="D167" i="10"/>
  <c r="H166" i="10"/>
  <c r="G166" i="10"/>
  <c r="F166" i="10"/>
  <c r="D166" i="10"/>
  <c r="G164" i="10"/>
  <c r="D164" i="10"/>
  <c r="F164" i="10" s="1"/>
  <c r="J163" i="10"/>
  <c r="H163" i="10"/>
  <c r="G163" i="10"/>
  <c r="F163" i="10"/>
  <c r="D163" i="10"/>
  <c r="G162" i="10"/>
  <c r="F162" i="10"/>
  <c r="D162" i="10"/>
  <c r="B162" i="10"/>
  <c r="J161" i="10"/>
  <c r="G161" i="10"/>
  <c r="D161" i="10"/>
  <c r="F161" i="10" s="1"/>
  <c r="B161" i="10"/>
  <c r="H160" i="10"/>
  <c r="G160" i="10"/>
  <c r="D160" i="10"/>
  <c r="F160" i="10" s="1"/>
  <c r="G159" i="10"/>
  <c r="D159" i="10"/>
  <c r="H159" i="10" s="1"/>
  <c r="J158" i="10"/>
  <c r="G158" i="10"/>
  <c r="D158" i="10"/>
  <c r="F158" i="10" s="1"/>
  <c r="B158" i="10"/>
  <c r="G157" i="10"/>
  <c r="D157" i="10"/>
  <c r="F157" i="10" s="1"/>
  <c r="G156" i="10"/>
  <c r="H156" i="10" s="1"/>
  <c r="D156" i="10"/>
  <c r="F156" i="10" s="1"/>
  <c r="B156" i="10"/>
  <c r="B153" i="10"/>
  <c r="B152" i="10"/>
  <c r="E151" i="10"/>
  <c r="B151" i="10"/>
  <c r="B167" i="10" s="1"/>
  <c r="H149" i="10"/>
  <c r="J166" i="10" s="1"/>
  <c r="E149" i="10"/>
  <c r="B149" i="10"/>
  <c r="M123" i="10"/>
  <c r="L123" i="10"/>
  <c r="F123" i="10"/>
  <c r="M122" i="10"/>
  <c r="L122" i="10"/>
  <c r="F122" i="10"/>
  <c r="M121" i="10"/>
  <c r="L121" i="10"/>
  <c r="F121" i="10"/>
  <c r="L120" i="10"/>
  <c r="M120" i="10" s="1"/>
  <c r="F120" i="10"/>
  <c r="L119" i="10"/>
  <c r="M119" i="10" s="1"/>
  <c r="F119" i="10"/>
  <c r="L118" i="10"/>
  <c r="M118" i="10" s="1"/>
  <c r="F118" i="10"/>
  <c r="B115" i="10"/>
  <c r="B112" i="10"/>
  <c r="B111" i="10"/>
  <c r="L97" i="10"/>
  <c r="M97" i="10" s="1"/>
  <c r="G97" i="10"/>
  <c r="F97" i="10"/>
  <c r="L96" i="10"/>
  <c r="M96" i="10" s="1"/>
  <c r="G96" i="10"/>
  <c r="H96" i="10" s="1"/>
  <c r="F96" i="10"/>
  <c r="L95" i="10"/>
  <c r="M95" i="10" s="1"/>
  <c r="F95" i="10"/>
  <c r="M94" i="10"/>
  <c r="L94" i="10"/>
  <c r="F94" i="10"/>
  <c r="L93" i="10"/>
  <c r="M93" i="10" s="1"/>
  <c r="F93" i="10"/>
  <c r="L92" i="10"/>
  <c r="M92" i="10" s="1"/>
  <c r="G92" i="10"/>
  <c r="H92" i="10" s="1"/>
  <c r="F92" i="10"/>
  <c r="L91" i="10"/>
  <c r="M91" i="10" s="1"/>
  <c r="G91" i="10"/>
  <c r="H91" i="10" s="1"/>
  <c r="I91" i="10" s="1"/>
  <c r="F91" i="10"/>
  <c r="B88" i="10"/>
  <c r="B86" i="10"/>
  <c r="E85" i="10"/>
  <c r="E86" i="10" s="1"/>
  <c r="B85" i="10"/>
  <c r="G95" i="10" s="1"/>
  <c r="B84" i="10"/>
  <c r="H78" i="10"/>
  <c r="E78" i="10"/>
  <c r="L57" i="10"/>
  <c r="M57" i="10" s="1"/>
  <c r="F57" i="10"/>
  <c r="L56" i="10"/>
  <c r="M56" i="10" s="1"/>
  <c r="G56" i="10"/>
  <c r="F56" i="10"/>
  <c r="L55" i="10"/>
  <c r="M55" i="10" s="1"/>
  <c r="F55" i="10"/>
  <c r="M54" i="10"/>
  <c r="O54" i="10" s="1"/>
  <c r="L54" i="10"/>
  <c r="G54" i="10"/>
  <c r="F54" i="10"/>
  <c r="M53" i="10"/>
  <c r="O53" i="10" s="1"/>
  <c r="L53" i="10"/>
  <c r="F53" i="10"/>
  <c r="B53" i="10"/>
  <c r="V51" i="10" s="1"/>
  <c r="L52" i="10"/>
  <c r="M52" i="10" s="1"/>
  <c r="F52" i="10"/>
  <c r="M51" i="10"/>
  <c r="O51" i="10" s="1"/>
  <c r="L51" i="10"/>
  <c r="G51" i="10"/>
  <c r="F51" i="10"/>
  <c r="B51" i="10"/>
  <c r="M50" i="10"/>
  <c r="L50" i="10"/>
  <c r="F50" i="10"/>
  <c r="AA49" i="10"/>
  <c r="Z49" i="10"/>
  <c r="X49" i="10"/>
  <c r="W49" i="10"/>
  <c r="B47" i="10"/>
  <c r="B45" i="10"/>
  <c r="B54" i="10" s="1"/>
  <c r="E44" i="10"/>
  <c r="E45" i="10" s="1"/>
  <c r="G52" i="10"/>
  <c r="B43" i="10"/>
  <c r="M15" i="10"/>
  <c r="L15" i="10"/>
  <c r="G15" i="10"/>
  <c r="H15" i="10" s="1"/>
  <c r="I15" i="10" s="1"/>
  <c r="F15" i="10"/>
  <c r="B15" i="10"/>
  <c r="M14" i="10"/>
  <c r="O14" i="10" s="1"/>
  <c r="L14" i="10"/>
  <c r="H14" i="10"/>
  <c r="I14" i="10" s="1"/>
  <c r="G14" i="10"/>
  <c r="F14" i="10"/>
  <c r="L13" i="10"/>
  <c r="M13" i="10" s="1"/>
  <c r="G13" i="10"/>
  <c r="F13" i="10"/>
  <c r="M12" i="10"/>
  <c r="O12" i="10" s="1"/>
  <c r="L12" i="10"/>
  <c r="H12" i="10"/>
  <c r="I12" i="10" s="1"/>
  <c r="G12" i="10"/>
  <c r="F12" i="10"/>
  <c r="B12" i="10"/>
  <c r="L11" i="10"/>
  <c r="M11" i="10" s="1"/>
  <c r="O11" i="10" s="1"/>
  <c r="G11" i="10"/>
  <c r="F11" i="10"/>
  <c r="B11" i="10"/>
  <c r="B8" i="10"/>
  <c r="E24" i="17" s="1"/>
  <c r="E30" i="17" s="1"/>
  <c r="B31" i="17" s="1"/>
  <c r="B7" i="10"/>
  <c r="B6" i="10"/>
  <c r="B14" i="10" s="1"/>
  <c r="E5" i="10"/>
  <c r="E6" i="10" s="1"/>
  <c r="B4" i="10"/>
  <c r="P57" i="8"/>
  <c r="Q57" i="8" s="1"/>
  <c r="L57" i="8"/>
  <c r="J57" i="8"/>
  <c r="K57" i="8" s="1"/>
  <c r="G57" i="8"/>
  <c r="F57" i="8"/>
  <c r="P56" i="8"/>
  <c r="Q56" i="8" s="1"/>
  <c r="L56" i="8"/>
  <c r="H56" i="8"/>
  <c r="G56" i="8"/>
  <c r="F56" i="8"/>
  <c r="Q55" i="8"/>
  <c r="P55" i="8"/>
  <c r="L55" i="8"/>
  <c r="H55" i="8"/>
  <c r="G55" i="8"/>
  <c r="I55" i="8" s="1"/>
  <c r="F55" i="8"/>
  <c r="P54" i="8"/>
  <c r="Q54" i="8" s="1"/>
  <c r="L54" i="8"/>
  <c r="K54" i="8"/>
  <c r="J54" i="8"/>
  <c r="G54" i="8"/>
  <c r="F54" i="8"/>
  <c r="P53" i="8"/>
  <c r="Q53" i="8" s="1"/>
  <c r="L53" i="8"/>
  <c r="H53" i="8"/>
  <c r="G53" i="8"/>
  <c r="I53" i="8" s="1"/>
  <c r="F53" i="8"/>
  <c r="B50" i="8"/>
  <c r="B49" i="8"/>
  <c r="E48" i="8"/>
  <c r="B48" i="8"/>
  <c r="H47" i="8"/>
  <c r="J55" i="8" s="1"/>
  <c r="K55" i="8" s="1"/>
  <c r="E46" i="8"/>
  <c r="B46" i="8"/>
  <c r="H45" i="8"/>
  <c r="Q38" i="8"/>
  <c r="P38" i="8"/>
  <c r="L38" i="8"/>
  <c r="F38" i="8"/>
  <c r="Q37" i="8"/>
  <c r="P37" i="8"/>
  <c r="F37" i="8"/>
  <c r="Q36" i="8"/>
  <c r="P36" i="8"/>
  <c r="G36" i="8"/>
  <c r="F36" i="8"/>
  <c r="Q35" i="8"/>
  <c r="P35" i="8"/>
  <c r="L35" i="8"/>
  <c r="F35" i="8"/>
  <c r="Q34" i="8"/>
  <c r="P34" i="8"/>
  <c r="F34" i="8"/>
  <c r="Q33" i="8"/>
  <c r="P33" i="8"/>
  <c r="F33" i="8"/>
  <c r="B30" i="8"/>
  <c r="B28" i="8"/>
  <c r="E26" i="8"/>
  <c r="E27" i="8" s="1"/>
  <c r="B26" i="8"/>
  <c r="G38" i="8" s="1"/>
  <c r="E25" i="8"/>
  <c r="B25" i="8"/>
  <c r="H24" i="8"/>
  <c r="Q17" i="8"/>
  <c r="P17" i="8"/>
  <c r="N17" i="8"/>
  <c r="O17" i="8" s="1"/>
  <c r="L17" i="8"/>
  <c r="I17" i="8"/>
  <c r="M17" i="8" s="1"/>
  <c r="H17" i="8"/>
  <c r="G17" i="8"/>
  <c r="F17" i="8"/>
  <c r="B17" i="8"/>
  <c r="Q16" i="8"/>
  <c r="P16" i="8"/>
  <c r="L16" i="8"/>
  <c r="J16" i="8"/>
  <c r="K16" i="8" s="1"/>
  <c r="G16" i="8"/>
  <c r="F16" i="8"/>
  <c r="Q15" i="8"/>
  <c r="P15" i="8"/>
  <c r="L15" i="8"/>
  <c r="G15" i="8"/>
  <c r="F15" i="8"/>
  <c r="B15" i="8"/>
  <c r="Q14" i="8"/>
  <c r="P14" i="8"/>
  <c r="L14" i="8"/>
  <c r="H14" i="8"/>
  <c r="I14" i="8" s="1"/>
  <c r="G14" i="8"/>
  <c r="F14" i="8"/>
  <c r="B14" i="8"/>
  <c r="Q13" i="8"/>
  <c r="P13" i="8"/>
  <c r="M13" i="8"/>
  <c r="L13" i="8"/>
  <c r="J13" i="8"/>
  <c r="K13" i="8" s="1"/>
  <c r="I13" i="8"/>
  <c r="H13" i="8"/>
  <c r="G13" i="8"/>
  <c r="F13" i="8"/>
  <c r="B13" i="8"/>
  <c r="P12" i="8"/>
  <c r="L12" i="8"/>
  <c r="I12" i="8"/>
  <c r="M12" i="8" s="1"/>
  <c r="H12" i="8"/>
  <c r="G12" i="8"/>
  <c r="F12" i="8"/>
  <c r="B12" i="8"/>
  <c r="B9" i="8"/>
  <c r="B8" i="8"/>
  <c r="B7" i="8"/>
  <c r="E6" i="8"/>
  <c r="B6" i="8"/>
  <c r="B16" i="8" s="1"/>
  <c r="H5" i="8"/>
  <c r="J15" i="8" s="1"/>
  <c r="K15" i="8" s="1"/>
  <c r="E4" i="8"/>
  <c r="B4" i="8"/>
  <c r="E45" i="12"/>
  <c r="D45" i="12"/>
  <c r="B45" i="12"/>
  <c r="D42" i="12"/>
  <c r="B42" i="12"/>
  <c r="M31" i="12"/>
  <c r="K9" i="15"/>
  <c r="I9" i="15"/>
  <c r="F9" i="15"/>
  <c r="D9" i="15"/>
  <c r="K8" i="15"/>
  <c r="I8" i="15"/>
  <c r="F8" i="15"/>
  <c r="D8" i="15"/>
  <c r="K7" i="15"/>
  <c r="I7" i="15"/>
  <c r="F7" i="15"/>
  <c r="D7" i="15"/>
  <c r="G35" i="14" l="1"/>
  <c r="O60" i="14"/>
  <c r="D79" i="14"/>
  <c r="G63" i="14"/>
  <c r="H63" i="14" s="1"/>
  <c r="I63" i="14" s="1"/>
  <c r="O55" i="10"/>
  <c r="O91" i="10"/>
  <c r="O57" i="10"/>
  <c r="O182" i="10"/>
  <c r="B55" i="10"/>
  <c r="F19" i="16" s="1"/>
  <c r="B159" i="10"/>
  <c r="B164" i="10"/>
  <c r="B183" i="10"/>
  <c r="O183" i="10" s="1"/>
  <c r="I92" i="10"/>
  <c r="F159" i="10"/>
  <c r="I167" i="10"/>
  <c r="K167" i="10" s="1"/>
  <c r="O50" i="10"/>
  <c r="G93" i="10"/>
  <c r="I159" i="10"/>
  <c r="J164" i="10"/>
  <c r="H183" i="10"/>
  <c r="I183" i="10" s="1"/>
  <c r="I156" i="10"/>
  <c r="O15" i="10"/>
  <c r="B166" i="10"/>
  <c r="H150" i="10"/>
  <c r="I157" i="10"/>
  <c r="I162" i="10"/>
  <c r="H157" i="10"/>
  <c r="H162" i="10"/>
  <c r="O184" i="10"/>
  <c r="J157" i="10"/>
  <c r="I160" i="10"/>
  <c r="K160" i="10" s="1"/>
  <c r="B186" i="10"/>
  <c r="O186" i="10" s="1"/>
  <c r="B25" i="17"/>
  <c r="B182" i="10"/>
  <c r="B184" i="10"/>
  <c r="J184" i="10" s="1"/>
  <c r="J160" i="10"/>
  <c r="I163" i="10"/>
  <c r="K163" i="10" s="1"/>
  <c r="J14" i="10"/>
  <c r="B97" i="10"/>
  <c r="O97" i="10" s="1"/>
  <c r="B96" i="10"/>
  <c r="O96" i="10" s="1"/>
  <c r="B95" i="10"/>
  <c r="O95" i="10" s="1"/>
  <c r="B94" i="10"/>
  <c r="O94" i="10" s="1"/>
  <c r="B93" i="10"/>
  <c r="O93" i="10" s="1"/>
  <c r="B92" i="10"/>
  <c r="O92" i="10" s="1"/>
  <c r="P92" i="10" s="1"/>
  <c r="B91" i="10"/>
  <c r="G121" i="10"/>
  <c r="G120" i="10"/>
  <c r="G119" i="10"/>
  <c r="G118" i="10"/>
  <c r="B114" i="10"/>
  <c r="B113" i="10"/>
  <c r="G123" i="10"/>
  <c r="E112" i="10"/>
  <c r="E113" i="10" s="1"/>
  <c r="H161" i="10"/>
  <c r="I161" i="10" s="1"/>
  <c r="K161" i="10" s="1"/>
  <c r="J12" i="10"/>
  <c r="K12" i="10" s="1"/>
  <c r="H52" i="10"/>
  <c r="I52" i="10" s="1"/>
  <c r="J91" i="10"/>
  <c r="K91" i="10" s="1"/>
  <c r="P184" i="10"/>
  <c r="Q184" i="10" s="1"/>
  <c r="J85" i="14"/>
  <c r="K85" i="14" s="1"/>
  <c r="L85" i="14" s="1"/>
  <c r="P91" i="10"/>
  <c r="H16" i="8"/>
  <c r="I16" i="8" s="1"/>
  <c r="M16" i="8" s="1"/>
  <c r="H54" i="8"/>
  <c r="I54" i="8" s="1"/>
  <c r="N12" i="8"/>
  <c r="O12" i="8" s="1"/>
  <c r="T12" i="8"/>
  <c r="U12" i="8" s="1"/>
  <c r="T13" i="8"/>
  <c r="U13" i="8" s="1"/>
  <c r="N13" i="8"/>
  <c r="O13" i="8" s="1"/>
  <c r="H36" i="8"/>
  <c r="I36" i="8" s="1"/>
  <c r="M53" i="8"/>
  <c r="H38" i="8"/>
  <c r="I38" i="8" s="1"/>
  <c r="M38" i="8" s="1"/>
  <c r="P12" i="10"/>
  <c r="Q12" i="10" s="1"/>
  <c r="M55" i="8"/>
  <c r="I57" i="8"/>
  <c r="H57" i="8"/>
  <c r="H13" i="10"/>
  <c r="I13" i="10" s="1"/>
  <c r="P15" i="10"/>
  <c r="Q15" i="10" s="1"/>
  <c r="J15" i="10"/>
  <c r="I97" i="10"/>
  <c r="H97" i="10"/>
  <c r="H34" i="14"/>
  <c r="I34" i="14" s="1"/>
  <c r="R12" i="8"/>
  <c r="M14" i="8"/>
  <c r="M57" i="8"/>
  <c r="J92" i="10"/>
  <c r="K92" i="10" s="1"/>
  <c r="G122" i="10"/>
  <c r="I166" i="10"/>
  <c r="K166" i="10" s="1"/>
  <c r="H95" i="10"/>
  <c r="I95" i="10" s="1"/>
  <c r="H158" i="10"/>
  <c r="I158" i="10" s="1"/>
  <c r="K158" i="10" s="1"/>
  <c r="T17" i="8"/>
  <c r="U17" i="8" s="1"/>
  <c r="R17" i="8"/>
  <c r="I56" i="8"/>
  <c r="H56" i="10"/>
  <c r="I56" i="10" s="1"/>
  <c r="H26" i="8"/>
  <c r="B13" i="10"/>
  <c r="O13" i="10" s="1"/>
  <c r="P14" i="10"/>
  <c r="Q14" i="10" s="1"/>
  <c r="B56" i="10"/>
  <c r="O56" i="10" s="1"/>
  <c r="I96" i="10"/>
  <c r="J96" i="10" s="1"/>
  <c r="I185" i="10"/>
  <c r="J185" i="10" s="1"/>
  <c r="H186" i="10"/>
  <c r="I186" i="10" s="1"/>
  <c r="J186" i="10" s="1"/>
  <c r="K186" i="10" s="1"/>
  <c r="H35" i="14"/>
  <c r="I35" i="14" s="1"/>
  <c r="B27" i="8"/>
  <c r="L33" i="8"/>
  <c r="G34" i="8"/>
  <c r="J53" i="8"/>
  <c r="K53" i="8" s="1"/>
  <c r="J56" i="8"/>
  <c r="K56" i="8" s="1"/>
  <c r="H11" i="10"/>
  <c r="I11" i="10" s="1"/>
  <c r="J11" i="10" s="1"/>
  <c r="K11" i="10" s="1"/>
  <c r="H51" i="10"/>
  <c r="I51" i="10" s="1"/>
  <c r="J51" i="10" s="1"/>
  <c r="H54" i="10"/>
  <c r="I54" i="10" s="1"/>
  <c r="J54" i="10" s="1"/>
  <c r="G55" i="10"/>
  <c r="B57" i="10"/>
  <c r="B87" i="10"/>
  <c r="J156" i="10"/>
  <c r="J159" i="10"/>
  <c r="J162" i="10"/>
  <c r="G57" i="10"/>
  <c r="B157" i="10"/>
  <c r="B160" i="10"/>
  <c r="B163" i="10"/>
  <c r="H164" i="10"/>
  <c r="I164" i="10" s="1"/>
  <c r="K164" i="10" s="1"/>
  <c r="G37" i="14"/>
  <c r="B61" i="14"/>
  <c r="O61" i="14" s="1"/>
  <c r="G33" i="14"/>
  <c r="B60" i="14"/>
  <c r="J14" i="8"/>
  <c r="K14" i="8" s="1"/>
  <c r="B29" i="8"/>
  <c r="L36" i="8"/>
  <c r="G37" i="8"/>
  <c r="G50" i="10"/>
  <c r="G53" i="10"/>
  <c r="G38" i="14"/>
  <c r="G60" i="14"/>
  <c r="B62" i="14"/>
  <c r="O62" i="14" s="1"/>
  <c r="I79" i="14"/>
  <c r="H28" i="14"/>
  <c r="G39" i="14"/>
  <c r="G61" i="14"/>
  <c r="B63" i="14"/>
  <c r="O63" i="14" s="1"/>
  <c r="L34" i="8"/>
  <c r="G35" i="8"/>
  <c r="O52" i="10"/>
  <c r="B29" i="14"/>
  <c r="G40" i="14"/>
  <c r="G62" i="14"/>
  <c r="B64" i="14"/>
  <c r="O64" i="14" s="1"/>
  <c r="H79" i="10"/>
  <c r="G36" i="14"/>
  <c r="B65" i="14"/>
  <c r="O65" i="14" s="1"/>
  <c r="J12" i="8"/>
  <c r="K12" i="8" s="1"/>
  <c r="H15" i="8"/>
  <c r="I15" i="8" s="1"/>
  <c r="M15" i="8" s="1"/>
  <c r="J17" i="8"/>
  <c r="K17" i="8" s="1"/>
  <c r="G33" i="8"/>
  <c r="B46" i="10"/>
  <c r="H93" i="10"/>
  <c r="I93" i="10" s="1"/>
  <c r="G94" i="10"/>
  <c r="H182" i="10"/>
  <c r="I182" i="10" s="1"/>
  <c r="G64" i="14"/>
  <c r="D76" i="14"/>
  <c r="L37" i="8"/>
  <c r="G65" i="14"/>
  <c r="I76" i="14"/>
  <c r="K184" i="10" l="1"/>
  <c r="N184" i="10"/>
  <c r="J95" i="10"/>
  <c r="K95" i="10" s="1"/>
  <c r="P95" i="10"/>
  <c r="J183" i="10"/>
  <c r="P183" i="10"/>
  <c r="Q183" i="10" s="1"/>
  <c r="K157" i="10"/>
  <c r="K156" i="10"/>
  <c r="N12" i="10"/>
  <c r="K162" i="10"/>
  <c r="K159" i="10"/>
  <c r="J13" i="10"/>
  <c r="P13" i="10"/>
  <c r="W52" i="10"/>
  <c r="G20" i="16" s="1"/>
  <c r="J56" i="10"/>
  <c r="P56" i="10"/>
  <c r="J63" i="14"/>
  <c r="Z35" i="14"/>
  <c r="P63" i="14"/>
  <c r="J182" i="10"/>
  <c r="P182" i="10"/>
  <c r="Q182" i="10" s="1"/>
  <c r="N54" i="8"/>
  <c r="M54" i="8"/>
  <c r="N16" i="8"/>
  <c r="T16" i="8"/>
  <c r="U16" i="8" s="1"/>
  <c r="W50" i="10"/>
  <c r="G18" i="16" s="1"/>
  <c r="J52" i="10"/>
  <c r="J93" i="10"/>
  <c r="P93" i="10"/>
  <c r="N15" i="8"/>
  <c r="T15" i="8"/>
  <c r="U15" i="8" s="1"/>
  <c r="J76" i="14"/>
  <c r="K76" i="14" s="1"/>
  <c r="L76" i="14" s="1"/>
  <c r="H40" i="14"/>
  <c r="I40" i="14" s="1"/>
  <c r="H60" i="14"/>
  <c r="I60" i="14" s="1"/>
  <c r="N186" i="10"/>
  <c r="H118" i="10"/>
  <c r="I118" i="10" s="1"/>
  <c r="H65" i="14"/>
  <c r="I65" i="14"/>
  <c r="J65" i="14" s="1"/>
  <c r="B36" i="8"/>
  <c r="N36" i="8" s="1"/>
  <c r="B56" i="8"/>
  <c r="B53" i="8"/>
  <c r="B38" i="8"/>
  <c r="B33" i="8"/>
  <c r="B55" i="8"/>
  <c r="B35" i="8"/>
  <c r="B57" i="8"/>
  <c r="T57" i="8" s="1"/>
  <c r="B54" i="8"/>
  <c r="T54" i="8" s="1"/>
  <c r="B37" i="8"/>
  <c r="B34" i="8"/>
  <c r="V50" i="10"/>
  <c r="F18" i="16" s="1"/>
  <c r="H37" i="14"/>
  <c r="I37" i="14" s="1"/>
  <c r="H119" i="10"/>
  <c r="I119" i="10" s="1"/>
  <c r="P54" i="10"/>
  <c r="Q54" i="10" s="1"/>
  <c r="H33" i="14"/>
  <c r="I33" i="14" s="1"/>
  <c r="H35" i="8"/>
  <c r="I35" i="8" s="1"/>
  <c r="P186" i="10"/>
  <c r="Q186" i="10" s="1"/>
  <c r="J97" i="10"/>
  <c r="H120" i="10"/>
  <c r="I120" i="10" s="1"/>
  <c r="N14" i="10"/>
  <c r="K14" i="10"/>
  <c r="J35" i="8"/>
  <c r="K35" i="8" s="1"/>
  <c r="J37" i="8"/>
  <c r="K37" i="8" s="1"/>
  <c r="J34" i="8"/>
  <c r="K34" i="8" s="1"/>
  <c r="J38" i="8"/>
  <c r="K38" i="8" s="1"/>
  <c r="J36" i="8"/>
  <c r="K36" i="8" s="1"/>
  <c r="K33" i="8"/>
  <c r="H38" i="14"/>
  <c r="I38" i="14" s="1"/>
  <c r="H64" i="14"/>
  <c r="I64" i="14" s="1"/>
  <c r="P64" i="14" s="1"/>
  <c r="Q64" i="14" s="1"/>
  <c r="H53" i="10"/>
  <c r="I53" i="10" s="1"/>
  <c r="P53" i="10" s="1"/>
  <c r="Q53" i="10" s="1"/>
  <c r="V53" i="10"/>
  <c r="H121" i="10"/>
  <c r="I121" i="10" s="1"/>
  <c r="R13" i="8"/>
  <c r="Q63" i="14"/>
  <c r="Y35" i="14"/>
  <c r="H50" i="10"/>
  <c r="I50" i="10" s="1"/>
  <c r="H55" i="10"/>
  <c r="I55" i="10" s="1"/>
  <c r="N95" i="10"/>
  <c r="N14" i="8"/>
  <c r="T14" i="8"/>
  <c r="U14" i="8" s="1"/>
  <c r="K15" i="10"/>
  <c r="N15" i="10"/>
  <c r="Q91" i="10"/>
  <c r="H34" i="8"/>
  <c r="I34" i="8" s="1"/>
  <c r="P97" i="10"/>
  <c r="Q97" i="10" s="1"/>
  <c r="H61" i="14"/>
  <c r="I61" i="14" s="1"/>
  <c r="H37" i="8"/>
  <c r="I37" i="8" s="1"/>
  <c r="N54" i="10"/>
  <c r="K54" i="10"/>
  <c r="N185" i="10"/>
  <c r="K185" i="10"/>
  <c r="P51" i="10"/>
  <c r="Q51" i="10" s="1"/>
  <c r="P185" i="10"/>
  <c r="Q185" i="10" s="1"/>
  <c r="Q92" i="10"/>
  <c r="H62" i="14"/>
  <c r="I62" i="14" s="1"/>
  <c r="B123" i="10"/>
  <c r="O123" i="10" s="1"/>
  <c r="B122" i="10"/>
  <c r="O122" i="10" s="1"/>
  <c r="B121" i="10"/>
  <c r="O121" i="10" s="1"/>
  <c r="B120" i="10"/>
  <c r="O120" i="10" s="1"/>
  <c r="B119" i="10"/>
  <c r="O119" i="10" s="1"/>
  <c r="B118" i="10"/>
  <c r="O118" i="10" s="1"/>
  <c r="H94" i="10"/>
  <c r="I94" i="10" s="1"/>
  <c r="H39" i="14"/>
  <c r="I39" i="14" s="1"/>
  <c r="M36" i="8"/>
  <c r="N51" i="10"/>
  <c r="K51" i="10"/>
  <c r="N96" i="10"/>
  <c r="K96" i="10"/>
  <c r="N92" i="10"/>
  <c r="P52" i="10"/>
  <c r="Q52" i="10" s="1"/>
  <c r="Q93" i="10"/>
  <c r="Y33" i="14"/>
  <c r="H36" i="14"/>
  <c r="I36" i="14" s="1"/>
  <c r="V52" i="10"/>
  <c r="F20" i="16" s="1"/>
  <c r="Q56" i="10"/>
  <c r="P11" i="10"/>
  <c r="Q11" i="10" s="1"/>
  <c r="B35" i="14"/>
  <c r="O35" i="14" s="1"/>
  <c r="B34" i="14"/>
  <c r="B36" i="14"/>
  <c r="O36" i="14" s="1"/>
  <c r="B40" i="14"/>
  <c r="O40" i="14" s="1"/>
  <c r="B39" i="14"/>
  <c r="O39" i="14" s="1"/>
  <c r="B38" i="14"/>
  <c r="O38" i="14" s="1"/>
  <c r="B37" i="14"/>
  <c r="O37" i="14" s="1"/>
  <c r="B33" i="14"/>
  <c r="O33" i="14" s="1"/>
  <c r="J79" i="14"/>
  <c r="K79" i="14" s="1"/>
  <c r="L79" i="14" s="1"/>
  <c r="H57" i="10"/>
  <c r="I57" i="10" s="1"/>
  <c r="H122" i="10"/>
  <c r="I122" i="10" s="1"/>
  <c r="N11" i="10"/>
  <c r="Q95" i="10"/>
  <c r="H33" i="8"/>
  <c r="I33" i="8" s="1"/>
  <c r="Y36" i="14"/>
  <c r="W33" i="14"/>
  <c r="D18" i="16" s="1"/>
  <c r="Q13" i="10"/>
  <c r="N56" i="8"/>
  <c r="M56" i="8"/>
  <c r="T56" i="8"/>
  <c r="N38" i="8"/>
  <c r="N91" i="10"/>
  <c r="H123" i="10"/>
  <c r="I123" i="10" s="1"/>
  <c r="P96" i="10"/>
  <c r="Q96" i="10" s="1"/>
  <c r="J35" i="14" l="1"/>
  <c r="J34" i="14"/>
  <c r="O34" i="14"/>
  <c r="K183" i="10"/>
  <c r="N183" i="10"/>
  <c r="J60" i="14"/>
  <c r="P60" i="14"/>
  <c r="Q60" i="14" s="1"/>
  <c r="N35" i="8"/>
  <c r="M35" i="8"/>
  <c r="J61" i="14"/>
  <c r="Z33" i="14"/>
  <c r="P61" i="14"/>
  <c r="Q61" i="14" s="1"/>
  <c r="J40" i="14"/>
  <c r="J121" i="10"/>
  <c r="P121" i="10"/>
  <c r="Q121" i="10" s="1"/>
  <c r="J62" i="14"/>
  <c r="P62" i="14"/>
  <c r="Q62" i="14" s="1"/>
  <c r="J57" i="10"/>
  <c r="W53" i="10"/>
  <c r="P57" i="10"/>
  <c r="Q57" i="10" s="1"/>
  <c r="J122" i="10"/>
  <c r="Z52" i="10"/>
  <c r="J39" i="14"/>
  <c r="W36" i="14"/>
  <c r="D20" i="16" s="1"/>
  <c r="P39" i="14"/>
  <c r="Q39" i="14" s="1"/>
  <c r="N34" i="8"/>
  <c r="M34" i="8"/>
  <c r="Z53" i="10"/>
  <c r="J123" i="10"/>
  <c r="J94" i="10"/>
  <c r="P94" i="10"/>
  <c r="Q94" i="10" s="1"/>
  <c r="R36" i="8"/>
  <c r="O36" i="8"/>
  <c r="J33" i="14"/>
  <c r="J36" i="14"/>
  <c r="M33" i="8"/>
  <c r="N34" i="14"/>
  <c r="K34" i="14"/>
  <c r="N37" i="8"/>
  <c r="M37" i="8"/>
  <c r="J50" i="10"/>
  <c r="P50" i="10"/>
  <c r="Q50" i="10" s="1"/>
  <c r="J118" i="10"/>
  <c r="N53" i="8"/>
  <c r="O38" i="8"/>
  <c r="R38" i="8"/>
  <c r="P33" i="14"/>
  <c r="Q33" i="14" s="1"/>
  <c r="Y51" i="10"/>
  <c r="P120" i="10"/>
  <c r="Q120" i="10" s="1"/>
  <c r="O54" i="8"/>
  <c r="R54" i="8"/>
  <c r="J53" i="10"/>
  <c r="W51" i="10"/>
  <c r="T36" i="8"/>
  <c r="U36" i="8" s="1"/>
  <c r="P38" i="14"/>
  <c r="Q38" i="14" s="1"/>
  <c r="K65" i="14"/>
  <c r="N65" i="14"/>
  <c r="K182" i="10"/>
  <c r="N182" i="10"/>
  <c r="V35" i="14"/>
  <c r="Y52" i="10"/>
  <c r="P122" i="10"/>
  <c r="Q122" i="10" s="1"/>
  <c r="V36" i="14"/>
  <c r="C20" i="16" s="1"/>
  <c r="Y53" i="10"/>
  <c r="P123" i="10"/>
  <c r="Q123" i="10" s="1"/>
  <c r="T34" i="8"/>
  <c r="U34" i="8" s="1"/>
  <c r="P65" i="14"/>
  <c r="Q65" i="14" s="1"/>
  <c r="O56" i="8"/>
  <c r="R56" i="8"/>
  <c r="P40" i="14"/>
  <c r="Q40" i="14" s="1"/>
  <c r="T37" i="8"/>
  <c r="U37" i="8" s="1"/>
  <c r="K93" i="10"/>
  <c r="N93" i="10"/>
  <c r="P36" i="14"/>
  <c r="Q36" i="14" s="1"/>
  <c r="O14" i="8"/>
  <c r="R14" i="8"/>
  <c r="Z36" i="14"/>
  <c r="J64" i="14"/>
  <c r="Z51" i="10"/>
  <c r="J120" i="10"/>
  <c r="AA35" i="14"/>
  <c r="K63" i="14"/>
  <c r="N63" i="14"/>
  <c r="Q34" i="14"/>
  <c r="P34" i="14"/>
  <c r="X50" i="10"/>
  <c r="K52" i="10"/>
  <c r="N52" i="10"/>
  <c r="J37" i="14"/>
  <c r="W35" i="14"/>
  <c r="K35" i="14"/>
  <c r="X33" i="14"/>
  <c r="N35" i="14"/>
  <c r="P35" i="14"/>
  <c r="Q35" i="14" s="1"/>
  <c r="V33" i="14"/>
  <c r="C18" i="16" s="1"/>
  <c r="T35" i="8"/>
  <c r="U35" i="8" s="1"/>
  <c r="X52" i="10"/>
  <c r="K56" i="10"/>
  <c r="N56" i="10"/>
  <c r="Y50" i="10"/>
  <c r="P119" i="10"/>
  <c r="Q119" i="10" s="1"/>
  <c r="J55" i="10"/>
  <c r="G19" i="16"/>
  <c r="D19" i="16"/>
  <c r="J38" i="14"/>
  <c r="Z50" i="10"/>
  <c r="J119" i="10"/>
  <c r="T55" i="8"/>
  <c r="N55" i="8"/>
  <c r="P55" i="10"/>
  <c r="Q55" i="10" s="1"/>
  <c r="K97" i="10"/>
  <c r="N97" i="10"/>
  <c r="P37" i="14"/>
  <c r="Q37" i="14" s="1"/>
  <c r="T33" i="8"/>
  <c r="U33" i="8" s="1"/>
  <c r="R15" i="8"/>
  <c r="O15" i="8"/>
  <c r="R16" i="8"/>
  <c r="O16" i="8"/>
  <c r="P118" i="10"/>
  <c r="Q118" i="10" s="1"/>
  <c r="T38" i="8"/>
  <c r="U38" i="8" s="1"/>
  <c r="N57" i="8"/>
  <c r="K13" i="10"/>
  <c r="N13" i="10"/>
  <c r="K33" i="14" l="1"/>
  <c r="N33" i="14"/>
  <c r="E18" i="16"/>
  <c r="N121" i="10"/>
  <c r="K121" i="10"/>
  <c r="AA51" i="10"/>
  <c r="K120" i="10"/>
  <c r="N120" i="10"/>
  <c r="K39" i="14"/>
  <c r="X36" i="14"/>
  <c r="N39" i="14"/>
  <c r="K50" i="10"/>
  <c r="N50" i="10"/>
  <c r="O37" i="8"/>
  <c r="R37" i="8"/>
  <c r="K40" i="14"/>
  <c r="N40" i="14"/>
  <c r="AA36" i="14"/>
  <c r="K64" i="14"/>
  <c r="N64" i="14"/>
  <c r="R55" i="8"/>
  <c r="O55" i="8"/>
  <c r="K94" i="10"/>
  <c r="N94" i="10"/>
  <c r="N122" i="10"/>
  <c r="K122" i="10"/>
  <c r="AA52" i="10"/>
  <c r="K37" i="14"/>
  <c r="X35" i="14"/>
  <c r="AB35" i="14" s="1"/>
  <c r="N37" i="14"/>
  <c r="H20" i="16"/>
  <c r="AB52" i="10"/>
  <c r="K61" i="14"/>
  <c r="AA33" i="14"/>
  <c r="AB33" i="14" s="1"/>
  <c r="N61" i="14"/>
  <c r="O57" i="8"/>
  <c r="R57" i="8"/>
  <c r="AA50" i="10"/>
  <c r="K119" i="10"/>
  <c r="N119" i="10"/>
  <c r="K53" i="10"/>
  <c r="X51" i="10"/>
  <c r="AB51" i="10" s="1"/>
  <c r="N53" i="10"/>
  <c r="AA53" i="10"/>
  <c r="N123" i="10"/>
  <c r="K123" i="10"/>
  <c r="O53" i="8"/>
  <c r="R53" i="8"/>
  <c r="R33" i="8"/>
  <c r="O33" i="8"/>
  <c r="AB50" i="10"/>
  <c r="H18" i="16"/>
  <c r="I18" i="16" s="1"/>
  <c r="K38" i="14"/>
  <c r="E19" i="16"/>
  <c r="N38" i="14"/>
  <c r="N57" i="10"/>
  <c r="K57" i="10"/>
  <c r="X53" i="10"/>
  <c r="AB53" i="10" s="1"/>
  <c r="R35" i="8"/>
  <c r="O35" i="8"/>
  <c r="K118" i="10"/>
  <c r="N118" i="10"/>
  <c r="K36" i="14"/>
  <c r="N36" i="14"/>
  <c r="K55" i="10"/>
  <c r="H19" i="16"/>
  <c r="N55" i="10"/>
  <c r="O34" i="8"/>
  <c r="R34" i="8"/>
  <c r="K62" i="14"/>
  <c r="N62" i="14"/>
  <c r="K60" i="14"/>
  <c r="N60" i="14"/>
  <c r="I19" i="16" l="1"/>
  <c r="E20" i="16"/>
  <c r="I20" i="16" s="1"/>
  <c r="AB36" i="14"/>
</calcChain>
</file>

<file path=xl/sharedStrings.xml><?xml version="1.0" encoding="utf-8"?>
<sst xmlns="http://schemas.openxmlformats.org/spreadsheetml/2006/main" count="852" uniqueCount="179">
  <si>
    <t>Frequency</t>
  </si>
  <si>
    <t>MHz</t>
  </si>
  <si>
    <t>Material</t>
  </si>
  <si>
    <t>pF</t>
  </si>
  <si>
    <t>I (mA)</t>
  </si>
  <si>
    <t>V_out (pp) (V)</t>
  </si>
  <si>
    <t>Q (basic calculation)</t>
  </si>
  <si>
    <t>L calc</t>
  </si>
  <si>
    <t>Q final</t>
  </si>
  <si>
    <t>R eff</t>
  </si>
  <si>
    <t>Q New</t>
  </si>
  <si>
    <t>Correction Factor</t>
  </si>
  <si>
    <t xml:space="preserve"> </t>
  </si>
  <si>
    <t>RF Amp Gain</t>
  </si>
  <si>
    <t>uH</t>
  </si>
  <si>
    <t>kHz</t>
  </si>
  <si>
    <t>nF</t>
  </si>
  <si>
    <t>Lm =</t>
  </si>
  <si>
    <t>Zm =</t>
  </si>
  <si>
    <r>
      <t>C</t>
    </r>
    <r>
      <rPr>
        <sz val="10"/>
        <color rgb="FF000000"/>
        <rFont val="Calibri"/>
        <family val="2"/>
        <scheme val="minor"/>
      </rPr>
      <t>rez</t>
    </r>
    <r>
      <rPr>
        <sz val="12"/>
        <color rgb="FF000000"/>
        <rFont val="Calibri"/>
        <family val="2"/>
        <scheme val="minor"/>
      </rPr>
      <t xml:space="preserve"> =</t>
    </r>
  </si>
  <si>
    <r>
      <t>X_Cr</t>
    </r>
    <r>
      <rPr>
        <sz val="10"/>
        <color rgb="FF000000"/>
        <rFont val="Calibri"/>
        <family val="2"/>
        <scheme val="minor"/>
      </rPr>
      <t>ez</t>
    </r>
    <r>
      <rPr>
        <sz val="12"/>
        <color rgb="FF000000"/>
        <rFont val="Calibri"/>
        <family val="2"/>
        <scheme val="minor"/>
      </rPr>
      <t xml:space="preserve"> =</t>
    </r>
  </si>
  <si>
    <t>Cp =</t>
  </si>
  <si>
    <t xml:space="preserve">X_Cp = </t>
  </si>
  <si>
    <r>
      <t>ESR_C</t>
    </r>
    <r>
      <rPr>
        <sz val="10"/>
        <color rgb="FF000000"/>
        <rFont val="Calibri"/>
        <family val="2"/>
        <scheme val="minor"/>
      </rPr>
      <t>rez</t>
    </r>
    <r>
      <rPr>
        <sz val="12"/>
        <color rgb="FF000000"/>
        <rFont val="Calibri"/>
        <family val="2"/>
        <scheme val="minor"/>
      </rPr>
      <t xml:space="preserve"> =</t>
    </r>
  </si>
  <si>
    <r>
      <t>C</t>
    </r>
    <r>
      <rPr>
        <sz val="10"/>
        <color rgb="FF000000"/>
        <rFont val="Calibri"/>
        <family val="2"/>
        <scheme val="minor"/>
      </rPr>
      <t>har</t>
    </r>
    <r>
      <rPr>
        <sz val="12"/>
        <color rgb="FF000000"/>
        <rFont val="Calibri"/>
        <family val="2"/>
        <scheme val="minor"/>
      </rPr>
      <t xml:space="preserve"> = </t>
    </r>
  </si>
  <si>
    <r>
      <t>X_C</t>
    </r>
    <r>
      <rPr>
        <sz val="10"/>
        <color rgb="FF000000"/>
        <rFont val="Calibri"/>
        <family val="2"/>
        <scheme val="minor"/>
      </rPr>
      <t>har</t>
    </r>
    <r>
      <rPr>
        <sz val="12"/>
        <color rgb="FF000000"/>
        <rFont val="Calibri"/>
        <family val="2"/>
        <scheme val="minor"/>
      </rPr>
      <t xml:space="preserve"> =</t>
    </r>
  </si>
  <si>
    <t>V_in (pp at fundamental freq) (V)</t>
  </si>
  <si>
    <t>Freq (kHz)</t>
  </si>
  <si>
    <t>P loss Eff (W)</t>
  </si>
  <si>
    <t>Calc Rez Freq</t>
  </si>
  <si>
    <t>Eff Core Vol</t>
  </si>
  <si>
    <t>Pv (W/cm^3)</t>
  </si>
  <si>
    <t>cm^3</t>
  </si>
  <si>
    <t>P loss para</t>
  </si>
  <si>
    <t>P loss %diff</t>
  </si>
  <si>
    <t>C para</t>
  </si>
  <si>
    <t>Eff para R</t>
  </si>
  <si>
    <t>(I (A), Q New)</t>
  </si>
  <si>
    <t>N49</t>
  </si>
  <si>
    <t>ESR_Crez</t>
  </si>
  <si>
    <t>We don't need to care about it cuz our Q is &lt;&lt;&lt; 1000 (look at Yang_inductor paper pg 11). And from calculation, the ESR is negligible compared to the resistance, Reff / Rcr+Rcu, we care about.</t>
  </si>
  <si>
    <t>Self-rez freq</t>
  </si>
  <si>
    <t>Core loss is higher than expected. Pcr scales with current.</t>
  </si>
  <si>
    <t>This make since cuz as the drive (gain) increaseases, current increases too.</t>
  </si>
  <si>
    <t>Cpara = probe para</t>
  </si>
  <si>
    <t>Using Michael's derived method to correct the effects of Cp as rez frequency of ckt approaches self-rez of xfmr.</t>
  </si>
  <si>
    <t>a</t>
  </si>
  <si>
    <r>
      <t>¦</t>
    </r>
    <r>
      <rPr>
        <sz val="14"/>
        <color rgb="FF000000"/>
        <rFont val="Calibri"/>
        <family val="2"/>
        <scheme val="minor"/>
      </rPr>
      <t>'</t>
    </r>
    <r>
      <rPr>
        <sz val="10"/>
        <color rgb="FF000000"/>
        <rFont val="Calibri"/>
        <family val="2"/>
        <scheme val="minor"/>
      </rPr>
      <t>res</t>
    </r>
    <r>
      <rPr>
        <sz val="14"/>
        <color rgb="FF000000"/>
        <rFont val="Calibri"/>
        <family val="2"/>
        <scheme val="minor"/>
      </rPr>
      <t xml:space="preserve"> = </t>
    </r>
  </si>
  <si>
    <r>
      <t>Q</t>
    </r>
    <r>
      <rPr>
        <b/>
        <sz val="10"/>
        <color theme="1"/>
        <rFont val="Calibri"/>
        <family val="2"/>
        <scheme val="minor"/>
      </rPr>
      <t>corrected</t>
    </r>
  </si>
  <si>
    <t>b</t>
  </si>
  <si>
    <r>
      <t>Reff_</t>
    </r>
    <r>
      <rPr>
        <b/>
        <sz val="10"/>
        <color theme="1"/>
        <rFont val="Calibri"/>
        <family val="2"/>
        <scheme val="minor"/>
      </rPr>
      <t>corrected</t>
    </r>
  </si>
  <si>
    <t>As can be seen, the rez freq is orders of mag &lt; the self-res frequency of the xfmr. Hence, the correction factors will be nearly close to 1 and the results will be nearly similar as seen with Reff and Reff_corrected.</t>
  </si>
  <si>
    <t>As the freq gets closer to the self-rez freq, the correction factor is needed to give a precise Q and Reff meas to mitigate the effects of Cp.</t>
  </si>
  <si>
    <t xml:space="preserve">I think due to the Cp acting up (become more visible) @ the desired frequency, 3MHz, it's causing a voltage drop, therefore, reducing Vout. </t>
  </si>
  <si>
    <t>The lower the ESR, the better the quality of the xfmr. Reff &gt;&gt;&gt; L, which means at 3MHz the quality of the xfmr is poor.</t>
  </si>
  <si>
    <t>We need more room for energy storage vs energy dissipated.</t>
  </si>
  <si>
    <t>Param</t>
  </si>
  <si>
    <t>Values</t>
  </si>
  <si>
    <t>@freq</t>
  </si>
  <si>
    <t>L11</t>
  </si>
  <si>
    <t>L22</t>
  </si>
  <si>
    <t>Llk_T@sec</t>
  </si>
  <si>
    <t>Llk_T@pri</t>
  </si>
  <si>
    <t>Parasitic</t>
  </si>
  <si>
    <t>Value</t>
  </si>
  <si>
    <t>C11</t>
  </si>
  <si>
    <t>C22</t>
  </si>
  <si>
    <t>Llk_T@pri =</t>
  </si>
  <si>
    <t>ZLlk_T@p =</t>
  </si>
  <si>
    <t>PCB Parasitics seen when xfmr is on board with sec shorted</t>
  </si>
  <si>
    <t>freq</t>
  </si>
  <si>
    <t>Lpara</t>
  </si>
  <si>
    <t>Comparing to Llk_T@pri</t>
  </si>
  <si>
    <t>Cpara</t>
  </si>
  <si>
    <t>Measurements from Imp_Analyzer</t>
  </si>
  <si>
    <t>Calculations from MATLAB</t>
  </si>
  <si>
    <t>Rez ckt @1MHz</t>
  </si>
  <si>
    <t>Meas</t>
  </si>
  <si>
    <t>ZLlk_T@pri</t>
  </si>
  <si>
    <t>Cr</t>
  </si>
  <si>
    <t>Z_Cr</t>
  </si>
  <si>
    <t>Ch</t>
  </si>
  <si>
    <t>Z_Ch</t>
  </si>
  <si>
    <t>Calc</t>
  </si>
  <si>
    <t>C_winding</t>
  </si>
  <si>
    <t>Z_Cwindin</t>
  </si>
  <si>
    <t>Impedance Analyzer Measurements</t>
  </si>
  <si>
    <t xml:space="preserve">DsC 7:1 </t>
  </si>
  <si>
    <t>SsC 7:1</t>
  </si>
  <si>
    <t>SsC 1:1</t>
  </si>
  <si>
    <t>f (MHz)</t>
  </si>
  <si>
    <t>I (A)</t>
  </si>
  <si>
    <t>Xfmr type</t>
  </si>
  <si>
    <t>%diff</t>
  </si>
  <si>
    <t xml:space="preserve">Solid Losses (mW) from ANSYS Sim for DsC (7:1), SsC 7:1 and SsC 1:1 xfmrs </t>
  </si>
  <si>
    <t>%diff btw SsCs and DsCs ((SsC - DsC)/DsC)*100%</t>
  </si>
  <si>
    <t>@Box\Power Electronics and Magnetics Group\Odinaka_Research\Project Portfolio\Kavya_Xfmr 4 DAB Converter\Xfmr Tests\Xfmr Characterization</t>
  </si>
  <si>
    <t>For simulation pictures, reference ppt file "SimResults" in folder below:</t>
  </si>
  <si>
    <t>Re-measure the Llk_T@pri using Imp_Analyzer</t>
  </si>
  <si>
    <t>Thermal + RF measurements</t>
  </si>
  <si>
    <t>t(min)</t>
  </si>
  <si>
    <t>T (°C)</t>
  </si>
  <si>
    <t>Crez =</t>
  </si>
  <si>
    <t xml:space="preserve">Char = </t>
  </si>
  <si>
    <t>X_Crez =</t>
  </si>
  <si>
    <t>X_Char =</t>
  </si>
  <si>
    <t>Cp</t>
  </si>
  <si>
    <t>g^2</t>
  </si>
  <si>
    <t>R corrected</t>
  </si>
  <si>
    <t>remove some shunt cap</t>
  </si>
  <si>
    <t>RF Amp Gain: 40%</t>
  </si>
  <si>
    <t>Double-Sided Conduction (DsC)</t>
  </si>
  <si>
    <t>Single-Sided Conduction (SsC)</t>
  </si>
  <si>
    <t>Q</t>
  </si>
  <si>
    <r>
      <t>Reff (</t>
    </r>
    <r>
      <rPr>
        <b/>
        <sz val="11"/>
        <color rgb="FF000000"/>
        <rFont val="Symbol"/>
        <family val="1"/>
        <charset val="2"/>
      </rPr>
      <t>W</t>
    </r>
    <r>
      <rPr>
        <b/>
        <sz val="11"/>
        <color rgb="FF000000"/>
        <rFont val="Times New Roman"/>
        <family val="1"/>
      </rPr>
      <t>)</t>
    </r>
  </si>
  <si>
    <t>Ploss (W)</t>
  </si>
  <si>
    <t>P ≈ 0.06W</t>
  </si>
  <si>
    <t>P ≈ 0.44W</t>
  </si>
  <si>
    <t>P loss ~ 0.06 W</t>
  </si>
  <si>
    <t>P loss ~ 0.48 W</t>
  </si>
  <si>
    <t>Measurements done, courtesy of Michael; Excel sheet sent to me on 08/13/2021 @3:42pm</t>
  </si>
  <si>
    <t xml:space="preserve">Measurements after the length of the wire, used to short the secondary tabs, was decreased. </t>
  </si>
  <si>
    <r>
      <t>C</t>
    </r>
    <r>
      <rPr>
        <sz val="10"/>
        <color rgb="FF000000"/>
        <rFont val="Calibri"/>
        <family val="2"/>
        <scheme val="minor"/>
      </rPr>
      <t>rez_meas</t>
    </r>
    <r>
      <rPr>
        <sz val="12"/>
        <color rgb="FF000000"/>
        <rFont val="Calibri"/>
        <family val="2"/>
        <scheme val="minor"/>
      </rPr>
      <t xml:space="preserve"> =</t>
    </r>
  </si>
  <si>
    <t xml:space="preserve">Measurements when the wire, shorting the sec tabs, looped/curved above the core. This creates it's own B-field when voltage is induced in the sec. And as the sec params are referred to the pri, due to the high step-up ratio (7^2), it creates a significant change (increase) in the readings. </t>
  </si>
  <si>
    <t>15th/08/2021</t>
  </si>
  <si>
    <t>Comparison with 08/15/2021 row 86</t>
  </si>
  <si>
    <r>
      <rPr>
        <b/>
        <sz val="12"/>
        <color theme="1"/>
        <rFont val="Times New Roman"/>
        <family val="1"/>
      </rPr>
      <t>≈</t>
    </r>
    <r>
      <rPr>
        <b/>
        <sz val="12"/>
        <color theme="1"/>
        <rFont val="Calibri"/>
        <family val="2"/>
        <scheme val="minor"/>
      </rPr>
      <t xml:space="preserve"> I (A)</t>
    </r>
  </si>
  <si>
    <t>RF Amp Gain: 55%</t>
  </si>
  <si>
    <t>P loss ~ 0.13 W</t>
  </si>
  <si>
    <t>RF Amp Gain: 5%</t>
  </si>
  <si>
    <t xml:space="preserve">Ploss = </t>
  </si>
  <si>
    <t>P loss ~ 0.36 W</t>
  </si>
  <si>
    <t>P loss ~ 0.04 W</t>
  </si>
  <si>
    <t>Reff =</t>
  </si>
  <si>
    <t>Comparison with 08/15/2021 row 28</t>
  </si>
  <si>
    <t>--</t>
  </si>
  <si>
    <t>SsC =&gt; Data for 08/19/2021</t>
  </si>
  <si>
    <t>DsC =&gt; Data for 08/17/2021</t>
  </si>
  <si>
    <t>%decrease in loss from SsC to DsC</t>
  </si>
  <si>
    <t>%decrease</t>
  </si>
  <si>
    <t>SsC</t>
  </si>
  <si>
    <t>DsC</t>
  </si>
  <si>
    <r>
      <t>Reff (</t>
    </r>
    <r>
      <rPr>
        <b/>
        <sz val="12"/>
        <color theme="1"/>
        <rFont val="Symbol"/>
        <family val="1"/>
        <charset val="2"/>
      </rPr>
      <t>W</t>
    </r>
    <r>
      <rPr>
        <b/>
        <sz val="12"/>
        <color theme="1"/>
        <rFont val="Calibri"/>
        <family val="2"/>
      </rPr>
      <t>)</t>
    </r>
  </si>
  <si>
    <t>Ploss Eff (W)</t>
  </si>
  <si>
    <t>0.1 T</t>
  </si>
  <si>
    <t>0.025 T</t>
  </si>
  <si>
    <t>B (T) =</t>
  </si>
  <si>
    <t>f (Hz)</t>
  </si>
  <si>
    <t>Pv</t>
  </si>
  <si>
    <t>Steinmetz params</t>
  </si>
  <si>
    <t>Cm =</t>
  </si>
  <si>
    <t>(kW / m^3)</t>
  </si>
  <si>
    <t xml:space="preserve">X = </t>
  </si>
  <si>
    <t>Y =</t>
  </si>
  <si>
    <t>Loss vs Freq for N49: Comparing ANSYS Steinmetz eqn graph to Datasheet graph</t>
  </si>
  <si>
    <t>0.2 T</t>
  </si>
  <si>
    <t>0.05 T</t>
  </si>
  <si>
    <t xml:space="preserve">f = </t>
  </si>
  <si>
    <t>Hz</t>
  </si>
  <si>
    <t xml:space="preserve">Pv = </t>
  </si>
  <si>
    <t>Bpk =</t>
  </si>
  <si>
    <t>T</t>
  </si>
  <si>
    <t>kW/m^3</t>
  </si>
  <si>
    <t xml:space="preserve">R_load = </t>
  </si>
  <si>
    <t>A</t>
  </si>
  <si>
    <t>I =</t>
  </si>
  <si>
    <r>
      <t>m</t>
    </r>
    <r>
      <rPr>
        <sz val="12"/>
        <color theme="1"/>
        <rFont val="Symbol"/>
        <family val="1"/>
        <charset val="2"/>
      </rPr>
      <t>W</t>
    </r>
  </si>
  <si>
    <t xml:space="preserve">Veff = </t>
  </si>
  <si>
    <t xml:space="preserve">P_cr = </t>
  </si>
  <si>
    <t>W</t>
  </si>
  <si>
    <t>08/19/2021 -redid with less wire to short sec tab</t>
  </si>
  <si>
    <t>Measurements after the wire used is change to litz wire of 16 AWG; 08/20/2021</t>
  </si>
  <si>
    <t>for secondary tabs shorted with litz wire</t>
  </si>
  <si>
    <t>for secondary tabs shorted with a straight regular wire</t>
  </si>
  <si>
    <t>% diff</t>
  </si>
  <si>
    <t>Ploss_litz (W)</t>
  </si>
  <si>
    <t xml:space="preserve">R_litz = </t>
  </si>
  <si>
    <t>@1MHz</t>
  </si>
  <si>
    <t>Ploss_tot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</si>
</sst>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0"/>
    <numFmt numFmtId="168" formatCode="0.0%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Symbol"/>
      <family val="1"/>
      <charset val="2"/>
    </font>
    <font>
      <sz val="14"/>
      <color rgb="FF000000"/>
      <name val="Symbol"/>
      <family val="1"/>
      <charset val="2"/>
    </font>
    <font>
      <sz val="14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</font>
    <font>
      <b/>
      <i/>
      <sz val="12"/>
      <color rgb="FF0070C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i/>
      <sz val="11"/>
      <color rgb="FF00B050"/>
      <name val="Times New Roman"/>
      <family val="1"/>
    </font>
    <font>
      <b/>
      <sz val="12"/>
      <color theme="1"/>
      <name val="Calibri"/>
      <family val="2"/>
    </font>
    <font>
      <b/>
      <sz val="16"/>
      <color rgb="FF0D0D0D"/>
      <name val="Times New Roman"/>
      <family val="1"/>
    </font>
    <font>
      <sz val="12"/>
      <color theme="1"/>
      <name val="Symbol"/>
      <family val="1"/>
      <charset val="2"/>
    </font>
    <font>
      <b/>
      <i/>
      <sz val="12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2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2" fontId="3" fillId="0" borderId="0" xfId="0" applyNumberFormat="1" applyFont="1"/>
    <xf numFmtId="11" fontId="0" fillId="0" borderId="0" xfId="0" applyNumberFormat="1"/>
    <xf numFmtId="10" fontId="3" fillId="0" borderId="0" xfId="1" applyNumberFormat="1" applyFont="1"/>
    <xf numFmtId="165" fontId="0" fillId="0" borderId="0" xfId="0" applyNumberFormat="1"/>
    <xf numFmtId="0" fontId="3" fillId="2" borderId="0" xfId="0" applyFont="1" applyFill="1"/>
    <xf numFmtId="11" fontId="3" fillId="0" borderId="0" xfId="0" applyNumberFormat="1" applyFont="1"/>
    <xf numFmtId="9" fontId="0" fillId="0" borderId="0" xfId="1" applyFont="1"/>
    <xf numFmtId="166" fontId="0" fillId="0" borderId="0" xfId="0" applyNumberFormat="1"/>
    <xf numFmtId="164" fontId="0" fillId="0" borderId="0" xfId="0" applyNumberFormat="1"/>
    <xf numFmtId="0" fontId="6" fillId="0" borderId="0" xfId="0" applyFont="1"/>
    <xf numFmtId="166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vertical="center" wrapText="1"/>
    </xf>
    <xf numFmtId="0" fontId="8" fillId="0" borderId="0" xfId="0" applyFont="1"/>
    <xf numFmtId="0" fontId="7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13" fillId="0" borderId="0" xfId="0" applyFont="1"/>
    <xf numFmtId="0" fontId="14" fillId="0" borderId="0" xfId="0" applyFont="1"/>
    <xf numFmtId="11" fontId="14" fillId="0" borderId="0" xfId="0" applyNumberFormat="1" applyFont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0" fontId="14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16" fillId="0" borderId="0" xfId="0" applyFont="1" applyBorder="1"/>
    <xf numFmtId="0" fontId="16" fillId="0" borderId="2" xfId="0" applyFont="1" applyBorder="1"/>
    <xf numFmtId="166" fontId="0" fillId="0" borderId="1" xfId="0" applyNumberFormat="1" applyBorder="1"/>
    <xf numFmtId="166" fontId="0" fillId="0" borderId="0" xfId="0" applyNumberFormat="1" applyBorder="1"/>
    <xf numFmtId="10" fontId="16" fillId="0" borderId="0" xfId="1" applyNumberFormat="1" applyFont="1" applyBorder="1"/>
    <xf numFmtId="10" fontId="16" fillId="0" borderId="2" xfId="1" applyNumberFormat="1" applyFont="1" applyBorder="1"/>
    <xf numFmtId="0" fontId="0" fillId="0" borderId="4" xfId="0" applyBorder="1"/>
    <xf numFmtId="0" fontId="0" fillId="0" borderId="6" xfId="0" applyBorder="1" applyAlignment="1"/>
    <xf numFmtId="0" fontId="0" fillId="0" borderId="7" xfId="0" applyBorder="1" applyAlignment="1"/>
    <xf numFmtId="0" fontId="16" fillId="0" borderId="7" xfId="0" applyFont="1" applyBorder="1" applyAlignment="1"/>
    <xf numFmtId="0" fontId="16" fillId="0" borderId="8" xfId="0" applyFont="1" applyBorder="1" applyAlignment="1"/>
    <xf numFmtId="0" fontId="14" fillId="0" borderId="7" xfId="0" applyFont="1" applyBorder="1" applyAlignment="1"/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/>
    </xf>
    <xf numFmtId="165" fontId="17" fillId="0" borderId="0" xfId="0" applyNumberFormat="1" applyFont="1" applyBorder="1" applyAlignment="1">
      <alignment horizontal="center"/>
    </xf>
    <xf numFmtId="0" fontId="17" fillId="0" borderId="0" xfId="0" applyFont="1"/>
    <xf numFmtId="165" fontId="18" fillId="0" borderId="0" xfId="0" applyNumberFormat="1" applyFont="1" applyBorder="1" applyAlignment="1">
      <alignment horizontal="center"/>
    </xf>
    <xf numFmtId="0" fontId="19" fillId="2" borderId="0" xfId="0" applyFont="1" applyFill="1"/>
    <xf numFmtId="0" fontId="19" fillId="0" borderId="0" xfId="0" applyFont="1"/>
    <xf numFmtId="164" fontId="19" fillId="0" borderId="0" xfId="0" applyNumberFormat="1" applyFont="1"/>
    <xf numFmtId="2" fontId="19" fillId="0" borderId="0" xfId="0" applyNumberFormat="1" applyFont="1"/>
    <xf numFmtId="0" fontId="20" fillId="0" borderId="0" xfId="0" applyFont="1"/>
    <xf numFmtId="166" fontId="19" fillId="0" borderId="0" xfId="0" applyNumberFormat="1" applyFont="1"/>
    <xf numFmtId="166" fontId="17" fillId="0" borderId="0" xfId="0" applyNumberFormat="1" applyFont="1"/>
    <xf numFmtId="0" fontId="21" fillId="0" borderId="0" xfId="0" applyFont="1"/>
    <xf numFmtId="9" fontId="17" fillId="0" borderId="0" xfId="1" applyFont="1"/>
    <xf numFmtId="164" fontId="17" fillId="0" borderId="0" xfId="0" applyNumberFormat="1" applyFont="1"/>
    <xf numFmtId="10" fontId="19" fillId="0" borderId="0" xfId="1" applyNumberFormat="1" applyFont="1"/>
    <xf numFmtId="2" fontId="17" fillId="0" borderId="0" xfId="0" applyNumberFormat="1" applyFont="1"/>
    <xf numFmtId="9" fontId="19" fillId="0" borderId="0" xfId="1" applyFont="1"/>
    <xf numFmtId="166" fontId="17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9" fontId="19" fillId="0" borderId="0" xfId="0" applyNumberFormat="1" applyFont="1"/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/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9" fontId="0" fillId="0" borderId="0" xfId="0" applyNumberFormat="1"/>
    <xf numFmtId="0" fontId="3" fillId="6" borderId="0" xfId="0" applyFont="1" applyFill="1"/>
    <xf numFmtId="0" fontId="22" fillId="0" borderId="0" xfId="0" applyFont="1" applyFill="1" applyAlignment="1">
      <alignment horizontal="left"/>
    </xf>
    <xf numFmtId="0" fontId="17" fillId="0" borderId="0" xfId="0" applyFont="1" applyFill="1"/>
    <xf numFmtId="0" fontId="17" fillId="0" borderId="0" xfId="0" applyFont="1" applyFill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9" fontId="23" fillId="0" borderId="2" xfId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19" fillId="0" borderId="0" xfId="0" applyFont="1" applyFill="1" applyBorder="1"/>
    <xf numFmtId="165" fontId="18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165" fontId="17" fillId="0" borderId="0" xfId="0" applyNumberFormat="1" applyFont="1" applyFill="1" applyBorder="1" applyAlignment="1">
      <alignment horizontal="center"/>
    </xf>
    <xf numFmtId="166" fontId="19" fillId="0" borderId="0" xfId="0" applyNumberFormat="1" applyFont="1" applyFill="1" applyBorder="1"/>
    <xf numFmtId="2" fontId="19" fillId="0" borderId="0" xfId="0" applyNumberFormat="1" applyFont="1" applyFill="1" applyBorder="1"/>
    <xf numFmtId="10" fontId="19" fillId="0" borderId="0" xfId="1" applyNumberFormat="1" applyFont="1" applyFill="1" applyBorder="1"/>
    <xf numFmtId="166" fontId="17" fillId="0" borderId="0" xfId="0" applyNumberFormat="1" applyFont="1" applyFill="1" applyBorder="1"/>
    <xf numFmtId="2" fontId="17" fillId="0" borderId="0" xfId="0" applyNumberFormat="1" applyFont="1" applyFill="1" applyBorder="1"/>
    <xf numFmtId="14" fontId="27" fillId="0" borderId="0" xfId="0" applyNumberFormat="1" applyFont="1" applyAlignment="1">
      <alignment vertical="center" wrapText="1"/>
    </xf>
    <xf numFmtId="0" fontId="28" fillId="0" borderId="0" xfId="0" applyFont="1"/>
    <xf numFmtId="0" fontId="28" fillId="0" borderId="0" xfId="0" applyFont="1" applyAlignment="1">
      <alignment vertical="center" wrapText="1"/>
    </xf>
    <xf numFmtId="164" fontId="0" fillId="0" borderId="0" xfId="0" applyNumberFormat="1" applyFont="1"/>
    <xf numFmtId="0" fontId="13" fillId="3" borderId="0" xfId="0" applyFont="1" applyFill="1" applyAlignment="1"/>
    <xf numFmtId="165" fontId="17" fillId="0" borderId="1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7" fillId="0" borderId="2" xfId="0" applyFont="1" applyBorder="1" applyAlignment="1">
      <alignment horizontal="center"/>
    </xf>
    <xf numFmtId="165" fontId="19" fillId="0" borderId="0" xfId="0" applyNumberFormat="1" applyFont="1"/>
    <xf numFmtId="167" fontId="19" fillId="0" borderId="0" xfId="0" applyNumberFormat="1" applyFont="1"/>
    <xf numFmtId="164" fontId="0" fillId="0" borderId="0" xfId="0" quotePrefix="1" applyNumberFormat="1" applyAlignment="1">
      <alignment horizontal="center"/>
    </xf>
    <xf numFmtId="0" fontId="29" fillId="8" borderId="0" xfId="0" applyFont="1" applyFill="1"/>
    <xf numFmtId="2" fontId="0" fillId="8" borderId="0" xfId="0" applyNumberFormat="1" applyFill="1"/>
    <xf numFmtId="0" fontId="22" fillId="0" borderId="0" xfId="0" applyFont="1"/>
    <xf numFmtId="2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 applyFill="1"/>
    <xf numFmtId="0" fontId="30" fillId="0" borderId="0" xfId="0" applyFont="1" applyAlignment="1">
      <alignment horizontal="left" vertical="center"/>
    </xf>
    <xf numFmtId="0" fontId="22" fillId="0" borderId="3" xfId="0" applyFont="1" applyBorder="1"/>
    <xf numFmtId="0" fontId="2" fillId="0" borderId="3" xfId="0" applyFont="1" applyBorder="1"/>
    <xf numFmtId="2" fontId="0" fillId="8" borderId="2" xfId="0" applyNumberFormat="1" applyFill="1" applyBorder="1"/>
    <xf numFmtId="0" fontId="29" fillId="8" borderId="4" xfId="0" applyFont="1" applyFill="1" applyBorder="1"/>
    <xf numFmtId="0" fontId="2" fillId="5" borderId="5" xfId="0" applyFont="1" applyFill="1" applyBorder="1"/>
    <xf numFmtId="9" fontId="0" fillId="5" borderId="1" xfId="1" applyFont="1" applyFill="1" applyBorder="1"/>
    <xf numFmtId="0" fontId="0" fillId="0" borderId="0" xfId="0" applyNumberFormat="1"/>
    <xf numFmtId="167" fontId="0" fillId="0" borderId="0" xfId="0" applyNumberFormat="1"/>
    <xf numFmtId="0" fontId="32" fillId="0" borderId="0" xfId="0" applyFont="1"/>
    <xf numFmtId="11" fontId="2" fillId="0" borderId="0" xfId="0" applyNumberFormat="1" applyFont="1"/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28" fillId="0" borderId="0" xfId="0" applyFont="1" applyAlignment="1">
      <alignment horizontal="left" vertical="center" wrapText="1"/>
    </xf>
    <xf numFmtId="0" fontId="22" fillId="4" borderId="0" xfId="0" applyFont="1" applyFill="1" applyAlignment="1">
      <alignment horizontal="left"/>
    </xf>
    <xf numFmtId="11" fontId="6" fillId="0" borderId="0" xfId="0" applyNumberFormat="1" applyFont="1"/>
    <xf numFmtId="0" fontId="34" fillId="0" borderId="0" xfId="0" applyFont="1"/>
    <xf numFmtId="164" fontId="17" fillId="0" borderId="0" xfId="0" applyNumberFormat="1" applyFont="1" applyFill="1" applyBorder="1" applyAlignment="1">
      <alignment horizontal="center"/>
    </xf>
    <xf numFmtId="0" fontId="18" fillId="0" borderId="0" xfId="0" applyFont="1"/>
    <xf numFmtId="10" fontId="17" fillId="0" borderId="0" xfId="1" applyNumberFormat="1" applyFont="1"/>
    <xf numFmtId="168" fontId="0" fillId="5" borderId="1" xfId="1" applyNumberFormat="1" applyFont="1" applyFill="1" applyBorder="1"/>
    <xf numFmtId="0" fontId="3" fillId="0" borderId="0" xfId="0" quotePrefix="1" applyFont="1"/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23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3" fillId="11" borderId="0" xfId="0" applyFont="1" applyFill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Heating Characteristics of Xfmr: RM7/I-N49 Core &amp; Flex PCB Windings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2896710445114"/>
          <c:y val="0.20954657544597166"/>
          <c:w val="0.6118902062269187"/>
          <c:h val="0.593298576050446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DsC_N49_Sec_ShortCkt!$B$128</c:f>
              <c:strCache>
                <c:ptCount val="1"/>
                <c:pt idx="0">
                  <c:v>P loss ~ 0.06 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DsC_N49_Sec_ShortCkt!$A$131:$A$141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DsC_N49_Sec_ShortCkt!$B$131:$B$141</c:f>
              <c:numCache>
                <c:formatCode>0.0</c:formatCode>
                <c:ptCount val="11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28.1</c:v>
                </c:pt>
                <c:pt idx="8">
                  <c:v>28.1</c:v>
                </c:pt>
                <c:pt idx="9">
                  <c:v>28.1</c:v>
                </c:pt>
                <c:pt idx="10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5B-47C6-9E7F-D1AF8D4C1908}"/>
            </c:ext>
          </c:extLst>
        </c:ser>
        <c:ser>
          <c:idx val="1"/>
          <c:order val="1"/>
          <c:tx>
            <c:strRef>
              <c:f>DsC_N49_Sec_ShortCkt!$E$128</c:f>
              <c:strCache>
                <c:ptCount val="1"/>
                <c:pt idx="0">
                  <c:v>P loss ~ 0.48 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(DsC_N49_Sec_ShortCkt!$D$131,DsC_N49_Sec_ShortCkt!$D$133,DsC_N49_Sec_ShortCkt!$D$135,DsC_N49_Sec_ShortCkt!$D$137,DsC_N49_Sec_ShortCkt!$D$139,DsC_N49_Sec_ShortCkt!$D$141)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(DsC_N49_Sec_ShortCkt!$E$131,DsC_N49_Sec_ShortCkt!$E$133,DsC_N49_Sec_ShortCkt!$E$135,DsC_N49_Sec_ShortCkt!$E$137,DsC_N49_Sec_ShortCkt!$E$139,DsC_N49_Sec_ShortCkt!$E$141)</c:f>
              <c:numCache>
                <c:formatCode>0.0</c:formatCode>
                <c:ptCount val="6"/>
                <c:pt idx="0">
                  <c:v>25</c:v>
                </c:pt>
                <c:pt idx="1">
                  <c:v>38.1</c:v>
                </c:pt>
                <c:pt idx="2">
                  <c:v>40.200000000000003</c:v>
                </c:pt>
                <c:pt idx="3">
                  <c:v>40.799999999999997</c:v>
                </c:pt>
                <c:pt idx="4">
                  <c:v>41.2</c:v>
                </c:pt>
                <c:pt idx="5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7-4F10-A91B-21ABCE211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36176"/>
        <c:axId val="621410048"/>
      </c:scatterChart>
      <c:valAx>
        <c:axId val="6205361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(min)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410048"/>
        <c:crosses val="autoZero"/>
        <c:crossBetween val="midCat"/>
        <c:majorUnit val="5"/>
        <c:minorUnit val="1"/>
      </c:valAx>
      <c:valAx>
        <c:axId val="62141004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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538459791268959E-2"/>
              <c:y val="0.44610204221091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5361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46693262304345"/>
          <c:y val="0.38086180104701511"/>
          <c:w val="0.18451907356568775"/>
          <c:h val="0.26369429874629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Heating Characteristics of Xfmr: RM7/I-N49 Core &amp; Flex PCB Windings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6488242866948"/>
          <c:y val="0.16451251792093186"/>
          <c:w val="0.67007860473987413"/>
          <c:h val="0.70068770553153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DsC_N49_Sec_ShortCkt!$B$62</c:f>
              <c:strCache>
                <c:ptCount val="1"/>
                <c:pt idx="0">
                  <c:v>P loss ~ 0.13 W</c:v>
                </c:pt>
              </c:strCache>
            </c:strRef>
          </c:tx>
          <c:spPr>
            <a:ln w="2032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(DsC_N49_Sec_ShortCkt!$A$65,DsC_N49_Sec_ShortCkt!$A$67,DsC_N49_Sec_ShortCkt!$A$69,DsC_N49_Sec_ShortCkt!$A$71,DsC_N49_Sec_ShortCkt!$A$73,DsC_N49_Sec_ShortCkt!$A$75,DsC_N49_Sec_ShortCkt!$A$77)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(DsC_N49_Sec_ShortCkt!$B$65,DsC_N49_Sec_ShortCkt!$B$67,DsC_N49_Sec_ShortCkt!$B$69,DsC_N49_Sec_ShortCkt!$B$71,DsC_N49_Sec_ShortCkt!$B$73,DsC_N49_Sec_ShortCkt!$B$75,DsC_N49_Sec_ShortCkt!$B$77)</c:f>
              <c:numCache>
                <c:formatCode>0.0</c:formatCode>
                <c:ptCount val="7"/>
                <c:pt idx="0">
                  <c:v>24</c:v>
                </c:pt>
                <c:pt idx="1">
                  <c:v>28.4</c:v>
                </c:pt>
                <c:pt idx="2">
                  <c:v>29.9</c:v>
                </c:pt>
                <c:pt idx="3">
                  <c:v>30.4</c:v>
                </c:pt>
                <c:pt idx="4">
                  <c:v>30.5</c:v>
                </c:pt>
                <c:pt idx="5">
                  <c:v>30.5</c:v>
                </c:pt>
                <c:pt idx="6">
                  <c:v>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8-4F43-868F-BD2BC2D77BB2}"/>
            </c:ext>
          </c:extLst>
        </c:ser>
        <c:ser>
          <c:idx val="1"/>
          <c:order val="1"/>
          <c:tx>
            <c:strRef>
              <c:f>DsC_N49_Sec_ShortCkt!$E$62</c:f>
              <c:strCache>
                <c:ptCount val="1"/>
                <c:pt idx="0">
                  <c:v>P loss ~ 0.36 W</c:v>
                </c:pt>
              </c:strCache>
            </c:strRef>
          </c:tx>
          <c:spPr>
            <a:ln w="2032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(DsC_N49_Sec_ShortCkt!$D$65,DsC_N49_Sec_ShortCkt!$D$67,DsC_N49_Sec_ShortCkt!$D$69,DsC_N49_Sec_ShortCkt!$D$71,DsC_N49_Sec_ShortCkt!$D$73,DsC_N49_Sec_ShortCkt!$D$75,DsC_N49_Sec_ShortCkt!$D$77)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(DsC_N49_Sec_ShortCkt!$E$65,DsC_N49_Sec_ShortCkt!$E$67,DsC_N49_Sec_ShortCkt!$E$69,DsC_N49_Sec_ShortCkt!$E$71,DsC_N49_Sec_ShortCkt!$E$73,DsC_N49_Sec_ShortCkt!$E$75,DsC_N49_Sec_ShortCkt!$E$77)</c:f>
              <c:numCache>
                <c:formatCode>0.0</c:formatCode>
                <c:ptCount val="7"/>
                <c:pt idx="0">
                  <c:v>24</c:v>
                </c:pt>
                <c:pt idx="1">
                  <c:v>34.299999999999997</c:v>
                </c:pt>
                <c:pt idx="2">
                  <c:v>35.9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36.299999999999997</c:v>
                </c:pt>
                <c:pt idx="6" formatCode="General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68-4F43-868F-BD2BC2D7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36176"/>
        <c:axId val="6214100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DsC_N49_Sec_ShortCkt!$H$62</c15:sqref>
                        </c15:formulaRef>
                      </c:ext>
                    </c:extLst>
                    <c:strCache>
                      <c:ptCount val="1"/>
                      <c:pt idx="0">
                        <c:v>P loss ~ 0.04 W</c:v>
                      </c:pt>
                    </c:strCache>
                  </c:strRef>
                </c:tx>
                <c:spPr>
                  <a:ln w="2032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(DsC_N49_Sec_ShortCkt!$G$65,DsC_N49_Sec_ShortCkt!$G$67:$G$77)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(DsC_N49_Sec_ShortCkt!$H$65,DsC_N49_Sec_ShortCkt!$H$67:$H$77)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</c:v>
                      </c:pt>
                      <c:pt idx="1">
                        <c:v>25.6</c:v>
                      </c:pt>
                      <c:pt idx="2">
                        <c:v>25.8</c:v>
                      </c:pt>
                      <c:pt idx="3">
                        <c:v>26</c:v>
                      </c:pt>
                      <c:pt idx="4">
                        <c:v>26.1</c:v>
                      </c:pt>
                      <c:pt idx="5">
                        <c:v>26.2</c:v>
                      </c:pt>
                      <c:pt idx="6">
                        <c:v>26.2</c:v>
                      </c:pt>
                      <c:pt idx="7">
                        <c:v>26.2</c:v>
                      </c:pt>
                      <c:pt idx="8">
                        <c:v>26.2</c:v>
                      </c:pt>
                      <c:pt idx="9">
                        <c:v>26.2</c:v>
                      </c:pt>
                      <c:pt idx="10" formatCode="General">
                        <c:v>26.2</c:v>
                      </c:pt>
                      <c:pt idx="11" formatCode="General">
                        <c:v>26.2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068-4F43-868F-BD2BC2D77BB2}"/>
                  </c:ext>
                </c:extLst>
              </c15:ser>
            </c15:filteredScatterSeries>
          </c:ext>
        </c:extLst>
      </c:scatterChart>
      <c:valAx>
        <c:axId val="6205361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(min)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41278541879263"/>
              <c:y val="0.9342064491351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410048"/>
        <c:crosses val="autoZero"/>
        <c:crossBetween val="midCat"/>
        <c:majorUnit val="5"/>
        <c:minorUnit val="1"/>
      </c:valAx>
      <c:valAx>
        <c:axId val="621410048"/>
        <c:scaling>
          <c:orientation val="minMax"/>
          <c:max val="8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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978902833482956E-2"/>
              <c:y val="0.4081651802567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536176"/>
        <c:crosses val="autoZero"/>
        <c:crossBetween val="midCat"/>
        <c:majorUnit val="6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4628399387921"/>
          <c:y val="0.43733674767546149"/>
          <c:w val="0.1561283432017577"/>
          <c:h val="0.2363170821122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Heating Characteristics of Xfmr: RM7/I-N49 Core &amp; Flex PCB Windings</a:t>
            </a:r>
            <a:endParaRPr lang="en-US" sz="14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9098774904792"/>
          <c:y val="0.20954667516533282"/>
          <c:w val="0.62303148434800204"/>
          <c:h val="0.5896455872133425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SsC_N49_ShortCkt!$L$80</c:f>
              <c:strCache>
                <c:ptCount val="1"/>
                <c:pt idx="0">
                  <c:v>P ≈ 0.06W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(SsC_N49_ShortCkt!$A$70,SsC_N49_ShortCkt!$A$72,SsC_N49_ShortCkt!$A$74,SsC_N49_ShortCkt!$A$76,SsC_N49_ShortCkt!$A$78,SsC_N49_ShortCkt!$A$80)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(SsC_N49_ShortCkt!$B$70,SsC_N49_ShortCkt!$B$72,SsC_N49_ShortCkt!$B$74,SsC_N49_ShortCkt!$B$76,SsC_N49_ShortCkt!$B$78,SsC_N49_ShortCkt!$B$80)</c:f>
              <c:numCache>
                <c:formatCode>0.0</c:formatCode>
                <c:ptCount val="6"/>
                <c:pt idx="0">
                  <c:v>25</c:v>
                </c:pt>
                <c:pt idx="1">
                  <c:v>26.3</c:v>
                </c:pt>
                <c:pt idx="2">
                  <c:v>27.1</c:v>
                </c:pt>
                <c:pt idx="3">
                  <c:v>27.4</c:v>
                </c:pt>
                <c:pt idx="4">
                  <c:v>27.6</c:v>
                </c:pt>
                <c:pt idx="5">
                  <c:v>27.7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48-4A47-B36E-4A0FEA7AF9CE}"/>
            </c:ext>
          </c:extLst>
        </c:ser>
        <c:ser>
          <c:idx val="0"/>
          <c:order val="1"/>
          <c:tx>
            <c:strRef>
              <c:f>SsC_N49_ShortCkt!$L$87</c:f>
              <c:strCache>
                <c:ptCount val="1"/>
                <c:pt idx="0">
                  <c:v>P ≈ 0.44W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(SsC_N49_ShortCkt!$A$83,SsC_N49_ShortCkt!$A$85,SsC_N49_ShortCkt!$A$87,SsC_N49_ShortCkt!$A$89,SsC_N49_ShortCkt!$A$91,SsC_N49_ShortCkt!$A$93)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(SsC_N49_ShortCkt!$B$83,SsC_N49_ShortCkt!$B$85,SsC_N49_ShortCkt!$B$87,SsC_N49_ShortCkt!$B$89,SsC_N49_ShortCkt!$B$91,SsC_N49_ShortCkt!$B$93)</c:f>
              <c:numCache>
                <c:formatCode>0.0</c:formatCode>
                <c:ptCount val="6"/>
                <c:pt idx="0">
                  <c:v>25</c:v>
                </c:pt>
                <c:pt idx="1">
                  <c:v>35.6</c:v>
                </c:pt>
                <c:pt idx="2">
                  <c:v>37.299999999999997</c:v>
                </c:pt>
                <c:pt idx="3">
                  <c:v>37.700000000000003</c:v>
                </c:pt>
                <c:pt idx="4">
                  <c:v>38.1</c:v>
                </c:pt>
                <c:pt idx="5">
                  <c:v>38.1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4C-4A7B-A804-F3FF35F7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36176"/>
        <c:axId val="621410048"/>
      </c:scatterChart>
      <c:valAx>
        <c:axId val="6205361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(min)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1410048"/>
        <c:crosses val="autoZero"/>
        <c:crossBetween val="midCat"/>
        <c:majorUnit val="5"/>
        <c:minorUnit val="1"/>
      </c:valAx>
      <c:valAx>
        <c:axId val="621410048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(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  <a:sym typeface="Symbol" panose="05050102010706020507" pitchFamily="18" charset="2"/>
                  </a:rPr>
                  <a:t></a:t>
                </a: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C)</a:t>
                </a:r>
                <a:endParaRPr lang="en-US" sz="7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538459791268959E-2"/>
              <c:y val="0.44610204221091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53617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11209446252561"/>
          <c:y val="0.43885044802083861"/>
          <c:w val="0.2027605164524868"/>
          <c:h val="0.22032581032633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6838826347909"/>
          <c:y val="4.5905052447426063E-2"/>
          <c:w val="0.70470036234141764"/>
          <c:h val="0.84890961535049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'N49_Steinmetz params'!$B$8</c:f>
              <c:strCache>
                <c:ptCount val="1"/>
                <c:pt idx="0">
                  <c:v>0.2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'N49_Steinmetz params'!$A$11:$A$15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'N49_Steinmetz params'!$B$11:$B$15</c:f>
              <c:numCache>
                <c:formatCode>General</c:formatCode>
                <c:ptCount val="5"/>
                <c:pt idx="0">
                  <c:v>30.54770524000018</c:v>
                </c:pt>
                <c:pt idx="1">
                  <c:v>248.33877054182327</c:v>
                </c:pt>
                <c:pt idx="2">
                  <c:v>612.33430589388581</c:v>
                </c:pt>
                <c:pt idx="3">
                  <c:v>4977.9958098832021</c:v>
                </c:pt>
                <c:pt idx="4">
                  <c:v>12274.3524997606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2-42A3-A706-645B267DC549}"/>
            </c:ext>
          </c:extLst>
        </c:ser>
        <c:ser>
          <c:idx val="1"/>
          <c:order val="1"/>
          <c:tx>
            <c:strRef>
              <c:f>'N49_Steinmetz params'!$D$8</c:f>
              <c:strCache>
                <c:ptCount val="1"/>
                <c:pt idx="0">
                  <c:v>0.1 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'N49_Steinmetz params'!$C$11:$C$15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'N49_Steinmetz params'!$D$11:$D$15</c:f>
              <c:numCache>
                <c:formatCode>General</c:formatCode>
                <c:ptCount val="5"/>
                <c:pt idx="0">
                  <c:v>4.9081253775874245</c:v>
                </c:pt>
                <c:pt idx="1">
                  <c:v>39.900798189552518</c:v>
                </c:pt>
                <c:pt idx="2">
                  <c:v>98.384265617103495</c:v>
                </c:pt>
                <c:pt idx="3">
                  <c:v>799.8187547003929</c:v>
                </c:pt>
                <c:pt idx="4">
                  <c:v>1972.130493083424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2-42A3-A706-645B267DC549}"/>
            </c:ext>
          </c:extLst>
        </c:ser>
        <c:ser>
          <c:idx val="3"/>
          <c:order val="2"/>
          <c:tx>
            <c:strRef>
              <c:f>'N49_Steinmetz params'!$F$8</c:f>
              <c:strCache>
                <c:ptCount val="1"/>
                <c:pt idx="0">
                  <c:v>0.05 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'N49_Steinmetz params'!$E$11:$E$15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'N49_Steinmetz params'!$F$11:$F$15</c:f>
              <c:numCache>
                <c:formatCode>General</c:formatCode>
                <c:ptCount val="5"/>
                <c:pt idx="0">
                  <c:v>0.78859261384301549</c:v>
                </c:pt>
                <c:pt idx="1">
                  <c:v>6.4108946528559647</c:v>
                </c:pt>
                <c:pt idx="2">
                  <c:v>15.80748233089227</c:v>
                </c:pt>
                <c:pt idx="3">
                  <c:v>128.50754898194606</c:v>
                </c:pt>
                <c:pt idx="4">
                  <c:v>316.86385752937514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2-42A3-A706-645B267DC549}"/>
            </c:ext>
          </c:extLst>
        </c:ser>
        <c:ser>
          <c:idx val="2"/>
          <c:order val="3"/>
          <c:tx>
            <c:strRef>
              <c:f>'N49_Steinmetz params'!$H$8</c:f>
              <c:strCache>
                <c:ptCount val="1"/>
                <c:pt idx="0">
                  <c:v>0.025 T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'N49_Steinmetz params'!$G$11:$G$15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'N49_Steinmetz params'!$H$11:$H$15</c:f>
              <c:numCache>
                <c:formatCode>General</c:formatCode>
                <c:ptCount val="5"/>
                <c:pt idx="0">
                  <c:v>0.12670383553108025</c:v>
                </c:pt>
                <c:pt idx="1">
                  <c:v>1.0300438115240131</c:v>
                </c:pt>
                <c:pt idx="2">
                  <c:v>2.5398014212348947</c:v>
                </c:pt>
                <c:pt idx="3">
                  <c:v>20.647415490442391</c:v>
                </c:pt>
                <c:pt idx="4">
                  <c:v>50.910781289840735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2-42A3-A706-645B267D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03488"/>
        <c:axId val="1182723120"/>
      </c:scatterChart>
      <c:valAx>
        <c:axId val="1185303488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23120"/>
        <c:crosses val="autoZero"/>
        <c:crossBetween val="midCat"/>
      </c:valAx>
      <c:valAx>
        <c:axId val="1182723120"/>
        <c:scaling>
          <c:logBase val="10"/>
          <c:orientation val="minMax"/>
          <c:max val="10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</a:t>
                </a:r>
                <a:r>
                  <a:rPr lang="en-US" baseline="0"/>
                  <a:t> (kW/m^3)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0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34</xdr:row>
      <xdr:rowOff>19050</xdr:rowOff>
    </xdr:from>
    <xdr:ext cx="2300438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41DE75-1A53-4B78-8DBC-B9AE6F9957CC}"/>
                </a:ext>
              </a:extLst>
            </xdr:cNvPr>
            <xdr:cNvSpPr txBox="1"/>
          </xdr:nvSpPr>
          <xdr:spPr>
            <a:xfrm>
              <a:off x="23812" y="28194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𝑙𝑘𝑝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𝑙𝑘𝑠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22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𝑙𝑘𝑇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@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𝑠𝑒𝑐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41DE75-1A53-4B78-8DBC-B9AE6F9957CC}"/>
                </a:ext>
              </a:extLst>
            </xdr:cNvPr>
            <xdr:cNvSpPr txBox="1"/>
          </xdr:nvSpPr>
          <xdr:spPr>
            <a:xfrm>
              <a:off x="23812" y="28194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1&amp;0&amp;1@0&amp;1&amp;1/49@1/49&amp;1&amp;0)]</a:t>
              </a:r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𝐿_11@𝐿_22@𝐿_(𝑙𝑘𝑇@𝑠𝑒𝑐) 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671512</xdr:colOff>
      <xdr:row>34</xdr:row>
      <xdr:rowOff>47625</xdr:rowOff>
    </xdr:from>
    <xdr:ext cx="1249958" cy="875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3B6476-E1BD-4066-900C-51094F0057A0}"/>
                </a:ext>
              </a:extLst>
            </xdr:cNvPr>
            <xdr:cNvSpPr txBox="1"/>
          </xdr:nvSpPr>
          <xdr:spPr>
            <a:xfrm>
              <a:off x="2728912" y="2847975"/>
              <a:ext cx="1249958" cy="8755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𝑙𝑘𝑝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𝑙𝑘𝑠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0.3825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0.0148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46.479</m:t>
                            </m:r>
                          </m:e>
                        </m:mr>
                      </m:m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 panose="05050102010706020507" pitchFamily="18" charset="2"/>
                    </a:rPr>
                    <m:t>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</m:oMath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</m:t>
                      </m:r>
                    </m:sub>
                  </m:sSub>
                </m:oMath>
              </a14:m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6.6398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n-US" sz="1100" b="0" i="0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=0.9882</m:t>
                    </m:r>
                  </m:oMath>
                </m:oMathPara>
              </a14:m>
              <a:endParaRPr lang="en-US" sz="1100" b="0">
                <a:solidFill>
                  <a:srgbClr val="FF0000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D3B6476-E1BD-4066-900C-51094F0057A0}"/>
                </a:ext>
              </a:extLst>
            </xdr:cNvPr>
            <xdr:cNvSpPr txBox="1"/>
          </xdr:nvSpPr>
          <xdr:spPr>
            <a:xfrm>
              <a:off x="2728912" y="2847975"/>
              <a:ext cx="1249958" cy="87556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0.3825@0.0148@46.479)]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𝐿_12</a:t>
              </a:r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6.6398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n-US" sz="1100" b="0" i="0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𝑘=0.9882</a:t>
              </a:r>
              <a:endParaRPr lang="en-US" sz="1100" b="0">
                <a:solidFill>
                  <a:srgbClr val="FF0000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23812</xdr:colOff>
      <xdr:row>8</xdr:row>
      <xdr:rowOff>19050</xdr:rowOff>
    </xdr:from>
    <xdr:ext cx="2300438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5E9CFD-4A4D-40D6-A74E-A20BC26D812A}"/>
                </a:ext>
              </a:extLst>
            </xdr:cNvPr>
            <xdr:cNvSpPr txBox="1"/>
          </xdr:nvSpPr>
          <xdr:spPr>
            <a:xfrm>
              <a:off x="23812" y="84201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𝑙𝑘𝑝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𝑙𝑘𝑠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22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𝑙𝑘𝑇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@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𝑠𝑒𝑐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85E9CFD-4A4D-40D6-A74E-A20BC26D812A}"/>
                </a:ext>
              </a:extLst>
            </xdr:cNvPr>
            <xdr:cNvSpPr txBox="1"/>
          </xdr:nvSpPr>
          <xdr:spPr>
            <a:xfrm>
              <a:off x="23812" y="84201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1&amp;0&amp;1@0&amp;1&amp;1/49@1/49&amp;1&amp;0)]</a:t>
              </a:r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𝐿_11@𝐿_22@𝐿_(𝑙𝑘𝑇@𝑠𝑒𝑐) 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671512</xdr:colOff>
      <xdr:row>8</xdr:row>
      <xdr:rowOff>47625</xdr:rowOff>
    </xdr:from>
    <xdr:ext cx="1238416" cy="883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7A8540-3B00-43A3-A773-CD1FB7F571AD}"/>
                </a:ext>
              </a:extLst>
            </xdr:cNvPr>
            <xdr:cNvSpPr txBox="1"/>
          </xdr:nvSpPr>
          <xdr:spPr>
            <a:xfrm>
              <a:off x="2728912" y="1647825"/>
              <a:ext cx="1238416" cy="88338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𝑙𝑘𝑝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𝑙𝑘𝑠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1.7923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0.0208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41.195</m:t>
                            </m:r>
                          </m:e>
                        </m:mr>
                      </m:m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 panose="05050102010706020507" pitchFamily="18" charset="2"/>
                    </a:rPr>
                    <m:t>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</m:oMath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</m:t>
                      </m:r>
                    </m:sub>
                  </m:sSub>
                </m:oMath>
              </a14:m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5.8850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n-US" sz="1100" b="0" i="0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=0.9913</m:t>
                    </m:r>
                  </m:oMath>
                </m:oMathPara>
              </a14:m>
              <a:endParaRPr lang="en-US" sz="1100" b="0">
                <a:solidFill>
                  <a:srgbClr val="FF0000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7A8540-3B00-43A3-A773-CD1FB7F571AD}"/>
                </a:ext>
              </a:extLst>
            </xdr:cNvPr>
            <xdr:cNvSpPr txBox="1"/>
          </xdr:nvSpPr>
          <xdr:spPr>
            <a:xfrm>
              <a:off x="2728912" y="1647825"/>
              <a:ext cx="1238416" cy="88338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1.7923@0.0208@41.195)]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𝐿_12</a:t>
              </a:r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5.8850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n-US" sz="1100" b="0" i="0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𝑘=0.9913</a:t>
              </a:r>
              <a:endParaRPr lang="en-US" sz="1100" b="0">
                <a:solidFill>
                  <a:srgbClr val="FF0000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67468</xdr:colOff>
      <xdr:row>125</xdr:row>
      <xdr:rowOff>166688</xdr:rowOff>
    </xdr:from>
    <xdr:to>
      <xdr:col>12</xdr:col>
      <xdr:colOff>571500</xdr:colOff>
      <xdr:row>141</xdr:row>
      <xdr:rowOff>130970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196F9-F41E-441B-BDA1-B333ADE66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371926</xdr:colOff>
      <xdr:row>61</xdr:row>
      <xdr:rowOff>60552</xdr:rowOff>
    </xdr:from>
    <xdr:to>
      <xdr:col>15</xdr:col>
      <xdr:colOff>541734</xdr:colOff>
      <xdr:row>78</xdr:row>
      <xdr:rowOff>89296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543704-D110-45C4-9145-0B5BFD9F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799703</xdr:colOff>
      <xdr:row>72</xdr:row>
      <xdr:rowOff>73421</xdr:rowOff>
    </xdr:from>
    <xdr:to>
      <xdr:col>14</xdr:col>
      <xdr:colOff>7937</xdr:colOff>
      <xdr:row>73</xdr:row>
      <xdr:rowOff>132952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655402-1003-435A-8F5D-C58C19F06925}"/>
            </a:ext>
          </a:extLst>
        </xdr:cNvPr>
        <xdr:cNvSpPr txBox="1"/>
      </xdr:nvSpPr>
      <xdr:spPr>
        <a:xfrm>
          <a:off x="10455672" y="14890749"/>
          <a:ext cx="887015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P ≈ 0.36 W</a:t>
          </a:r>
        </a:p>
      </xdr:txBody>
    </xdr:sp>
    <xdr:clientData/>
  </xdr:twoCellAnchor>
  <xdr:twoCellAnchor>
    <xdr:from>
      <xdr:col>12</xdr:col>
      <xdr:colOff>803275</xdr:colOff>
      <xdr:row>74</xdr:row>
      <xdr:rowOff>107340</xdr:rowOff>
    </xdr:from>
    <xdr:to>
      <xdr:col>14</xdr:col>
      <xdr:colOff>11509</xdr:colOff>
      <xdr:row>75</xdr:row>
      <xdr:rowOff>162903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D21DA0C-61E1-4172-9598-01AF5D2B9632}"/>
            </a:ext>
          </a:extLst>
        </xdr:cNvPr>
        <xdr:cNvSpPr txBox="1"/>
      </xdr:nvSpPr>
      <xdr:spPr>
        <a:xfrm>
          <a:off x="10459244" y="15329481"/>
          <a:ext cx="887015" cy="257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P ≈ 0.13 W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14</xdr:row>
      <xdr:rowOff>19050</xdr:rowOff>
    </xdr:from>
    <xdr:ext cx="2300438" cy="5379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20D541-B233-4E8B-B447-52F56083C0A7}"/>
                </a:ext>
              </a:extLst>
            </xdr:cNvPr>
            <xdr:cNvSpPr txBox="1"/>
          </xdr:nvSpPr>
          <xdr:spPr>
            <a:xfrm>
              <a:off x="23812" y="28194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1/49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𝑙𝑘𝑝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𝑙𝑘𝑠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22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𝑙𝑘𝑇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@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𝑠𝑒𝑐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E20D541-B233-4E8B-B447-52F56083C0A7}"/>
                </a:ext>
              </a:extLst>
            </xdr:cNvPr>
            <xdr:cNvSpPr txBox="1"/>
          </xdr:nvSpPr>
          <xdr:spPr>
            <a:xfrm>
              <a:off x="23812" y="2819400"/>
              <a:ext cx="2300438" cy="53796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1&amp;0&amp;1@0&amp;1&amp;1/49@1/49&amp;1&amp;0)]</a:t>
              </a:r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𝐿_11@𝐿_22@𝐿_(𝑙𝑘𝑇@𝑠𝑒𝑐) 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671512</xdr:colOff>
      <xdr:row>14</xdr:row>
      <xdr:rowOff>47625</xdr:rowOff>
    </xdr:from>
    <xdr:ext cx="1345433" cy="89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AD496E-316E-42C3-BBD2-EA8001B75103}"/>
                </a:ext>
              </a:extLst>
            </xdr:cNvPr>
            <xdr:cNvSpPr txBox="1"/>
          </xdr:nvSpPr>
          <xdr:spPr>
            <a:xfrm>
              <a:off x="2728912" y="2847975"/>
              <a:ext cx="1345433" cy="89248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𝑙𝑘𝑝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𝑙𝑘𝑠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1"/>
                                <m:mcJc m:val="center"/>
                              </m:mcPr>
                            </m:mc>
                          </m:mcs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2.5681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−0.2325</m:t>
                            </m:r>
                          </m:e>
                        </m:mr>
                        <m:m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40.7829.</m:t>
                            </m:r>
                          </m:e>
                        </m:mr>
                      </m:m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 panose="05050102010706020507" pitchFamily="18" charset="2"/>
                    </a:rPr>
                    <m:t>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</m:oMath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=5.8261</m:t>
                  </m:r>
                </m:oMath>
              </a14:m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 panose="05050102010706020507" pitchFamily="18" charset="2"/>
                    </a:rPr>
                    <m:t>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𝐻</m:t>
                  </m:r>
                </m:oMath>
              </a14:m>
              <a:endParaRPr lang="en-US" sz="1100" b="0" i="1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=1.0299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AD496E-316E-42C3-BBD2-EA8001B75103}"/>
                </a:ext>
              </a:extLst>
            </xdr:cNvPr>
            <xdr:cNvSpPr txBox="1"/>
          </xdr:nvSpPr>
          <xdr:spPr>
            <a:xfrm>
              <a:off x="2728912" y="2847975"/>
              <a:ext cx="1345433" cy="89248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[■8(</a:t>
              </a:r>
              <a:r>
                <a:rPr lang="en-US" sz="1100" b="0" i="0">
                  <a:latin typeface="Cambria Math" panose="02040503050406030204" pitchFamily="18" charset="0"/>
                </a:rPr>
                <a:t>𝐿_𝑙𝑘𝑝@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𝐿_𝑙𝑘𝑠@𝐿_𝑚 )]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[■8(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12.5681@−0.2325@40.7829.)]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𝐿_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12=5.8261</a:t>
              </a:r>
              <a:r>
                <a:rPr lang="en-US" sz="1100" b="0" i="1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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endParaRPr lang="en-US" sz="1100" b="0" i="1">
                <a:solidFill>
                  <a:srgbClr val="FF0000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𝑘=1.0299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281779</xdr:colOff>
      <xdr:row>71</xdr:row>
      <xdr:rowOff>154781</xdr:rowOff>
    </xdr:from>
    <xdr:to>
      <xdr:col>18</xdr:col>
      <xdr:colOff>309562</xdr:colOff>
      <xdr:row>88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D01FB-B4CF-4603-A34C-BB396C40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52386</xdr:colOff>
      <xdr:row>4</xdr:row>
      <xdr:rowOff>14287</xdr:rowOff>
    </xdr:from>
    <xdr:to>
      <xdr:col>18</xdr:col>
      <xdr:colOff>304800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8F2E1-FF9C-475B-B6CB-73DC6FF85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484043</xdr:colOff>
      <xdr:row>0</xdr:row>
      <xdr:rowOff>228600</xdr:rowOff>
    </xdr:from>
    <xdr:ext cx="5087330" cy="7028415"/>
    <xdr:pic>
      <xdr:nvPicPr>
        <xdr:cNvPr id="3" name="Picture 2">
          <a:extLst>
            <a:ext uri="{FF2B5EF4-FFF2-40B4-BE49-F238E27FC236}">
              <a16:creationId xmlns:a16="http://schemas.microsoft.com/office/drawing/2014/main" id="{A33F4F00-78B8-4980-BE6E-6ECA5A4F5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1693" y="228600"/>
          <a:ext cx="5049230" cy="69426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BCDC-41A5-4338-A5C7-F14D1D53E75F}">
  <dimension ref="A1:K12"/>
  <sheetViews>
    <sheetView workbookViewId="0">
      <selection activeCell="S11" sqref="S11"/>
    </sheetView>
  </sheetViews>
  <sheetFormatPr defaultRowHeight="15.75" x14ac:dyDescent="0.25"/>
  <sheetData>
    <row r="1" spans="1:11" x14ac:dyDescent="0.25">
      <c r="A1" t="s">
        <v>94</v>
      </c>
    </row>
    <row r="2" spans="1:11" x14ac:dyDescent="0.25">
      <c r="A2" t="s">
        <v>95</v>
      </c>
    </row>
    <row r="4" spans="1:11" x14ac:dyDescent="0.25">
      <c r="A4" s="42" t="s">
        <v>91</v>
      </c>
      <c r="B4" s="156">
        <v>0.2</v>
      </c>
      <c r="C4" s="157"/>
      <c r="D4" s="157"/>
      <c r="E4" s="157"/>
      <c r="F4" s="158"/>
      <c r="G4" s="159">
        <v>1</v>
      </c>
      <c r="H4" s="159"/>
      <c r="I4" s="159"/>
      <c r="J4" s="159"/>
      <c r="K4" s="159"/>
    </row>
    <row r="5" spans="1:11" x14ac:dyDescent="0.25">
      <c r="A5" s="32" t="s">
        <v>92</v>
      </c>
      <c r="B5" s="43" t="s">
        <v>87</v>
      </c>
      <c r="C5" s="44" t="s">
        <v>88</v>
      </c>
      <c r="D5" s="45" t="s">
        <v>93</v>
      </c>
      <c r="E5" s="44" t="s">
        <v>89</v>
      </c>
      <c r="F5" s="46" t="s">
        <v>93</v>
      </c>
      <c r="G5" s="44" t="s">
        <v>87</v>
      </c>
      <c r="H5" s="44" t="s">
        <v>88</v>
      </c>
      <c r="I5" s="47" t="s">
        <v>93</v>
      </c>
      <c r="J5" s="44" t="s">
        <v>89</v>
      </c>
      <c r="K5" s="47" t="s">
        <v>93</v>
      </c>
    </row>
    <row r="6" spans="1:11" x14ac:dyDescent="0.25">
      <c r="A6" s="32" t="s">
        <v>90</v>
      </c>
      <c r="B6" s="34"/>
      <c r="C6" s="35"/>
      <c r="D6" s="36"/>
      <c r="E6" s="35"/>
      <c r="F6" s="37"/>
      <c r="I6" s="26"/>
      <c r="K6" s="26"/>
    </row>
    <row r="7" spans="1:11" x14ac:dyDescent="0.25">
      <c r="A7" s="33">
        <v>0.5</v>
      </c>
      <c r="B7" s="38">
        <v>0.25257000000000002</v>
      </c>
      <c r="C7" s="39">
        <v>0.26824999999999999</v>
      </c>
      <c r="D7" s="40">
        <f>((C7-B7)/B7)</f>
        <v>6.208179910519844E-2</v>
      </c>
      <c r="E7" s="39">
        <v>0.26493</v>
      </c>
      <c r="F7" s="41">
        <f>((E7-B7)/B7)</f>
        <v>4.8936928376291648E-2</v>
      </c>
      <c r="G7" s="13">
        <v>6.3143000000000002</v>
      </c>
      <c r="H7" s="13">
        <v>6.7061000000000002</v>
      </c>
      <c r="I7" s="31">
        <f>((H7-G7)/G7)</f>
        <v>6.2049633371870187E-2</v>
      </c>
      <c r="J7" s="13">
        <v>6.6231999999999998</v>
      </c>
      <c r="K7" s="31">
        <f>((J7-G7)/G7)</f>
        <v>4.8920703799312591E-2</v>
      </c>
    </row>
    <row r="8" spans="1:11" x14ac:dyDescent="0.25">
      <c r="A8" s="33">
        <v>1</v>
      </c>
      <c r="B8" s="38">
        <v>0.25697999999999999</v>
      </c>
      <c r="C8" s="39">
        <v>0.27389000000000002</v>
      </c>
      <c r="D8" s="40">
        <f>((C8-B8)/B8)</f>
        <v>6.5802786209043646E-2</v>
      </c>
      <c r="E8" s="39">
        <v>0.2853</v>
      </c>
      <c r="F8" s="41">
        <f>((E8-B8)/B8)</f>
        <v>0.11020312864814388</v>
      </c>
      <c r="G8" s="13">
        <v>6.4246100000000004</v>
      </c>
      <c r="H8" s="13">
        <v>6.8472</v>
      </c>
      <c r="I8" s="31">
        <f>((H8-G8)/G8)</f>
        <v>6.5776755320556352E-2</v>
      </c>
      <c r="J8" s="13">
        <v>7.1323999999999996</v>
      </c>
      <c r="K8" s="31">
        <f>((J8-G8)/G8)</f>
        <v>0.11016855497843436</v>
      </c>
    </row>
    <row r="9" spans="1:11" x14ac:dyDescent="0.25">
      <c r="A9" s="33">
        <v>3</v>
      </c>
      <c r="B9" s="38">
        <v>0.29098000000000002</v>
      </c>
      <c r="C9" s="39">
        <v>0.32018000000000002</v>
      </c>
      <c r="D9" s="40">
        <f>((C9-B9)/B9)</f>
        <v>0.10035053955598323</v>
      </c>
      <c r="E9" s="39">
        <v>0.44134000000000001</v>
      </c>
      <c r="F9" s="41">
        <f>((E9-B9)/B9)</f>
        <v>0.5167365454670424</v>
      </c>
      <c r="G9" s="13">
        <v>7.2746000000000004</v>
      </c>
      <c r="H9" s="13">
        <v>8.0044000000000004</v>
      </c>
      <c r="I9" s="31">
        <f>((H9-G9)/G9)</f>
        <v>0.10032166717070354</v>
      </c>
      <c r="J9" s="13">
        <v>11.034000000000001</v>
      </c>
      <c r="K9" s="31">
        <f>((J9-G9)/G9)</f>
        <v>0.51678442800978752</v>
      </c>
    </row>
    <row r="11" spans="1:11" x14ac:dyDescent="0.25">
      <c r="A11" t="s">
        <v>97</v>
      </c>
      <c r="J11" s="13"/>
    </row>
    <row r="12" spans="1:11" x14ac:dyDescent="0.25">
      <c r="A12" t="s">
        <v>96</v>
      </c>
    </row>
  </sheetData>
  <mergeCells count="2">
    <mergeCell ref="B4:F4"/>
    <mergeCell ref="G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B29E-5E86-4891-9253-BF0411FBB0F2}">
  <dimension ref="A1:M53"/>
  <sheetViews>
    <sheetView workbookViewId="0">
      <selection activeCell="C6" sqref="C6"/>
    </sheetView>
  </sheetViews>
  <sheetFormatPr defaultRowHeight="15.75" x14ac:dyDescent="0.25"/>
  <sheetData>
    <row r="1" spans="1:13" x14ac:dyDescent="0.25">
      <c r="A1" s="4" t="s">
        <v>74</v>
      </c>
      <c r="E1" s="99" t="s">
        <v>170</v>
      </c>
      <c r="J1" s="4" t="s">
        <v>69</v>
      </c>
    </row>
    <row r="2" spans="1:13" x14ac:dyDescent="0.25">
      <c r="A2" t="s">
        <v>56</v>
      </c>
      <c r="B2" t="s">
        <v>57</v>
      </c>
      <c r="C2" s="24" t="s">
        <v>58</v>
      </c>
      <c r="E2" t="s">
        <v>63</v>
      </c>
      <c r="F2" t="s">
        <v>64</v>
      </c>
      <c r="G2" s="24" t="s">
        <v>58</v>
      </c>
      <c r="J2" t="s">
        <v>56</v>
      </c>
      <c r="K2" t="s">
        <v>57</v>
      </c>
      <c r="L2" s="24" t="s">
        <v>70</v>
      </c>
      <c r="M2" s="25" t="s">
        <v>72</v>
      </c>
    </row>
    <row r="3" spans="1:13" x14ac:dyDescent="0.25">
      <c r="A3" t="s">
        <v>59</v>
      </c>
      <c r="B3" s="7">
        <v>4.2987E-5</v>
      </c>
      <c r="C3" s="7">
        <v>200000</v>
      </c>
      <c r="E3" t="s">
        <v>65</v>
      </c>
      <c r="F3" s="7">
        <v>1.2669E-10</v>
      </c>
      <c r="G3" s="7">
        <v>3000000</v>
      </c>
      <c r="J3" t="s">
        <v>71</v>
      </c>
      <c r="K3" s="7"/>
      <c r="L3" s="7">
        <v>1000000</v>
      </c>
      <c r="M3" s="7">
        <f>K3-B5</f>
        <v>-5.8011000000000002E-7</v>
      </c>
    </row>
    <row r="4" spans="1:13" x14ac:dyDescent="0.25">
      <c r="A4" t="s">
        <v>60</v>
      </c>
      <c r="B4" s="7">
        <v>8.1992999999999996E-7</v>
      </c>
      <c r="C4" s="7">
        <v>200000</v>
      </c>
      <c r="E4" t="s">
        <v>65</v>
      </c>
      <c r="F4" s="7">
        <v>-3.8788000000000001E-10</v>
      </c>
      <c r="G4" s="7">
        <v>1000000</v>
      </c>
      <c r="J4" t="s">
        <v>71</v>
      </c>
      <c r="K4" s="7"/>
      <c r="L4" s="7">
        <v>3000000</v>
      </c>
      <c r="M4" s="7"/>
    </row>
    <row r="5" spans="1:13" x14ac:dyDescent="0.25">
      <c r="A5" s="15" t="s">
        <v>62</v>
      </c>
      <c r="B5" s="149">
        <v>5.8011000000000002E-7</v>
      </c>
      <c r="C5" s="149">
        <v>3000000</v>
      </c>
      <c r="E5" t="s">
        <v>66</v>
      </c>
      <c r="F5" s="7">
        <v>6.2851000000000001E-9</v>
      </c>
      <c r="G5" s="7">
        <v>3000000</v>
      </c>
      <c r="J5" t="s">
        <v>73</v>
      </c>
      <c r="K5" s="7"/>
      <c r="L5" s="7">
        <v>1000000</v>
      </c>
    </row>
    <row r="6" spans="1:13" x14ac:dyDescent="0.25">
      <c r="A6" t="s">
        <v>61</v>
      </c>
      <c r="B6" s="7">
        <v>1.5799999999999999E-8</v>
      </c>
      <c r="C6" s="7">
        <v>10000000</v>
      </c>
      <c r="E6" t="s">
        <v>66</v>
      </c>
      <c r="F6" s="7">
        <v>-1.8649E-8</v>
      </c>
      <c r="G6" s="7">
        <v>1000000</v>
      </c>
      <c r="J6" t="s">
        <v>73</v>
      </c>
      <c r="K6" s="7"/>
      <c r="L6" s="7">
        <v>3000000</v>
      </c>
    </row>
    <row r="14" spans="1:13" x14ac:dyDescent="0.25">
      <c r="A14" s="28" t="s">
        <v>76</v>
      </c>
    </row>
    <row r="15" spans="1:13" x14ac:dyDescent="0.25">
      <c r="A15" s="4" t="s">
        <v>77</v>
      </c>
      <c r="B15" t="s">
        <v>62</v>
      </c>
      <c r="C15" t="s">
        <v>78</v>
      </c>
      <c r="D15" t="s">
        <v>84</v>
      </c>
      <c r="E15" t="s">
        <v>85</v>
      </c>
      <c r="F15" s="29" t="s">
        <v>79</v>
      </c>
      <c r="G15" s="29" t="s">
        <v>80</v>
      </c>
    </row>
    <row r="16" spans="1:13" x14ac:dyDescent="0.25">
      <c r="B16" s="7">
        <f>B5</f>
        <v>5.8011000000000002E-7</v>
      </c>
      <c r="C16">
        <v>7.6196000000000002</v>
      </c>
      <c r="D16" s="7">
        <f>F3</f>
        <v>1.2669E-10</v>
      </c>
      <c r="E16" s="7">
        <v>1242.9000000000001</v>
      </c>
      <c r="F16" s="7">
        <v>2.0888000000000001E-8</v>
      </c>
      <c r="G16">
        <v>7.9196</v>
      </c>
    </row>
    <row r="21" spans="1:13" x14ac:dyDescent="0.25">
      <c r="A21" s="4" t="s">
        <v>74</v>
      </c>
      <c r="H21" s="29" t="s">
        <v>81</v>
      </c>
      <c r="I21" s="29" t="s">
        <v>82</v>
      </c>
    </row>
    <row r="22" spans="1:13" x14ac:dyDescent="0.25">
      <c r="A22" t="s">
        <v>56</v>
      </c>
      <c r="B22" t="s">
        <v>57</v>
      </c>
      <c r="C22" s="24" t="s">
        <v>58</v>
      </c>
      <c r="E22" t="s">
        <v>63</v>
      </c>
      <c r="F22" t="s">
        <v>64</v>
      </c>
      <c r="G22" s="24" t="s">
        <v>58</v>
      </c>
      <c r="H22" s="7">
        <v>2.0888E-7</v>
      </c>
      <c r="I22">
        <v>0.76195999999999997</v>
      </c>
    </row>
    <row r="23" spans="1:13" x14ac:dyDescent="0.25">
      <c r="A23" t="s">
        <v>59</v>
      </c>
      <c r="B23" s="7">
        <v>4.6860999999999997E-5</v>
      </c>
      <c r="C23" s="7">
        <v>200000</v>
      </c>
      <c r="E23" t="s">
        <v>65</v>
      </c>
      <c r="F23" s="7">
        <v>1.2805000000000001E-10</v>
      </c>
      <c r="G23" s="7">
        <v>3000000</v>
      </c>
    </row>
    <row r="24" spans="1:13" x14ac:dyDescent="0.25">
      <c r="A24" t="s">
        <v>60</v>
      </c>
      <c r="B24" s="7">
        <v>9.6332999999999993E-7</v>
      </c>
      <c r="C24" s="7">
        <v>200000</v>
      </c>
      <c r="E24" t="s">
        <v>65</v>
      </c>
      <c r="F24" s="7">
        <v>-3.4376000000000001E-10</v>
      </c>
      <c r="G24" s="7">
        <v>1000000</v>
      </c>
      <c r="H24" s="29" t="s">
        <v>81</v>
      </c>
      <c r="I24" s="29" t="s">
        <v>82</v>
      </c>
    </row>
    <row r="25" spans="1:13" x14ac:dyDescent="0.25">
      <c r="A25" s="26" t="s">
        <v>62</v>
      </c>
      <c r="B25" s="27">
        <v>1.2127000000000001E-6</v>
      </c>
      <c r="C25" s="27">
        <v>1000000</v>
      </c>
      <c r="E25" t="s">
        <v>66</v>
      </c>
      <c r="F25" s="7">
        <v>6.5575999999999998E-9</v>
      </c>
      <c r="G25" s="7">
        <v>3000000</v>
      </c>
      <c r="H25" s="7">
        <v>2.2875999999999999E-7</v>
      </c>
      <c r="I25">
        <v>0.69574000000000003</v>
      </c>
    </row>
    <row r="26" spans="1:13" x14ac:dyDescent="0.25">
      <c r="A26" t="s">
        <v>61</v>
      </c>
      <c r="B26" s="7">
        <v>2.2597E-8</v>
      </c>
      <c r="C26" s="7">
        <v>1000000</v>
      </c>
      <c r="E26" t="s">
        <v>66</v>
      </c>
      <c r="F26" s="7">
        <v>-1.6514000000000001E-8</v>
      </c>
      <c r="G26" s="7">
        <v>1000000</v>
      </c>
    </row>
    <row r="28" spans="1:13" x14ac:dyDescent="0.25">
      <c r="A28" s="4" t="s">
        <v>75</v>
      </c>
    </row>
    <row r="29" spans="1:13" x14ac:dyDescent="0.25">
      <c r="A29" t="s">
        <v>56</v>
      </c>
      <c r="B29" t="s">
        <v>57</v>
      </c>
      <c r="C29" s="24" t="s">
        <v>58</v>
      </c>
      <c r="E29" t="s">
        <v>63</v>
      </c>
      <c r="F29" t="s">
        <v>64</v>
      </c>
      <c r="G29" s="24" t="s">
        <v>58</v>
      </c>
      <c r="J29" s="4" t="s">
        <v>69</v>
      </c>
    </row>
    <row r="30" spans="1:13" x14ac:dyDescent="0.25">
      <c r="A30" t="s">
        <v>59</v>
      </c>
      <c r="B30" s="7">
        <v>5.3350999999999998E-5</v>
      </c>
      <c r="C30" s="7">
        <v>1000000</v>
      </c>
      <c r="E30" t="s">
        <v>65</v>
      </c>
      <c r="F30" s="7">
        <v>1.1395E-10</v>
      </c>
      <c r="G30" s="7">
        <v>3000000</v>
      </c>
      <c r="J30" t="s">
        <v>56</v>
      </c>
      <c r="K30" t="s">
        <v>57</v>
      </c>
      <c r="L30" s="24" t="s">
        <v>70</v>
      </c>
      <c r="M30" s="25" t="s">
        <v>72</v>
      </c>
    </row>
    <row r="31" spans="1:13" x14ac:dyDescent="0.25">
      <c r="A31" t="s">
        <v>60</v>
      </c>
      <c r="B31" s="7">
        <v>5.9981999999999998E-7</v>
      </c>
      <c r="C31" s="7">
        <v>1000000</v>
      </c>
      <c r="E31" t="s">
        <v>65</v>
      </c>
      <c r="F31" s="7">
        <v>-4.7430999999999999E-10</v>
      </c>
      <c r="G31" s="7">
        <v>1000000</v>
      </c>
      <c r="J31" t="s">
        <v>71</v>
      </c>
      <c r="K31" s="7"/>
      <c r="L31" s="7">
        <v>1000000</v>
      </c>
      <c r="M31" s="7">
        <f>K31-B25</f>
        <v>-1.2127000000000001E-6</v>
      </c>
    </row>
    <row r="32" spans="1:13" x14ac:dyDescent="0.25">
      <c r="A32" s="26" t="s">
        <v>62</v>
      </c>
      <c r="B32" s="27">
        <v>1.1073E-6</v>
      </c>
      <c r="C32" s="27">
        <v>1000000</v>
      </c>
      <c r="E32" t="s">
        <v>66</v>
      </c>
      <c r="F32" s="7">
        <v>3.3445000000000002E-9</v>
      </c>
      <c r="G32" s="7">
        <v>3000000</v>
      </c>
      <c r="J32" t="s">
        <v>71</v>
      </c>
      <c r="K32" s="7"/>
      <c r="L32" s="7">
        <v>3000000</v>
      </c>
      <c r="M32" s="7"/>
    </row>
    <row r="33" spans="1:12" x14ac:dyDescent="0.25">
      <c r="A33" t="s">
        <v>61</v>
      </c>
      <c r="B33" s="7">
        <v>2.4006E-8</v>
      </c>
      <c r="C33" s="7">
        <v>1000000</v>
      </c>
      <c r="E33" t="s">
        <v>66</v>
      </c>
      <c r="F33" s="7">
        <v>-4.2415E-8</v>
      </c>
      <c r="G33" s="7">
        <v>1000000</v>
      </c>
      <c r="J33" t="s">
        <v>73</v>
      </c>
      <c r="K33" s="7"/>
      <c r="L33" s="7">
        <v>1000000</v>
      </c>
    </row>
    <row r="34" spans="1:12" x14ac:dyDescent="0.25">
      <c r="J34" t="s">
        <v>73</v>
      </c>
      <c r="K34" s="7"/>
      <c r="L34" s="7">
        <v>3000000</v>
      </c>
    </row>
    <row r="40" spans="1:12" x14ac:dyDescent="0.25">
      <c r="A40" s="28" t="s">
        <v>76</v>
      </c>
    </row>
    <row r="41" spans="1:12" x14ac:dyDescent="0.25">
      <c r="A41" s="4" t="s">
        <v>77</v>
      </c>
      <c r="B41" t="s">
        <v>62</v>
      </c>
      <c r="C41" t="s">
        <v>78</v>
      </c>
      <c r="D41" t="s">
        <v>84</v>
      </c>
      <c r="E41" t="s">
        <v>85</v>
      </c>
      <c r="F41" s="29" t="s">
        <v>79</v>
      </c>
      <c r="G41" s="29" t="s">
        <v>80</v>
      </c>
    </row>
    <row r="42" spans="1:12" x14ac:dyDescent="0.25">
      <c r="B42" s="7">
        <f>B25</f>
        <v>1.2127000000000001E-6</v>
      </c>
      <c r="C42">
        <v>7.6196000000000002</v>
      </c>
      <c r="D42" s="7">
        <f>F23</f>
        <v>1.2805000000000001E-10</v>
      </c>
      <c r="E42" s="7">
        <v>1242.9000000000001</v>
      </c>
      <c r="F42" s="7">
        <v>2.0888000000000001E-8</v>
      </c>
      <c r="G42">
        <v>7.9196</v>
      </c>
    </row>
    <row r="44" spans="1:12" x14ac:dyDescent="0.25">
      <c r="A44" s="4" t="s">
        <v>83</v>
      </c>
      <c r="B44" t="s">
        <v>62</v>
      </c>
      <c r="C44" t="s">
        <v>78</v>
      </c>
      <c r="D44" t="s">
        <v>84</v>
      </c>
      <c r="E44" t="s">
        <v>85</v>
      </c>
      <c r="F44" s="29" t="s">
        <v>79</v>
      </c>
      <c r="G44" s="29" t="s">
        <v>80</v>
      </c>
    </row>
    <row r="45" spans="1:12" x14ac:dyDescent="0.25">
      <c r="B45" s="7">
        <f>B32</f>
        <v>1.1073E-6</v>
      </c>
      <c r="C45">
        <v>6.9573999999999998</v>
      </c>
      <c r="D45" s="7">
        <f>F23</f>
        <v>1.2805000000000001E-10</v>
      </c>
      <c r="E45" s="7">
        <f>E42</f>
        <v>1242.9000000000001</v>
      </c>
      <c r="F45" s="7">
        <v>2.2875999999999999E-8</v>
      </c>
      <c r="G45">
        <v>6.9573999999999998</v>
      </c>
    </row>
    <row r="49" spans="8:9" x14ac:dyDescent="0.25">
      <c r="H49" s="29" t="s">
        <v>81</v>
      </c>
      <c r="I49" s="29" t="s">
        <v>82</v>
      </c>
    </row>
    <row r="50" spans="8:9" x14ac:dyDescent="0.25">
      <c r="H50" s="7">
        <v>2.0888E-7</v>
      </c>
      <c r="I50">
        <v>0.76195999999999997</v>
      </c>
    </row>
    <row r="52" spans="8:9" x14ac:dyDescent="0.25">
      <c r="H52" s="29" t="s">
        <v>81</v>
      </c>
      <c r="I52" s="29" t="s">
        <v>82</v>
      </c>
    </row>
    <row r="53" spans="8:9" x14ac:dyDescent="0.25">
      <c r="H53" s="7">
        <v>2.2875999999999999E-7</v>
      </c>
      <c r="I53">
        <v>0.69574000000000003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0434-C7EB-4783-93A1-2F8FAF8F5098}">
  <dimension ref="A1:U62"/>
  <sheetViews>
    <sheetView zoomScale="80" zoomScaleNormal="80" workbookViewId="0">
      <selection activeCell="N33" sqref="N33"/>
    </sheetView>
  </sheetViews>
  <sheetFormatPr defaultColWidth="11" defaultRowHeight="15.75" x14ac:dyDescent="0.25"/>
  <cols>
    <col min="2" max="2" width="8.875" customWidth="1"/>
    <col min="7" max="7" width="9.625" customWidth="1"/>
    <col min="8" max="8" width="10.875" customWidth="1"/>
    <col min="11" max="11" width="10.625" customWidth="1"/>
    <col min="12" max="12" width="10.75" customWidth="1"/>
    <col min="16" max="16" width="10" customWidth="1"/>
  </cols>
  <sheetData>
    <row r="1" spans="1:21" x14ac:dyDescent="0.25">
      <c r="A1" s="10" t="s">
        <v>0</v>
      </c>
      <c r="B1" s="10">
        <v>200</v>
      </c>
      <c r="C1" s="10" t="s">
        <v>15</v>
      </c>
      <c r="D1" s="10"/>
      <c r="E1" s="10"/>
      <c r="F1" s="2"/>
      <c r="G1" s="2" t="s">
        <v>39</v>
      </c>
      <c r="H1" s="164" t="s">
        <v>40</v>
      </c>
      <c r="I1" s="164"/>
      <c r="J1" s="164"/>
      <c r="K1" s="164"/>
      <c r="L1" s="164"/>
      <c r="M1" t="s">
        <v>12</v>
      </c>
      <c r="N1" s="2"/>
    </row>
    <row r="2" spans="1:21" x14ac:dyDescent="0.25">
      <c r="A2" s="2" t="s">
        <v>2</v>
      </c>
      <c r="B2" s="2" t="s">
        <v>38</v>
      </c>
      <c r="C2" s="2"/>
      <c r="D2" s="2"/>
      <c r="E2" s="2"/>
      <c r="F2" s="2"/>
      <c r="G2" s="2"/>
      <c r="H2" s="164"/>
      <c r="I2" s="164"/>
      <c r="J2" s="164"/>
      <c r="K2" s="164"/>
      <c r="L2" s="164"/>
      <c r="N2" s="2"/>
    </row>
    <row r="3" spans="1:21" x14ac:dyDescent="0.25">
      <c r="A3" s="2" t="s">
        <v>17</v>
      </c>
      <c r="B3" s="2">
        <v>46.505899999999997</v>
      </c>
      <c r="C3" s="2" t="s">
        <v>14</v>
      </c>
      <c r="D3" s="2" t="s">
        <v>21</v>
      </c>
      <c r="E3" s="2">
        <v>128.05000000000001</v>
      </c>
      <c r="F3" s="2" t="s">
        <v>3</v>
      </c>
      <c r="G3" s="2" t="s">
        <v>44</v>
      </c>
      <c r="H3" s="2"/>
      <c r="I3" s="2"/>
      <c r="J3" s="2"/>
      <c r="K3" s="2"/>
      <c r="L3" s="2"/>
      <c r="N3" s="2"/>
    </row>
    <row r="4" spans="1:21" x14ac:dyDescent="0.25">
      <c r="A4" s="2" t="s">
        <v>18</v>
      </c>
      <c r="B4" s="6">
        <f>B3*10^-6*B1*2*PI()*10^3</f>
        <v>58.441037515432619</v>
      </c>
      <c r="C4" s="2"/>
      <c r="D4" s="2" t="s">
        <v>22</v>
      </c>
      <c r="E4">
        <f>1/(2*PI()*$B$1*10^3*E3*10^-12)</f>
        <v>6214.5624010892343</v>
      </c>
      <c r="F4" s="2"/>
      <c r="G4" s="2"/>
      <c r="H4" s="2"/>
      <c r="I4" s="2"/>
      <c r="J4" s="2"/>
      <c r="K4" s="2"/>
      <c r="L4" s="2"/>
      <c r="N4" s="2"/>
    </row>
    <row r="5" spans="1:21" ht="18.75" x14ac:dyDescent="0.3">
      <c r="A5" s="2" t="s">
        <v>19</v>
      </c>
      <c r="B5" s="3">
        <v>13.617000000000001</v>
      </c>
      <c r="C5" s="2" t="s">
        <v>16</v>
      </c>
      <c r="D5" s="2" t="s">
        <v>24</v>
      </c>
      <c r="E5" s="6">
        <v>64.722999999999999</v>
      </c>
      <c r="F5" s="2" t="s">
        <v>16</v>
      </c>
      <c r="G5" s="19" t="s">
        <v>47</v>
      </c>
      <c r="H5" s="16">
        <f>((1/(2*PI())*SQRT(1/(B3*10^-6*((E3*10^-12)+(B5*10^-9)))))*10^-6)</f>
        <v>0.19906409917828138</v>
      </c>
      <c r="I5" s="2"/>
      <c r="J5" s="2"/>
      <c r="K5" s="2"/>
      <c r="L5" s="2"/>
      <c r="N5" s="2"/>
    </row>
    <row r="6" spans="1:21" x14ac:dyDescent="0.25">
      <c r="A6" s="2" t="s">
        <v>20</v>
      </c>
      <c r="B6">
        <f>1/(2*PI()*$B$1*10^3*B5*10^-9)</f>
        <v>58.439796978738087</v>
      </c>
      <c r="C6" s="2"/>
      <c r="D6" s="2" t="s">
        <v>25</v>
      </c>
      <c r="E6">
        <f>1/(2*PI()*$B$1*10^3*E5*10^-9)</f>
        <v>12.29508390308664</v>
      </c>
      <c r="F6" s="2"/>
      <c r="G6" s="2"/>
      <c r="H6" s="2"/>
      <c r="I6" s="2"/>
      <c r="J6" s="2"/>
      <c r="K6" s="2"/>
      <c r="L6" s="2"/>
      <c r="N6" s="2"/>
    </row>
    <row r="7" spans="1:21" x14ac:dyDescent="0.25">
      <c r="A7" s="2" t="s">
        <v>23</v>
      </c>
      <c r="B7">
        <f>(0.00012*2)+0.00018+0.0012</f>
        <v>1.6199999999999999E-3</v>
      </c>
      <c r="C7" s="2"/>
      <c r="D7" s="2"/>
      <c r="E7" s="2"/>
      <c r="F7" s="2"/>
      <c r="G7" s="2"/>
      <c r="H7" s="2"/>
      <c r="I7" s="2"/>
      <c r="J7" s="2"/>
      <c r="K7" s="2"/>
      <c r="L7" s="2"/>
      <c r="N7" s="2"/>
    </row>
    <row r="8" spans="1:21" x14ac:dyDescent="0.25">
      <c r="A8" s="2" t="s">
        <v>29</v>
      </c>
      <c r="B8" s="3">
        <f>(1/(2*PI()*SQRT(B5*10^-9*B3*10^-6)))/10^3</f>
        <v>199.99787727369227</v>
      </c>
      <c r="C8" s="2" t="s">
        <v>15</v>
      </c>
      <c r="D8" s="2"/>
      <c r="E8" s="2"/>
      <c r="F8" s="2"/>
      <c r="G8" s="2"/>
      <c r="H8" s="2"/>
      <c r="I8" s="2"/>
      <c r="J8" s="2"/>
      <c r="K8" s="2"/>
      <c r="L8" s="2"/>
      <c r="N8" s="2"/>
    </row>
    <row r="9" spans="1:21" x14ac:dyDescent="0.25">
      <c r="A9" s="2" t="s">
        <v>30</v>
      </c>
      <c r="B9" s="3">
        <f>1310*0.1^3</f>
        <v>1.3100000000000003</v>
      </c>
      <c r="C9" s="15" t="s">
        <v>32</v>
      </c>
      <c r="D9" s="2"/>
      <c r="E9" s="2"/>
      <c r="F9" s="2"/>
      <c r="G9" s="2"/>
      <c r="H9" s="2"/>
      <c r="I9" s="2"/>
      <c r="J9" s="2"/>
      <c r="K9" s="2"/>
      <c r="L9" s="2"/>
      <c r="N9" s="2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160" t="s">
        <v>11</v>
      </c>
      <c r="K10" s="160"/>
      <c r="L10" s="160"/>
      <c r="M10" s="160"/>
      <c r="N10" s="5"/>
    </row>
    <row r="11" spans="1:21" x14ac:dyDescent="0.25">
      <c r="A11" s="5" t="s">
        <v>13</v>
      </c>
      <c r="B11" s="5" t="s">
        <v>4</v>
      </c>
      <c r="C11" s="5" t="s">
        <v>27</v>
      </c>
      <c r="D11" s="5" t="s">
        <v>26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21" t="s">
        <v>46</v>
      </c>
      <c r="K11" s="22" t="s">
        <v>48</v>
      </c>
      <c r="L11" s="21" t="s">
        <v>49</v>
      </c>
      <c r="M11" s="23" t="s">
        <v>50</v>
      </c>
      <c r="N11" s="5" t="s">
        <v>28</v>
      </c>
      <c r="O11" s="5" t="s">
        <v>31</v>
      </c>
      <c r="P11" s="5" t="s">
        <v>35</v>
      </c>
      <c r="Q11" s="5" t="s">
        <v>33</v>
      </c>
      <c r="R11" s="5" t="s">
        <v>34</v>
      </c>
      <c r="S11" s="5" t="s">
        <v>36</v>
      </c>
      <c r="T11" s="5" t="s">
        <v>10</v>
      </c>
      <c r="U11" s="5" t="s">
        <v>37</v>
      </c>
    </row>
    <row r="12" spans="1:21" x14ac:dyDescent="0.25">
      <c r="A12" s="12">
        <v>0</v>
      </c>
      <c r="B12" s="6">
        <f t="shared" ref="B12:B17" si="0">0.5*E12/($B$6*10^-3)</f>
        <v>395.107464326078</v>
      </c>
      <c r="C12" s="2">
        <v>204.45</v>
      </c>
      <c r="D12" s="3">
        <v>1.169</v>
      </c>
      <c r="E12" s="2">
        <v>46.18</v>
      </c>
      <c r="F12" s="6">
        <f t="shared" ref="F12:F17" si="1">E12/D12</f>
        <v>39.503849443969202</v>
      </c>
      <c r="G12" s="14">
        <f t="shared" ref="G12:G17" si="2">1/($B$5*10^-9*(2*PI()*C12*10^3)^2*10^-6)</f>
        <v>44.502519180338133</v>
      </c>
      <c r="H12" s="6">
        <f t="shared" ref="H12:H17" si="3">(2*PI()*C12*10^3*G12*10^-6)/((D12/E12)* (1/(2*PI()*C12*10^3*$B$5*10^-9)))</f>
        <v>39.503849443969195</v>
      </c>
      <c r="I12" s="6">
        <f t="shared" ref="I12:I17" si="4">(2*PI()*C12*10^3*G12*10^-6)/H12</f>
        <v>1.4471453780102304</v>
      </c>
      <c r="J12" s="13">
        <f t="shared" ref="J12:J17" si="5">($H$5*10^6)/(C12*1000)</f>
        <v>0.9736566357460571</v>
      </c>
      <c r="K12" s="1">
        <f t="shared" ref="K12:K17" si="6">J12*(($B$5*10^-9)/(($E$3*10^-12)+($B$5*10^-9)))*F12</f>
        <v>38.104858997889892</v>
      </c>
      <c r="L12" s="13">
        <f t="shared" ref="L12:L17" si="7">(($E$3*10^-12)+($B$5*10^-9))^2/($B$5*10^-9)^2</f>
        <v>1.0188958024575947</v>
      </c>
      <c r="M12" s="1">
        <f t="shared" ref="M12:M17" si="8">L12*I12</f>
        <v>1.474490351200533</v>
      </c>
      <c r="N12" s="6">
        <f t="shared" ref="N12:N17" si="9">M12*(B12/(SQRT(2)*1000))^2</f>
        <v>0.11509127680636809</v>
      </c>
      <c r="O12" s="16">
        <f t="shared" ref="O12:O17" si="10">N12/(B$9)</f>
        <v>8.7855936493410738E-2</v>
      </c>
      <c r="P12" s="2">
        <f t="shared" ref="P12:P17" si="11" xml:space="preserve"> (4*8.85*10^-12*0.01*0.01)/0.0015</f>
        <v>2.3599999999999996E-12</v>
      </c>
      <c r="Q12" s="16">
        <f>0.5*2*PI()*C12*10^3*P12*E12^2</f>
        <v>3.2326363171474707E-3</v>
      </c>
      <c r="R12" s="8">
        <f t="shared" ref="R12:R17" si="12">Q12/N12</f>
        <v>2.8087587581343144E-2</v>
      </c>
      <c r="S12" s="13">
        <f>2*Q12/((B12*10^-3)^2)</f>
        <v>4.1414876877190372E-2</v>
      </c>
      <c r="T12" s="1">
        <f t="shared" ref="T12:T17" si="13">2*PI()*C12*10^3*G12*10^-6/(M12-S12)</f>
        <v>39.891697374449208</v>
      </c>
      <c r="U12" t="str">
        <f t="shared" ref="U12:U17" si="14">_xlfn.CONCAT("(",B12/1000,",",T12,")")</f>
        <v>(0.395107464326078,39.8916973744492)</v>
      </c>
    </row>
    <row r="13" spans="1:21" x14ac:dyDescent="0.25">
      <c r="A13" s="12">
        <v>0.05</v>
      </c>
      <c r="B13" s="6">
        <f t="shared" si="0"/>
        <v>447.72571693771465</v>
      </c>
      <c r="C13" s="2">
        <v>198.5</v>
      </c>
      <c r="D13" s="3">
        <v>1.67</v>
      </c>
      <c r="E13" s="2">
        <v>52.33</v>
      </c>
      <c r="F13" s="6">
        <f t="shared" si="1"/>
        <v>31.335329341317365</v>
      </c>
      <c r="G13" s="14">
        <f t="shared" si="2"/>
        <v>47.210413427928501</v>
      </c>
      <c r="H13" s="6">
        <f t="shared" si="3"/>
        <v>31.335329341317362</v>
      </c>
      <c r="I13" s="6">
        <f t="shared" si="4"/>
        <v>1.8790741560074842</v>
      </c>
      <c r="J13" s="13">
        <f t="shared" si="5"/>
        <v>1.0028418094623748</v>
      </c>
      <c r="K13" s="1">
        <f t="shared" si="6"/>
        <v>31.131626320468264</v>
      </c>
      <c r="L13" s="13">
        <f t="shared" si="7"/>
        <v>1.0188958024575947</v>
      </c>
      <c r="M13" s="1">
        <f t="shared" si="8"/>
        <v>1.914580770062573</v>
      </c>
      <c r="N13" s="6">
        <f t="shared" si="9"/>
        <v>0.19189682004510283</v>
      </c>
      <c r="O13" s="16">
        <f t="shared" si="10"/>
        <v>0.14648612217183418</v>
      </c>
      <c r="P13" s="2">
        <f t="shared" si="11"/>
        <v>2.3599999999999996E-12</v>
      </c>
      <c r="Q13" s="16">
        <f t="shared" ref="Q13:Q17" si="15">0.5*2*PI()*C13*10^3*P13*E13^2</f>
        <v>4.0301745505739372E-3</v>
      </c>
      <c r="R13" s="8">
        <f t="shared" si="12"/>
        <v>2.100177871434606E-2</v>
      </c>
      <c r="S13" s="13">
        <f t="shared" ref="S13:S17" si="16">2*Q13/((B13*10^-3)^2)</f>
        <v>4.0209601663596425E-2</v>
      </c>
      <c r="T13" s="1">
        <f t="shared" si="13"/>
        <v>31.413952864814366</v>
      </c>
      <c r="U13" t="str">
        <f t="shared" si="14"/>
        <v>(0.447725716937715,31.4139528648144)</v>
      </c>
    </row>
    <row r="14" spans="1:21" x14ac:dyDescent="0.25">
      <c r="A14" s="12">
        <v>0.15</v>
      </c>
      <c r="B14" s="6">
        <f t="shared" si="0"/>
        <v>579.14301126531439</v>
      </c>
      <c r="C14" s="2">
        <v>198.45</v>
      </c>
      <c r="D14" s="3">
        <v>2.5680000000000001</v>
      </c>
      <c r="E14" s="2">
        <v>67.69</v>
      </c>
      <c r="F14" s="6">
        <f t="shared" si="1"/>
        <v>26.359034267912772</v>
      </c>
      <c r="G14" s="14">
        <f t="shared" si="2"/>
        <v>47.234206000779047</v>
      </c>
      <c r="H14" s="6">
        <f t="shared" si="3"/>
        <v>26.359034267912769</v>
      </c>
      <c r="I14" s="6">
        <f t="shared" si="4"/>
        <v>2.2343854582186036</v>
      </c>
      <c r="J14" s="13">
        <f t="shared" si="5"/>
        <v>1.003094478096656</v>
      </c>
      <c r="K14" s="1">
        <f t="shared" si="6"/>
        <v>26.194278933135049</v>
      </c>
      <c r="L14" s="13">
        <f t="shared" si="7"/>
        <v>1.0188958024575947</v>
      </c>
      <c r="M14" s="1">
        <f t="shared" si="8"/>
        <v>2.2766059644512247</v>
      </c>
      <c r="N14" s="6">
        <f t="shared" si="9"/>
        <v>0.38179436433858932</v>
      </c>
      <c r="O14" s="16">
        <f t="shared" si="10"/>
        <v>0.29144607964777802</v>
      </c>
      <c r="P14" s="2">
        <f t="shared" si="11"/>
        <v>2.3599999999999996E-12</v>
      </c>
      <c r="Q14" s="16">
        <f t="shared" si="15"/>
        <v>6.7415848834401553E-3</v>
      </c>
      <c r="R14" s="8">
        <f t="shared" si="12"/>
        <v>1.7657633305088467E-2</v>
      </c>
      <c r="S14" s="13">
        <f t="shared" si="16"/>
        <v>4.0199473300456992E-2</v>
      </c>
      <c r="T14" s="1">
        <f t="shared" si="13"/>
        <v>26.335213698384692</v>
      </c>
      <c r="U14" t="str">
        <f t="shared" si="14"/>
        <v>(0.579143011265314,26.3352136983847)</v>
      </c>
    </row>
    <row r="15" spans="1:21" x14ac:dyDescent="0.25">
      <c r="A15" s="12">
        <v>0.25</v>
      </c>
      <c r="B15" s="6">
        <f t="shared" si="0"/>
        <v>783.28471977159893</v>
      </c>
      <c r="C15" s="2">
        <v>198.44</v>
      </c>
      <c r="D15" s="3">
        <v>4.1619999999999999</v>
      </c>
      <c r="E15" s="2">
        <v>91.55</v>
      </c>
      <c r="F15" s="6">
        <f t="shared" si="1"/>
        <v>21.996636232580489</v>
      </c>
      <c r="G15" s="14">
        <f t="shared" si="2"/>
        <v>47.238966673641286</v>
      </c>
      <c r="H15" s="6">
        <f t="shared" si="3"/>
        <v>21.996636232580492</v>
      </c>
      <c r="I15" s="6">
        <f t="shared" si="4"/>
        <v>2.6776462637464409</v>
      </c>
      <c r="J15" s="13">
        <f t="shared" si="5"/>
        <v>1.0031450271028088</v>
      </c>
      <c r="K15" s="1">
        <f t="shared" si="6"/>
        <v>21.86024931682315</v>
      </c>
      <c r="L15" s="13">
        <f t="shared" si="7"/>
        <v>1.0188958024575947</v>
      </c>
      <c r="M15" s="1">
        <f t="shared" si="8"/>
        <v>2.72824253859751</v>
      </c>
      <c r="N15" s="6">
        <f t="shared" si="9"/>
        <v>0.83693607779196322</v>
      </c>
      <c r="O15" s="16">
        <f t="shared" si="10"/>
        <v>0.63888250213126951</v>
      </c>
      <c r="P15" s="2">
        <f t="shared" si="11"/>
        <v>2.3599999999999996E-12</v>
      </c>
      <c r="Q15" s="16">
        <f t="shared" si="15"/>
        <v>1.2331269555007242E-2</v>
      </c>
      <c r="R15" s="8">
        <f t="shared" si="12"/>
        <v>1.4733824819142783E-2</v>
      </c>
      <c r="S15" s="13">
        <f t="shared" si="16"/>
        <v>4.0197447627829098E-2</v>
      </c>
      <c r="T15" s="1">
        <f t="shared" si="13"/>
        <v>21.911541224150945</v>
      </c>
      <c r="U15" t="str">
        <f t="shared" si="14"/>
        <v>(0.783284719771599,21.9115412241509)</v>
      </c>
    </row>
    <row r="16" spans="1:21" x14ac:dyDescent="0.25">
      <c r="A16" s="12">
        <v>0.35</v>
      </c>
      <c r="B16" s="6">
        <f t="shared" si="0"/>
        <v>989.90761417339172</v>
      </c>
      <c r="C16" s="2">
        <v>188</v>
      </c>
      <c r="D16" s="3">
        <v>10.24</v>
      </c>
      <c r="E16" s="2">
        <v>115.7</v>
      </c>
      <c r="F16" s="6">
        <f t="shared" si="1"/>
        <v>11.298828125</v>
      </c>
      <c r="G16" s="14">
        <f t="shared" si="2"/>
        <v>52.631182449371771</v>
      </c>
      <c r="H16" s="6">
        <f t="shared" si="3"/>
        <v>11.298828125</v>
      </c>
      <c r="I16" s="6">
        <f t="shared" si="4"/>
        <v>5.5023402514047524</v>
      </c>
      <c r="J16" s="13">
        <f t="shared" si="5"/>
        <v>1.0588515913738372</v>
      </c>
      <c r="K16" s="1">
        <f t="shared" si="6"/>
        <v>11.852326576584854</v>
      </c>
      <c r="L16" s="13">
        <f t="shared" si="7"/>
        <v>1.0188958024575947</v>
      </c>
      <c r="M16" s="1">
        <f t="shared" si="8"/>
        <v>5.6063113858497688</v>
      </c>
      <c r="N16" s="6">
        <f t="shared" si="9"/>
        <v>2.7468601542865185</v>
      </c>
      <c r="O16" s="16">
        <f t="shared" si="10"/>
        <v>2.0968398124324565</v>
      </c>
      <c r="P16" s="2">
        <f t="shared" si="11"/>
        <v>2.3599999999999996E-12</v>
      </c>
      <c r="Q16" s="16">
        <f t="shared" si="15"/>
        <v>1.8658917429195596E-2</v>
      </c>
      <c r="R16" s="8">
        <f t="shared" si="12"/>
        <v>6.7928166638108831E-3</v>
      </c>
      <c r="S16" s="13">
        <f t="shared" si="16"/>
        <v>3.8082645404312984E-2</v>
      </c>
      <c r="T16" s="1">
        <f t="shared" si="13"/>
        <v>11.165129825632491</v>
      </c>
      <c r="U16" t="str">
        <f t="shared" si="14"/>
        <v>(0.989907614173392,11.1651298256325)</v>
      </c>
    </row>
    <row r="17" spans="1:21" x14ac:dyDescent="0.25">
      <c r="A17" s="12">
        <v>0.4</v>
      </c>
      <c r="B17" s="6">
        <f t="shared" si="0"/>
        <v>1179.8466723812508</v>
      </c>
      <c r="C17" s="2">
        <v>186.9</v>
      </c>
      <c r="D17" s="3">
        <v>10.59</v>
      </c>
      <c r="E17" s="2">
        <v>137.9</v>
      </c>
      <c r="F17" s="6">
        <f t="shared" si="1"/>
        <v>13.021718602455147</v>
      </c>
      <c r="G17" s="14">
        <f t="shared" si="2"/>
        <v>53.252527223640577</v>
      </c>
      <c r="H17" s="6">
        <f t="shared" si="3"/>
        <v>13.021718602455149</v>
      </c>
      <c r="I17" s="6">
        <f t="shared" si="4"/>
        <v>4.8024304800148387</v>
      </c>
      <c r="J17" s="13">
        <f t="shared" si="5"/>
        <v>1.0650834626981347</v>
      </c>
      <c r="K17" s="1">
        <f t="shared" si="6"/>
        <v>13.740010388247921</v>
      </c>
      <c r="L17" s="13">
        <f t="shared" si="7"/>
        <v>1.0188958024575947</v>
      </c>
      <c r="M17" s="1">
        <f t="shared" si="8"/>
        <v>4.8931762576815307</v>
      </c>
      <c r="N17" s="6">
        <f t="shared" si="9"/>
        <v>3.4057440624204207</v>
      </c>
      <c r="O17" s="16">
        <f t="shared" si="10"/>
        <v>2.5998046278018472</v>
      </c>
      <c r="P17" s="2">
        <f t="shared" si="11"/>
        <v>2.3599999999999996E-12</v>
      </c>
      <c r="Q17" s="16">
        <f t="shared" si="15"/>
        <v>2.6351158265932408E-2</v>
      </c>
      <c r="R17" s="8">
        <f t="shared" si="12"/>
        <v>7.7372690909736069E-3</v>
      </c>
      <c r="S17" s="13">
        <f t="shared" si="16"/>
        <v>3.7859821415245201E-2</v>
      </c>
      <c r="T17" s="1">
        <f t="shared" si="13"/>
        <v>12.87988108282735</v>
      </c>
      <c r="U17" t="str">
        <f t="shared" si="14"/>
        <v>(1.17984667238125,12.8798810828273)</v>
      </c>
    </row>
    <row r="18" spans="1:21" ht="15.75" customHeight="1" x14ac:dyDescent="0.25">
      <c r="A18" s="12"/>
      <c r="B18" s="6"/>
      <c r="C18" s="2"/>
      <c r="D18" s="2"/>
      <c r="E18" s="2"/>
      <c r="F18" s="6"/>
      <c r="G18" s="7"/>
      <c r="H18" s="6"/>
      <c r="I18" s="11"/>
      <c r="J18" s="166" t="s">
        <v>51</v>
      </c>
      <c r="K18" s="166"/>
      <c r="L18" s="166"/>
      <c r="M18" s="166"/>
      <c r="N18" s="6" t="s">
        <v>42</v>
      </c>
      <c r="P18" s="9"/>
    </row>
    <row r="19" spans="1:21" x14ac:dyDescent="0.25">
      <c r="A19" s="12"/>
      <c r="B19" s="6"/>
      <c r="C19" s="2"/>
      <c r="D19" s="2"/>
      <c r="E19" s="2"/>
      <c r="F19" s="6"/>
      <c r="G19" s="7"/>
      <c r="H19" s="6"/>
      <c r="I19" s="11"/>
      <c r="J19" s="166"/>
      <c r="K19" s="166"/>
      <c r="L19" s="166"/>
      <c r="M19" s="166"/>
      <c r="N19" s="6" t="s">
        <v>43</v>
      </c>
      <c r="P19" s="9"/>
    </row>
    <row r="20" spans="1:21" x14ac:dyDescent="0.25">
      <c r="A20" s="6"/>
      <c r="B20" s="2"/>
      <c r="C20" s="2"/>
      <c r="D20" s="2"/>
      <c r="E20" s="6"/>
      <c r="F20" s="1"/>
      <c r="G20" s="7"/>
      <c r="H20" s="6"/>
      <c r="I20" s="11"/>
      <c r="J20" s="166"/>
      <c r="K20" s="166"/>
      <c r="L20" s="166"/>
      <c r="M20" s="166"/>
      <c r="N20" s="8"/>
      <c r="P20" s="9"/>
    </row>
    <row r="21" spans="1:21" x14ac:dyDescent="0.25">
      <c r="A21" s="2"/>
      <c r="B21" s="2"/>
      <c r="C21" s="2"/>
      <c r="D21" s="2"/>
      <c r="E21" s="6"/>
      <c r="F21" s="1"/>
      <c r="G21" s="7"/>
      <c r="H21" s="6"/>
      <c r="J21" s="166"/>
      <c r="K21" s="166"/>
      <c r="L21" s="166"/>
      <c r="M21" s="166"/>
    </row>
    <row r="22" spans="1:21" x14ac:dyDescent="0.25">
      <c r="A22" s="10" t="s">
        <v>0</v>
      </c>
      <c r="B22" s="10">
        <v>1000</v>
      </c>
      <c r="C22" s="10" t="s">
        <v>15</v>
      </c>
      <c r="D22" s="10"/>
      <c r="E22" s="10"/>
      <c r="F22" s="2"/>
      <c r="G22" s="2"/>
      <c r="H22" s="2"/>
      <c r="I22" s="2"/>
      <c r="J22" s="166"/>
      <c r="K22" s="166"/>
      <c r="L22" s="166"/>
      <c r="M22" s="166"/>
      <c r="N22" s="2"/>
    </row>
    <row r="23" spans="1:21" x14ac:dyDescent="0.25">
      <c r="A23" s="2" t="s">
        <v>2</v>
      </c>
      <c r="B23" s="2" t="s">
        <v>38</v>
      </c>
      <c r="C23" s="2"/>
      <c r="D23" s="2"/>
      <c r="E23" s="2"/>
      <c r="F23" s="2"/>
      <c r="G23" s="2"/>
      <c r="H23" s="2"/>
      <c r="I23" s="2"/>
      <c r="J23" s="18"/>
      <c r="K23" s="18"/>
      <c r="L23" s="18"/>
      <c r="M23" s="18"/>
      <c r="N23" s="2"/>
    </row>
    <row r="24" spans="1:21" x14ac:dyDescent="0.25">
      <c r="A24" s="2" t="s">
        <v>17</v>
      </c>
      <c r="B24" s="2">
        <v>46.505899999999997</v>
      </c>
      <c r="C24" s="2" t="s">
        <v>14</v>
      </c>
      <c r="D24" s="2" t="s">
        <v>21</v>
      </c>
      <c r="E24" s="2">
        <v>128.05000000000001</v>
      </c>
      <c r="F24" s="2" t="s">
        <v>3</v>
      </c>
      <c r="G24" s="2" t="s">
        <v>41</v>
      </c>
      <c r="H24" s="3">
        <f>(1/(2*PI()*SQRT(E24*10^-12*B24*10^-6)))/10^6</f>
        <v>2.0624162103519286</v>
      </c>
      <c r="I24" s="2" t="s">
        <v>1</v>
      </c>
      <c r="J24" s="2"/>
      <c r="K24" s="2"/>
      <c r="L24" s="2"/>
      <c r="N24" s="2"/>
    </row>
    <row r="25" spans="1:21" x14ac:dyDescent="0.25">
      <c r="A25" s="2" t="s">
        <v>18</v>
      </c>
      <c r="B25" s="6">
        <f>B24*10^-6*B22*2*PI()*10^3</f>
        <v>292.20518757716309</v>
      </c>
      <c r="C25" s="2"/>
      <c r="D25" s="2" t="s">
        <v>22</v>
      </c>
      <c r="E25">
        <f>1/(2*PI()*$B$22*10^3*E24*10^-12)</f>
        <v>1242.9124802178471</v>
      </c>
      <c r="F25" s="2"/>
      <c r="G25" s="2"/>
      <c r="H25" s="2"/>
      <c r="I25" s="2"/>
      <c r="J25" s="2"/>
      <c r="K25" s="2"/>
      <c r="L25" s="2"/>
      <c r="N25" s="2"/>
    </row>
    <row r="26" spans="1:21" ht="18.75" x14ac:dyDescent="0.3">
      <c r="A26" s="2" t="s">
        <v>19</v>
      </c>
      <c r="B26" s="16">
        <f>0.47387+0.07116</f>
        <v>0.54503000000000001</v>
      </c>
      <c r="C26" s="2" t="s">
        <v>16</v>
      </c>
      <c r="D26" s="2" t="s">
        <v>24</v>
      </c>
      <c r="E26" s="16">
        <f>5.0302+0.38012+0.030452</f>
        <v>5.4407719999999999</v>
      </c>
      <c r="F26" s="2" t="s">
        <v>16</v>
      </c>
      <c r="G26" s="19" t="s">
        <v>47</v>
      </c>
      <c r="H26" s="16">
        <f>((1/(2*PI())*SQRT(1/(B24*10^-6*((E24*10^-12)+(B26*10^-9)))))*10^-6)</f>
        <v>0.8995654395460676</v>
      </c>
      <c r="I26" s="2"/>
      <c r="J26" s="2"/>
      <c r="K26" s="2"/>
      <c r="L26" s="2"/>
      <c r="N26" s="2"/>
    </row>
    <row r="27" spans="1:21" x14ac:dyDescent="0.25">
      <c r="A27" s="2" t="s">
        <v>20</v>
      </c>
      <c r="B27">
        <f>1/(2*PI()*$B$22*10^3*B26*10^-9)</f>
        <v>292.01134449827595</v>
      </c>
      <c r="C27" s="2"/>
      <c r="D27" s="2" t="s">
        <v>25</v>
      </c>
      <c r="E27">
        <f>1/(2*PI()*$B$22*10^3*E26*10^-9)</f>
        <v>29.252272120922424</v>
      </c>
      <c r="F27" s="2"/>
      <c r="G27" s="2"/>
      <c r="H27" s="2"/>
      <c r="I27" s="2"/>
      <c r="J27" s="2"/>
      <c r="K27" s="2"/>
      <c r="L27" s="2"/>
      <c r="N27" s="2"/>
    </row>
    <row r="28" spans="1:21" x14ac:dyDescent="0.25">
      <c r="A28" s="2" t="s">
        <v>23</v>
      </c>
      <c r="B28">
        <f>0.00107+0.00301</f>
        <v>4.0800000000000003E-3</v>
      </c>
      <c r="C28" s="2"/>
      <c r="D28" s="2"/>
      <c r="E28" s="2"/>
      <c r="F28" s="2"/>
      <c r="G28" s="2"/>
      <c r="H28" s="2"/>
      <c r="I28" s="2"/>
      <c r="J28" s="2"/>
      <c r="K28" s="2"/>
      <c r="L28" s="2"/>
      <c r="N28" s="2"/>
    </row>
    <row r="29" spans="1:21" x14ac:dyDescent="0.25">
      <c r="A29" s="2" t="s">
        <v>29</v>
      </c>
      <c r="B29" s="3">
        <f>(1/(2*PI()*SQRT(B26*10^-9*B24*10^-6)))/10^3</f>
        <v>999.66825496996159</v>
      </c>
      <c r="C29" s="2" t="s">
        <v>15</v>
      </c>
      <c r="D29" s="2"/>
      <c r="E29" s="2"/>
      <c r="F29" s="2"/>
      <c r="G29" s="2"/>
      <c r="H29" s="2"/>
      <c r="I29" s="2"/>
      <c r="J29" s="2"/>
      <c r="K29" s="2"/>
      <c r="L29" s="2"/>
      <c r="N29" s="2"/>
    </row>
    <row r="30" spans="1:21" x14ac:dyDescent="0.25">
      <c r="A30" s="2" t="s">
        <v>30</v>
      </c>
      <c r="B30" s="3">
        <f>1310*0.1^3</f>
        <v>1.3100000000000003</v>
      </c>
      <c r="C30" s="15" t="s">
        <v>32</v>
      </c>
      <c r="D30" s="2"/>
      <c r="E30" s="2"/>
      <c r="F30" s="2"/>
      <c r="G30" s="2"/>
      <c r="H30" s="2"/>
      <c r="I30" s="2"/>
      <c r="J30" s="2"/>
      <c r="K30" s="2"/>
      <c r="L30" s="2"/>
      <c r="N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160" t="s">
        <v>11</v>
      </c>
      <c r="K31" s="160"/>
      <c r="L31" s="160"/>
      <c r="M31" s="160"/>
      <c r="N31" s="5"/>
    </row>
    <row r="32" spans="1:21" x14ac:dyDescent="0.25">
      <c r="A32" s="5" t="s">
        <v>13</v>
      </c>
      <c r="B32" s="5" t="s">
        <v>4</v>
      </c>
      <c r="C32" s="5" t="s">
        <v>27</v>
      </c>
      <c r="D32" s="5" t="s">
        <v>26</v>
      </c>
      <c r="E32" s="5" t="s">
        <v>5</v>
      </c>
      <c r="F32" s="5" t="s">
        <v>6</v>
      </c>
      <c r="G32" s="5" t="s">
        <v>7</v>
      </c>
      <c r="H32" s="5" t="s">
        <v>8</v>
      </c>
      <c r="I32" s="5" t="s">
        <v>9</v>
      </c>
      <c r="J32" s="21" t="s">
        <v>46</v>
      </c>
      <c r="K32" s="22" t="s">
        <v>48</v>
      </c>
      <c r="L32" s="21" t="s">
        <v>49</v>
      </c>
      <c r="M32" s="23" t="s">
        <v>50</v>
      </c>
      <c r="N32" s="5" t="s">
        <v>28</v>
      </c>
      <c r="O32" s="5" t="s">
        <v>31</v>
      </c>
      <c r="P32" s="5" t="s">
        <v>35</v>
      </c>
      <c r="Q32" s="5" t="s">
        <v>33</v>
      </c>
      <c r="R32" s="5" t="s">
        <v>34</v>
      </c>
      <c r="S32" s="5" t="s">
        <v>36</v>
      </c>
      <c r="T32" s="5" t="s">
        <v>10</v>
      </c>
      <c r="U32" s="5" t="s">
        <v>37</v>
      </c>
    </row>
    <row r="33" spans="1:21" x14ac:dyDescent="0.25">
      <c r="A33" s="12">
        <v>0</v>
      </c>
      <c r="B33" s="6">
        <f t="shared" ref="B33:B38" si="17">0.5*E33/($B$27*10^-3)</f>
        <v>248.79170405117236</v>
      </c>
      <c r="C33" s="2">
        <v>877.5</v>
      </c>
      <c r="D33" s="6">
        <v>9.35</v>
      </c>
      <c r="E33" s="17">
        <v>145.30000000000001</v>
      </c>
      <c r="F33" s="6">
        <f t="shared" ref="F33:F38" si="18">E33/D33</f>
        <v>15.54010695187166</v>
      </c>
      <c r="G33" s="14">
        <f t="shared" ref="G33:G38" si="19">1/($B$26*10^-9*(2*PI()*C33*10^3)^2*10^-6)</f>
        <v>60.356716475757132</v>
      </c>
      <c r="H33" s="6">
        <f t="shared" ref="H33:H38" si="20">(2*PI()*C33*10^3*G33*10^-6)/((D33/E33)*(1/(2*PI()*C33*10^3*$B$26*10^-9)))</f>
        <v>15.54010695187166</v>
      </c>
      <c r="I33" s="6">
        <f t="shared" ref="I33:I38" si="21">(2*PI()*C33*10^3*G33*10^-6)/H33</f>
        <v>21.414039298269849</v>
      </c>
      <c r="J33" s="13">
        <f>($H$26*10^6)/(C33*1000)</f>
        <v>1.0251458000524987</v>
      </c>
      <c r="K33" s="1">
        <f t="shared" ref="K33:K38" si="22">J33*(($B$26*10^-9)/(($E$24*10^-12)+($B$26*10^-9)))*F33</f>
        <v>12.900108464274174</v>
      </c>
      <c r="L33" s="13">
        <f t="shared" ref="L33:L38" si="23">(($E$24*10^-12)+($B$26*10^-9))^2/($B$26*10^-9)^2</f>
        <v>1.5250797573246822</v>
      </c>
      <c r="M33" s="1">
        <f t="shared" ref="M33:M38" si="24">L33*I33</f>
        <v>32.658117856346585</v>
      </c>
      <c r="N33" s="6">
        <f>I33*(B33*10^-3)^2/2</f>
        <v>0.66273573586280954</v>
      </c>
      <c r="O33" s="16">
        <f t="shared" ref="O33:O38" si="25">N33/(B$30)</f>
        <v>0.50590514188000713</v>
      </c>
      <c r="P33" s="2">
        <f t="shared" ref="P33:P38" si="26" xml:space="preserve"> (4*8.85*10^-12*0.01*0.01)/0.0015</f>
        <v>2.3599999999999996E-12</v>
      </c>
      <c r="Q33" s="16">
        <f t="shared" ref="Q33:Q38" si="27">0.5*2*PI()*C33*10^3*P33*E33^2</f>
        <v>0.13735365779922926</v>
      </c>
      <c r="R33" s="8">
        <f t="shared" ref="R33:R38" si="28">Q33/N33</f>
        <v>0.20725252972877611</v>
      </c>
      <c r="S33" s="13">
        <f>2*Q33/((B33*10^-3)^2)</f>
        <v>4.438113816277852</v>
      </c>
      <c r="T33" s="1">
        <f t="shared" ref="T33:T38" si="29">2*PI()*C33*10^3*G33*10^-6/(I33-S33)</f>
        <v>19.602846473360426</v>
      </c>
      <c r="U33" t="str">
        <f t="shared" ref="U33:U38" si="30">_xlfn.CONCAT("(",B33/1000,",",T33,")")</f>
        <v>(0.248791704051172,19.6028464733604)</v>
      </c>
    </row>
    <row r="34" spans="1:21" x14ac:dyDescent="0.25">
      <c r="A34" s="12">
        <v>0.05</v>
      </c>
      <c r="B34" s="6">
        <f t="shared" si="17"/>
        <v>274.30441148656439</v>
      </c>
      <c r="C34" s="2">
        <v>882.4</v>
      </c>
      <c r="D34" s="6">
        <v>10.96</v>
      </c>
      <c r="E34" s="17">
        <v>160.19999999999999</v>
      </c>
      <c r="F34" s="6">
        <f t="shared" si="18"/>
        <v>14.616788321167881</v>
      </c>
      <c r="G34" s="14">
        <f t="shared" si="19"/>
        <v>59.688251468593961</v>
      </c>
      <c r="H34" s="6">
        <f t="shared" si="20"/>
        <v>14.616788321167887</v>
      </c>
      <c r="I34" s="6">
        <f t="shared" si="21"/>
        <v>22.640304671440731</v>
      </c>
      <c r="J34" s="13">
        <f t="shared" ref="J34:J38" si="31">($H$26*10^6)/(C34*1000)</f>
        <v>1.019453127318753</v>
      </c>
      <c r="K34" s="1">
        <f t="shared" si="22"/>
        <v>12.066267296672104</v>
      </c>
      <c r="L34" s="13">
        <f t="shared" si="23"/>
        <v>1.5250797573246822</v>
      </c>
      <c r="M34" s="1">
        <f t="shared" si="24"/>
        <v>34.528270354077698</v>
      </c>
      <c r="N34" s="6">
        <f t="shared" ref="N34:N38" si="32">I34*(B34*10^-3)^2/2</f>
        <v>0.85176120520533338</v>
      </c>
      <c r="O34" s="16">
        <f t="shared" si="25"/>
        <v>0.65019939328651388</v>
      </c>
      <c r="P34" s="2">
        <f t="shared" si="26"/>
        <v>2.3599999999999996E-12</v>
      </c>
      <c r="Q34" s="16">
        <f t="shared" si="27"/>
        <v>0.16790065817717456</v>
      </c>
      <c r="R34" s="8">
        <f t="shared" si="28"/>
        <v>0.19712174862049381</v>
      </c>
      <c r="S34" s="13">
        <f t="shared" ref="S34:S38" si="33">2*Q34/((B34*10^-3)^2)</f>
        <v>4.4628964461351313</v>
      </c>
      <c r="T34" s="1">
        <f t="shared" si="29"/>
        <v>18.205485446957006</v>
      </c>
      <c r="U34" t="str">
        <f t="shared" si="30"/>
        <v>(0.274304411486564,18.205485446957)</v>
      </c>
    </row>
    <row r="35" spans="1:21" x14ac:dyDescent="0.25">
      <c r="A35" s="12">
        <v>0.15</v>
      </c>
      <c r="B35" s="6">
        <f t="shared" si="17"/>
        <v>335.94585227006201</v>
      </c>
      <c r="C35" s="2">
        <v>879.9</v>
      </c>
      <c r="D35" s="6">
        <v>15.22</v>
      </c>
      <c r="E35" s="17">
        <v>196.2</v>
      </c>
      <c r="F35" s="6">
        <f t="shared" si="18"/>
        <v>12.890932982917214</v>
      </c>
      <c r="G35" s="14">
        <f t="shared" si="19"/>
        <v>60.027909643116026</v>
      </c>
      <c r="H35" s="6">
        <f t="shared" si="20"/>
        <v>12.890932982917214</v>
      </c>
      <c r="I35" s="6">
        <f t="shared" si="21"/>
        <v>25.744357378576638</v>
      </c>
      <c r="J35" s="13">
        <f t="shared" si="31"/>
        <v>1.0223496301239545</v>
      </c>
      <c r="K35" s="1">
        <f t="shared" si="22"/>
        <v>10.671796042450787</v>
      </c>
      <c r="L35" s="13">
        <f t="shared" si="23"/>
        <v>1.5250797573246822</v>
      </c>
      <c r="M35" s="1">
        <f t="shared" si="24"/>
        <v>39.262198303399551</v>
      </c>
      <c r="N35" s="6">
        <f t="shared" si="32"/>
        <v>1.4527491395472054</v>
      </c>
      <c r="O35" s="16">
        <f t="shared" si="25"/>
        <v>1.1089688088146603</v>
      </c>
      <c r="P35" s="2">
        <f t="shared" si="26"/>
        <v>2.3599999999999996E-12</v>
      </c>
      <c r="Q35" s="16">
        <f t="shared" si="27"/>
        <v>0.25112687910046627</v>
      </c>
      <c r="R35" s="8">
        <f t="shared" si="28"/>
        <v>0.17286320966518542</v>
      </c>
      <c r="S35" s="13">
        <f t="shared" si="33"/>
        <v>4.4502522472283568</v>
      </c>
      <c r="T35" s="1">
        <f t="shared" si="29"/>
        <v>15.585007381547042</v>
      </c>
      <c r="U35" t="str">
        <f t="shared" si="30"/>
        <v>(0.335945852270062,15.585007381547)</v>
      </c>
    </row>
    <row r="36" spans="1:21" x14ac:dyDescent="0.25">
      <c r="A36" s="12">
        <v>0.25</v>
      </c>
      <c r="B36" s="6">
        <f t="shared" si="17"/>
        <v>423.2712267133503</v>
      </c>
      <c r="C36" s="2">
        <v>883.4</v>
      </c>
      <c r="D36" s="6">
        <v>22.1</v>
      </c>
      <c r="E36" s="17">
        <v>247.2</v>
      </c>
      <c r="F36" s="6">
        <f t="shared" si="18"/>
        <v>11.18552036199095</v>
      </c>
      <c r="G36" s="14">
        <f t="shared" si="19"/>
        <v>59.55319494105138</v>
      </c>
      <c r="H36" s="6">
        <f t="shared" si="20"/>
        <v>11.185520361990951</v>
      </c>
      <c r="I36" s="6">
        <f t="shared" si="21"/>
        <v>29.551949520442395</v>
      </c>
      <c r="J36" s="13">
        <f t="shared" si="31"/>
        <v>1.018299116533923</v>
      </c>
      <c r="K36" s="1">
        <f t="shared" si="22"/>
        <v>9.2232776268427461</v>
      </c>
      <c r="L36" s="13">
        <f t="shared" si="23"/>
        <v>1.5250797573246822</v>
      </c>
      <c r="M36" s="1">
        <f t="shared" si="24"/>
        <v>45.069080003107544</v>
      </c>
      <c r="N36" s="6">
        <f t="shared" si="32"/>
        <v>2.6472419375042571</v>
      </c>
      <c r="O36" s="16">
        <f t="shared" si="25"/>
        <v>2.020795372140654</v>
      </c>
      <c r="P36" s="2">
        <f t="shared" si="26"/>
        <v>2.3599999999999996E-12</v>
      </c>
      <c r="Q36" s="16">
        <f t="shared" si="27"/>
        <v>0.40023604967958898</v>
      </c>
      <c r="R36" s="8">
        <f t="shared" si="28"/>
        <v>0.15118982666802261</v>
      </c>
      <c r="S36" s="13">
        <f t="shared" si="33"/>
        <v>4.4679541256978403</v>
      </c>
      <c r="T36" s="1">
        <f t="shared" si="29"/>
        <v>13.177882067650705</v>
      </c>
      <c r="U36" t="str">
        <f t="shared" si="30"/>
        <v>(0.42327122671335,13.1778820676507)</v>
      </c>
    </row>
    <row r="37" spans="1:21" x14ac:dyDescent="0.25">
      <c r="A37" s="12">
        <v>0.35</v>
      </c>
      <c r="B37" s="6">
        <f t="shared" si="17"/>
        <v>512.13763717622612</v>
      </c>
      <c r="C37" s="2">
        <v>884.9</v>
      </c>
      <c r="D37" s="6">
        <v>34.43</v>
      </c>
      <c r="E37" s="17">
        <v>299.10000000000002</v>
      </c>
      <c r="F37" s="6">
        <f t="shared" si="18"/>
        <v>8.6871914028463557</v>
      </c>
      <c r="G37" s="14">
        <f t="shared" si="19"/>
        <v>59.351468010002293</v>
      </c>
      <c r="H37" s="6">
        <f t="shared" si="20"/>
        <v>8.6871914028463575</v>
      </c>
      <c r="I37" s="6">
        <f t="shared" si="21"/>
        <v>37.986225188072744</v>
      </c>
      <c r="J37" s="13">
        <f t="shared" si="31"/>
        <v>1.0165729907854759</v>
      </c>
      <c r="K37" s="1">
        <f t="shared" si="22"/>
        <v>7.1510806953844384</v>
      </c>
      <c r="L37" s="13">
        <f t="shared" si="23"/>
        <v>1.5250797573246822</v>
      </c>
      <c r="M37" s="1">
        <f t="shared" si="24"/>
        <v>57.932023091506707</v>
      </c>
      <c r="N37" s="6">
        <f t="shared" si="32"/>
        <v>4.9816077658428828</v>
      </c>
      <c r="O37" s="16">
        <f t="shared" si="25"/>
        <v>3.8027540197273906</v>
      </c>
      <c r="P37" s="2">
        <f t="shared" si="26"/>
        <v>2.3599999999999996E-12</v>
      </c>
      <c r="Q37" s="16">
        <f t="shared" si="27"/>
        <v>0.58693349821678831</v>
      </c>
      <c r="R37" s="8">
        <f t="shared" si="28"/>
        <v>0.11782009459700603</v>
      </c>
      <c r="S37" s="13">
        <f t="shared" si="33"/>
        <v>4.475540645041904</v>
      </c>
      <c r="T37" s="1">
        <f t="shared" si="29"/>
        <v>9.8474147389221116</v>
      </c>
      <c r="U37" t="str">
        <f t="shared" si="30"/>
        <v>(0.512137637176226,9.84741473892211)</v>
      </c>
    </row>
    <row r="38" spans="1:21" x14ac:dyDescent="0.25">
      <c r="A38" s="12">
        <v>0.5</v>
      </c>
      <c r="B38" s="6">
        <f t="shared" si="17"/>
        <v>477.7211660721066</v>
      </c>
      <c r="C38" s="2">
        <v>863.1</v>
      </c>
      <c r="D38" s="6">
        <v>75.709999999999994</v>
      </c>
      <c r="E38" s="17">
        <v>279</v>
      </c>
      <c r="F38" s="6">
        <f t="shared" si="18"/>
        <v>3.6851142517500994</v>
      </c>
      <c r="G38" s="14">
        <f t="shared" si="19"/>
        <v>62.387505667472297</v>
      </c>
      <c r="H38" s="6">
        <f t="shared" si="20"/>
        <v>3.685114251750099</v>
      </c>
      <c r="I38" s="6">
        <f t="shared" si="21"/>
        <v>91.809505919374843</v>
      </c>
      <c r="J38" s="13">
        <f t="shared" si="31"/>
        <v>1.0422493796154184</v>
      </c>
      <c r="K38" s="1">
        <f t="shared" si="22"/>
        <v>3.110114113496095</v>
      </c>
      <c r="L38" s="13">
        <f t="shared" si="23"/>
        <v>1.5250797573246822</v>
      </c>
      <c r="M38" s="1">
        <f t="shared" si="24"/>
        <v>140.01681900761915</v>
      </c>
      <c r="N38" s="6">
        <f t="shared" si="32"/>
        <v>10.476268532997102</v>
      </c>
      <c r="O38" s="16">
        <f t="shared" si="25"/>
        <v>7.9971515519061827</v>
      </c>
      <c r="P38" s="2">
        <f t="shared" si="26"/>
        <v>2.3599999999999996E-12</v>
      </c>
      <c r="Q38" s="16">
        <f t="shared" si="27"/>
        <v>0.49811704014889041</v>
      </c>
      <c r="R38" s="8">
        <f t="shared" si="28"/>
        <v>4.754718138237591E-2</v>
      </c>
      <c r="S38" s="13">
        <f t="shared" si="33"/>
        <v>4.365283230574831</v>
      </c>
      <c r="T38" s="1">
        <f t="shared" si="29"/>
        <v>3.8690780054581806</v>
      </c>
      <c r="U38" t="str">
        <f t="shared" si="30"/>
        <v>(0.477721166072107,3.86907800545818)</v>
      </c>
    </row>
    <row r="39" spans="1:21" x14ac:dyDescent="0.25">
      <c r="A39" s="6"/>
      <c r="B39" s="2"/>
      <c r="C39" s="2"/>
      <c r="D39" s="2"/>
      <c r="E39" s="6"/>
      <c r="F39" s="1"/>
      <c r="G39" s="7"/>
      <c r="H39" s="6"/>
      <c r="I39" s="11"/>
      <c r="J39" s="161" t="s">
        <v>52</v>
      </c>
      <c r="K39" s="161"/>
      <c r="L39" s="161"/>
      <c r="M39" s="161"/>
      <c r="N39" s="8"/>
      <c r="O39" s="18"/>
      <c r="P39" s="18"/>
      <c r="Q39" s="18"/>
      <c r="R39" s="18"/>
    </row>
    <row r="40" spans="1:21" ht="15.75" customHeight="1" x14ac:dyDescent="0.25">
      <c r="J40" s="161"/>
      <c r="K40" s="161"/>
      <c r="L40" s="161"/>
      <c r="M40" s="161"/>
      <c r="N40" s="18"/>
      <c r="O40" s="18"/>
      <c r="P40" s="18"/>
      <c r="Q40" s="18"/>
      <c r="R40" s="18"/>
    </row>
    <row r="41" spans="1:21" x14ac:dyDescent="0.25">
      <c r="J41" s="161"/>
      <c r="K41" s="161"/>
      <c r="L41" s="161"/>
      <c r="M41" s="161"/>
      <c r="N41" s="18"/>
      <c r="O41" s="18"/>
    </row>
    <row r="43" spans="1:21" x14ac:dyDescent="0.25">
      <c r="A43" s="10" t="s">
        <v>0</v>
      </c>
      <c r="B43" s="10">
        <v>3000</v>
      </c>
      <c r="C43" s="10" t="s">
        <v>15</v>
      </c>
      <c r="D43" s="10"/>
      <c r="E43" s="10"/>
      <c r="F43" s="165" t="s">
        <v>45</v>
      </c>
      <c r="G43" s="165"/>
      <c r="H43" s="165"/>
      <c r="I43" s="165"/>
      <c r="J43" s="165"/>
      <c r="K43" s="165"/>
      <c r="L43" s="165"/>
      <c r="M43" s="165"/>
      <c r="N43" s="165"/>
    </row>
    <row r="44" spans="1:21" x14ac:dyDescent="0.25">
      <c r="A44" s="2" t="s">
        <v>2</v>
      </c>
      <c r="B44" s="2" t="s">
        <v>38</v>
      </c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</row>
    <row r="45" spans="1:21" x14ac:dyDescent="0.25">
      <c r="A45" s="2" t="s">
        <v>17</v>
      </c>
      <c r="B45" s="2">
        <v>46.505899999999997</v>
      </c>
      <c r="C45" s="2" t="s">
        <v>14</v>
      </c>
      <c r="D45" s="2" t="s">
        <v>21</v>
      </c>
      <c r="E45" s="2">
        <v>128.05000000000001</v>
      </c>
      <c r="F45" s="2" t="s">
        <v>3</v>
      </c>
      <c r="G45" s="2" t="s">
        <v>41</v>
      </c>
      <c r="H45" s="3">
        <f>(1/(2*PI()*SQRT(E45*10^-12*B45*10^-6)))/10^6</f>
        <v>2.0624162103519286</v>
      </c>
      <c r="I45" s="2" t="s">
        <v>1</v>
      </c>
      <c r="J45" s="2"/>
      <c r="K45" s="2"/>
      <c r="L45" s="2"/>
      <c r="N45" s="2"/>
    </row>
    <row r="46" spans="1:21" x14ac:dyDescent="0.25">
      <c r="A46" s="2" t="s">
        <v>18</v>
      </c>
      <c r="B46" s="6">
        <f>B45*10^-6*B43*2*PI()*10^3</f>
        <v>876.61556273148938</v>
      </c>
      <c r="C46" s="2"/>
      <c r="D46" s="2" t="s">
        <v>22</v>
      </c>
      <c r="E46">
        <f>1/(2*PI()*$B$22*10^3*E45*10^-12)</f>
        <v>1242.9124802178471</v>
      </c>
      <c r="F46" s="2"/>
      <c r="G46" s="2"/>
      <c r="H46" s="2"/>
      <c r="I46" s="2"/>
      <c r="J46" s="2"/>
      <c r="K46" s="2"/>
      <c r="L46" s="2"/>
      <c r="N46" s="2"/>
    </row>
    <row r="47" spans="1:21" ht="18.75" x14ac:dyDescent="0.3">
      <c r="A47" s="2" t="s">
        <v>19</v>
      </c>
      <c r="B47" s="16">
        <v>6.0519000000000003E-2</v>
      </c>
      <c r="C47" s="2" t="s">
        <v>16</v>
      </c>
      <c r="D47" s="2" t="s">
        <v>24</v>
      </c>
      <c r="E47" s="16">
        <v>0.60519000000000001</v>
      </c>
      <c r="F47" s="2" t="s">
        <v>16</v>
      </c>
      <c r="G47" s="19" t="s">
        <v>47</v>
      </c>
      <c r="H47" s="16">
        <f>((1/(2*PI())*SQRT(1/(B45*10^-6*((E45*10^-12)+(B47*10^-9)))))*10^-6)</f>
        <v>1.6995382994443611</v>
      </c>
      <c r="I47" s="2" t="s">
        <v>1</v>
      </c>
      <c r="J47" s="2"/>
      <c r="K47" s="2"/>
      <c r="L47" s="2"/>
      <c r="N47" s="2"/>
    </row>
    <row r="48" spans="1:21" x14ac:dyDescent="0.25">
      <c r="A48" s="2" t="s">
        <v>20</v>
      </c>
      <c r="B48">
        <f>1/(2*PI()*$B$22*10^3*B47*10^-9)</f>
        <v>2629.8343180141005</v>
      </c>
      <c r="C48" s="2"/>
      <c r="D48" s="2" t="s">
        <v>25</v>
      </c>
      <c r="E48">
        <f>1/(2*PI()*$B$22*10^3*E47*10^-9)</f>
        <v>262.98343180141001</v>
      </c>
      <c r="F48" s="2"/>
      <c r="G48" s="20"/>
      <c r="H48" s="2" t="s">
        <v>12</v>
      </c>
      <c r="I48" s="2"/>
      <c r="J48" s="2"/>
      <c r="K48" s="2"/>
      <c r="L48" s="2"/>
      <c r="N48" s="2"/>
    </row>
    <row r="49" spans="1:20" x14ac:dyDescent="0.25">
      <c r="A49" s="2" t="s">
        <v>29</v>
      </c>
      <c r="B49" s="3">
        <f>(1/(2*PI()*SQRT(B47*10^-9*B45*10^-6)))/10^3</f>
        <v>2999.9929443444535</v>
      </c>
      <c r="C49" s="2" t="s">
        <v>15</v>
      </c>
      <c r="D49" s="2"/>
      <c r="E49" s="2"/>
      <c r="F49" s="2"/>
      <c r="G49" s="2"/>
      <c r="H49" s="2"/>
      <c r="I49" s="2"/>
      <c r="J49" s="2"/>
      <c r="K49" s="2"/>
      <c r="L49" s="2"/>
      <c r="N49" s="2"/>
    </row>
    <row r="50" spans="1:20" x14ac:dyDescent="0.25">
      <c r="A50" s="2" t="s">
        <v>30</v>
      </c>
      <c r="B50" s="3">
        <f>1310*0.1^3</f>
        <v>1.3100000000000003</v>
      </c>
      <c r="C50" s="15" t="s">
        <v>32</v>
      </c>
      <c r="D50" s="2"/>
      <c r="E50" s="2"/>
      <c r="F50" s="2"/>
      <c r="G50" s="2"/>
      <c r="H50" s="2"/>
      <c r="I50" s="2"/>
      <c r="J50" s="2"/>
      <c r="K50" s="2"/>
      <c r="L50" s="2"/>
      <c r="N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160" t="s">
        <v>11</v>
      </c>
      <c r="K51" s="160"/>
      <c r="L51" s="160"/>
      <c r="M51" s="160"/>
      <c r="N51" s="5"/>
    </row>
    <row r="52" spans="1:20" x14ac:dyDescent="0.25">
      <c r="A52" s="5" t="s">
        <v>13</v>
      </c>
      <c r="B52" s="5" t="s">
        <v>4</v>
      </c>
      <c r="C52" s="5" t="s">
        <v>27</v>
      </c>
      <c r="D52" s="5" t="s">
        <v>26</v>
      </c>
      <c r="E52" s="5" t="s">
        <v>5</v>
      </c>
      <c r="F52" s="5" t="s">
        <v>6</v>
      </c>
      <c r="G52" s="5" t="s">
        <v>7</v>
      </c>
      <c r="H52" s="5" t="s">
        <v>8</v>
      </c>
      <c r="I52" s="5" t="s">
        <v>9</v>
      </c>
      <c r="J52" s="21" t="s">
        <v>46</v>
      </c>
      <c r="K52" s="22" t="s">
        <v>48</v>
      </c>
      <c r="L52" s="21" t="s">
        <v>49</v>
      </c>
      <c r="M52" s="23" t="s">
        <v>50</v>
      </c>
      <c r="N52" s="5" t="s">
        <v>28</v>
      </c>
      <c r="O52" s="5" t="s">
        <v>31</v>
      </c>
      <c r="P52" s="5" t="s">
        <v>35</v>
      </c>
      <c r="Q52" s="5" t="s">
        <v>33</v>
      </c>
      <c r="R52" s="5" t="s">
        <v>34</v>
      </c>
      <c r="S52" s="5" t="s">
        <v>36</v>
      </c>
      <c r="T52" s="5" t="s">
        <v>10</v>
      </c>
    </row>
    <row r="53" spans="1:20" x14ac:dyDescent="0.25">
      <c r="A53" s="12">
        <v>0</v>
      </c>
      <c r="B53" s="6">
        <f>0.5*E53/($B$27*10^-3)</f>
        <v>19.194459755083567</v>
      </c>
      <c r="C53" s="2">
        <v>1675</v>
      </c>
      <c r="D53" s="6">
        <v>24.24</v>
      </c>
      <c r="E53" s="17">
        <v>11.21</v>
      </c>
      <c r="F53" s="6">
        <f>E53/D53</f>
        <v>0.46245874587458752</v>
      </c>
      <c r="G53" s="14">
        <f>1/($B$47*10^-9*(2*PI()*C53*10^3)^2*10^-6)</f>
        <v>149.18284917786497</v>
      </c>
      <c r="H53" s="6">
        <f>(2*PI()*C53*10^3*G53*10^-6)/((D53/E53)*(1/(2*PI()*C53*10^3*$B$47*10^-9)))</f>
        <v>0.46245874587458752</v>
      </c>
      <c r="I53" s="6">
        <f>(2*PI()*C53*10^3*G53*10^-6)/H53</f>
        <v>3395.0062640585711</v>
      </c>
      <c r="J53" s="13">
        <f>($H$47*10^6)/(C53*1000)</f>
        <v>1.014649731011559</v>
      </c>
      <c r="K53" s="1">
        <f>J53*(($B$47*10^-9)/(($E$45*10^-12)+($B$47*10^-9)))*F53</f>
        <v>0.1505950118343333</v>
      </c>
      <c r="L53" s="13">
        <f>(($E$45*10^-12)+($B$47*10^-9))^2/($B$47*10^-9)^2</f>
        <v>9.7086112038887009</v>
      </c>
      <c r="M53" s="1">
        <f>L53*I53</f>
        <v>32960.795852511365</v>
      </c>
      <c r="N53" s="6">
        <f>I53*(B53*10^-3)^2/2</f>
        <v>0.62540647070401212</v>
      </c>
      <c r="O53" s="16">
        <f>N53/(B$30)</f>
        <v>0.47740951962138317</v>
      </c>
      <c r="P53" s="2">
        <f xml:space="preserve"> (4*8.85*10^-12*0.01*0.01)/0.0015</f>
        <v>2.3599999999999996E-12</v>
      </c>
      <c r="Q53" s="16">
        <f>0.5*2*PI()*C53*10^3*P53*E53^2</f>
        <v>1.5605867390910339E-3</v>
      </c>
      <c r="R53" s="8">
        <f>Q53/N53</f>
        <v>2.4953159460187569E-3</v>
      </c>
      <c r="S53" s="13">
        <f>2*Q53/((B53*10^-3)^2)</f>
        <v>8.4716132675389186</v>
      </c>
      <c r="T53" s="1">
        <f>2*PI()*C53*10^3*G53*10^-6/(I53-S53)</f>
        <v>0.46361561330729645</v>
      </c>
    </row>
    <row r="54" spans="1:20" x14ac:dyDescent="0.25">
      <c r="A54" s="12">
        <v>0.05</v>
      </c>
      <c r="B54" s="6">
        <f>0.5*E54/($B$27*10^-3)</f>
        <v>23.389502252849375</v>
      </c>
      <c r="C54" s="2">
        <v>1669</v>
      </c>
      <c r="D54" s="6">
        <v>27.82</v>
      </c>
      <c r="E54" s="17">
        <v>13.66</v>
      </c>
      <c r="F54" s="6">
        <f>E54/D54</f>
        <v>0.49101365923795831</v>
      </c>
      <c r="G54" s="14">
        <f>1/($B$47*10^-9*(2*PI()*C54*10^3)^2*10^-6)</f>
        <v>150.25739203867641</v>
      </c>
      <c r="H54" s="6">
        <f>(2*PI()*C54*10^3*G54*10^-6)/((D54/E54)*(1/(2*PI()*C54*10^3*$B$47*10^-9)))</f>
        <v>0.49101365923795826</v>
      </c>
      <c r="I54" s="6">
        <f>(2*PI()*C54*10^3*G54*10^-6)/H54</f>
        <v>3209.0647351607722</v>
      </c>
      <c r="J54" s="13">
        <f>($H$47*10^6)/(C54*1000)</f>
        <v>1.0182973633579155</v>
      </c>
      <c r="K54" s="1">
        <f>J54*(($B$47*10^-9)/(($E$45*10^-12)+($B$47*10^-9)))*F54</f>
        <v>0.16046844280952005</v>
      </c>
      <c r="L54" s="13">
        <f>(($E$45*10^-12)+($B$47*10^-9))^2/($B$47*10^-9)^2</f>
        <v>9.7086112038887009</v>
      </c>
      <c r="M54" s="1">
        <f>L54*I54</f>
        <v>31155.561841785999</v>
      </c>
      <c r="N54" s="6">
        <f>I54*(B54*10^-3)^2/2</f>
        <v>0.87778962198190269</v>
      </c>
      <c r="O54" s="16">
        <f>N54/(B$30)</f>
        <v>0.67006841372664316</v>
      </c>
      <c r="P54" s="2">
        <f xml:space="preserve"> (4*8.85*10^-12*0.01*0.01)/0.0015</f>
        <v>2.3599999999999996E-12</v>
      </c>
      <c r="Q54" s="16">
        <f>0.5*2*PI()*C54*10^3*P54*E54^2</f>
        <v>2.3089770220948505E-3</v>
      </c>
      <c r="R54" s="8">
        <f>Q54/N54</f>
        <v>2.6304446581192943E-3</v>
      </c>
      <c r="S54" s="13">
        <f t="shared" ref="S54:S57" si="34">2*Q54/((B54*10^-3)^2)</f>
        <v>8.4412671901626606</v>
      </c>
      <c r="T54" s="1">
        <f>2*PI()*C54*10^3*G54*10^-6/(I54-S54)</f>
        <v>0.49230864989622369</v>
      </c>
    </row>
    <row r="55" spans="1:20" x14ac:dyDescent="0.25">
      <c r="A55" s="12">
        <v>0.15</v>
      </c>
      <c r="B55" s="6">
        <f>0.5*E55/($B$27*10^-3)</f>
        <v>32.276143299136955</v>
      </c>
      <c r="C55" s="2">
        <v>1664</v>
      </c>
      <c r="D55" s="6">
        <v>38.479999999999997</v>
      </c>
      <c r="E55" s="17">
        <v>18.850000000000001</v>
      </c>
      <c r="F55" s="6">
        <f>E55/D55</f>
        <v>0.48986486486486497</v>
      </c>
      <c r="G55" s="14">
        <f>1/($B$47*10^-9*(2*PI()*C55*10^3)^2*10^-6)</f>
        <v>151.16173782787345</v>
      </c>
      <c r="H55" s="6">
        <f>(2*PI()*C55*10^3*G55*10^-6)/((D55/E55)*(1/(2*PI()*C55*10^3*$B$47*10^-9)))</f>
        <v>0.48986486486486502</v>
      </c>
      <c r="I55" s="6">
        <f>(2*PI()*C55*10^3*G55*10^-6)/H55</f>
        <v>3226.255628863451</v>
      </c>
      <c r="J55" s="13">
        <f>($H$47*10^6)/(C55*1000)</f>
        <v>1.0213571511083901</v>
      </c>
      <c r="K55" s="1">
        <f>J55*(($B$47*10^-9)/(($E$45*10^-12)+($B$47*10^-9)))*F55</f>
        <v>0.16057405338345676</v>
      </c>
      <c r="L55" s="13">
        <f>(($E$45*10^-12)+($B$47*10^-9))^2/($B$47*10^-9)^2</f>
        <v>9.7086112038887009</v>
      </c>
      <c r="M55" s="1">
        <f>L55*I55</f>
        <v>31322.461544992686</v>
      </c>
      <c r="N55" s="6">
        <f>I55*(B55*10^-3)^2/2</f>
        <v>1.6804749751786598</v>
      </c>
      <c r="O55" s="16">
        <f>N55/(B$30)</f>
        <v>1.2828053245638622</v>
      </c>
      <c r="P55" s="2">
        <f xml:space="preserve"> (4*8.85*10^-12*0.01*0.01)/0.0015</f>
        <v>2.3599999999999996E-12</v>
      </c>
      <c r="Q55" s="16">
        <f>0.5*2*PI()*C55*10^3*P55*E55^2</f>
        <v>4.3836705392000363E-3</v>
      </c>
      <c r="R55" s="8">
        <f>Q55/N55</f>
        <v>2.60859019262336E-3</v>
      </c>
      <c r="S55" s="13">
        <f t="shared" si="34"/>
        <v>8.4159787923491081</v>
      </c>
      <c r="T55" s="1">
        <f>2*PI()*C55*10^3*G55*10^-6/(I55-S55)</f>
        <v>0.49114606366969937</v>
      </c>
    </row>
    <row r="56" spans="1:20" x14ac:dyDescent="0.25">
      <c r="A56" s="12">
        <v>0.3</v>
      </c>
      <c r="B56" s="6">
        <f>0.5*E56/($B$27*10^-3)</f>
        <v>72.78826799184678</v>
      </c>
      <c r="C56" s="2">
        <v>1644</v>
      </c>
      <c r="D56" s="6">
        <v>69.3</v>
      </c>
      <c r="E56" s="17">
        <v>42.51</v>
      </c>
      <c r="F56" s="6">
        <f>E56/D56</f>
        <v>0.61341991341991342</v>
      </c>
      <c r="G56" s="14">
        <f>1/($B$47*10^-9*(2*PI()*C56*10^3)^2*10^-6)</f>
        <v>154.8620106531483</v>
      </c>
      <c r="H56" s="6">
        <f>(2*PI()*C56*10^3*G56*10^-6)/((D56/E56)*(1/(2*PI()*C56*10^3*$B$47*10^-9)))</f>
        <v>0.61341991341991331</v>
      </c>
      <c r="I56" s="6">
        <f>(2*PI()*C56*10^3*G56*10^-6)/H56</f>
        <v>2607.766517201007</v>
      </c>
      <c r="J56" s="13">
        <f>($H$47*10^6)/(C56*1000)</f>
        <v>1.0337824205865944</v>
      </c>
      <c r="K56" s="1">
        <f>J56*(($B$47*10^-9)/(($E$45*10^-12)+($B$47*10^-9)))*F56</f>
        <v>0.20352063938970222</v>
      </c>
      <c r="L56" s="13">
        <f>(($E$45*10^-12)+($B$47*10^-9))^2/($B$47*10^-9)^2</f>
        <v>9.7086112038887009</v>
      </c>
      <c r="M56" s="1">
        <f>L56*I56</f>
        <v>25317.791226023513</v>
      </c>
      <c r="N56" s="6">
        <f>I56*(B56*10^-3)^2/2</f>
        <v>6.9081455609183822</v>
      </c>
      <c r="O56" s="16">
        <f>N56/(B$30)</f>
        <v>5.2733935579529625</v>
      </c>
      <c r="P56" s="2">
        <f xml:space="preserve"> (4*8.85*10^-12*0.01*0.01)/0.0015</f>
        <v>2.3599999999999996E-12</v>
      </c>
      <c r="Q56" s="16">
        <f>0.5*2*PI()*C56*10^3*P56*E56^2</f>
        <v>2.2026520558446401E-2</v>
      </c>
      <c r="R56" s="8">
        <f>Q56/N56</f>
        <v>3.1884852981468089E-3</v>
      </c>
      <c r="S56" s="13">
        <f t="shared" si="34"/>
        <v>8.3148252010949175</v>
      </c>
      <c r="T56" s="1">
        <f>2*PI()*C56*10^3*G56*10^-6/(I56-S56)</f>
        <v>0.61538205003920676</v>
      </c>
    </row>
    <row r="57" spans="1:20" x14ac:dyDescent="0.25">
      <c r="A57" s="12">
        <v>0.45</v>
      </c>
      <c r="B57" s="6">
        <f>0.5*E57/($B$27*10^-3)</f>
        <v>131.41612722592896</v>
      </c>
      <c r="C57" s="2">
        <v>1619</v>
      </c>
      <c r="D57" s="6">
        <v>97.65</v>
      </c>
      <c r="E57" s="17">
        <v>76.75</v>
      </c>
      <c r="F57" s="6">
        <f>E57/D57</f>
        <v>0.78597030209933427</v>
      </c>
      <c r="G57" s="14">
        <f>1/($B$47*10^-9*(2*PI()*C57*10^3)^2*10^-6)</f>
        <v>159.68158049988062</v>
      </c>
      <c r="H57" s="6">
        <f>(2*PI()*C57*10^3*G57*10^-6)/((D57/E57)*(1/(2*PI()*C57*10^3*$B$47*10^-9)))</f>
        <v>0.78597030209933449</v>
      </c>
      <c r="I57" s="6">
        <f>(2*PI()*C57*10^3*G57*10^-6)/H57</f>
        <v>2066.6903095293624</v>
      </c>
      <c r="J57" s="13">
        <f>($H$47*10^6)/(C57*1000)</f>
        <v>1.0497457068834843</v>
      </c>
      <c r="K57" s="1">
        <f>J57*(($B$47*10^-9)/(($E$45*10^-12)+($B$47*10^-9)))*F57</f>
        <v>0.26479616377687637</v>
      </c>
      <c r="L57" s="13">
        <f>(($E$45*10^-12)+($B$47*10^-9))^2/($B$47*10^-9)^2</f>
        <v>9.7086112038887009</v>
      </c>
      <c r="M57" s="1">
        <f>L57*I57</f>
        <v>20064.692694064976</v>
      </c>
      <c r="N57" s="6">
        <f>I57*(B57*10^-3)^2/2</f>
        <v>17.846075936696138</v>
      </c>
      <c r="O57" s="16">
        <f>N57/(B$30)</f>
        <v>13.622958730302393</v>
      </c>
      <c r="P57" s="2">
        <f xml:space="preserve"> (4*8.85*10^-12*0.01*0.01)/0.0015</f>
        <v>2.3599999999999996E-12</v>
      </c>
      <c r="Q57" s="16">
        <f>0.5*2*PI()*C57*10^3*P57*E57^2</f>
        <v>7.0707501712669457E-2</v>
      </c>
      <c r="R57" s="8">
        <f>Q57/N57</f>
        <v>3.9620755825249283E-3</v>
      </c>
      <c r="S57" s="13">
        <f t="shared" si="34"/>
        <v>8.1883832120271727</v>
      </c>
      <c r="T57" s="1">
        <f>2*PI()*C57*10^3*G57*10^-6/(I57-S57)</f>
        <v>0.78909676311672872</v>
      </c>
    </row>
    <row r="58" spans="1:20" ht="15.75" customHeight="1" x14ac:dyDescent="0.25">
      <c r="C58" s="2"/>
      <c r="D58" s="161" t="s">
        <v>53</v>
      </c>
      <c r="E58" s="161"/>
      <c r="F58" s="161"/>
      <c r="G58" s="161"/>
      <c r="H58" s="162" t="s">
        <v>54</v>
      </c>
      <c r="I58" s="163"/>
      <c r="J58" s="163"/>
      <c r="K58" s="163"/>
      <c r="L58" s="13"/>
      <c r="M58" s="1"/>
    </row>
    <row r="59" spans="1:20" x14ac:dyDescent="0.25">
      <c r="C59" s="2"/>
      <c r="D59" s="161"/>
      <c r="E59" s="161"/>
      <c r="F59" s="161"/>
      <c r="G59" s="161"/>
      <c r="H59" s="162"/>
      <c r="I59" s="163"/>
      <c r="J59" s="163"/>
      <c r="K59" s="163"/>
    </row>
    <row r="60" spans="1:20" x14ac:dyDescent="0.25">
      <c r="C60" s="2"/>
      <c r="D60" s="161"/>
      <c r="E60" s="161"/>
      <c r="F60" s="161"/>
      <c r="G60" s="161"/>
      <c r="H60" s="162"/>
      <c r="I60" s="163"/>
      <c r="J60" s="163"/>
      <c r="K60" s="163"/>
    </row>
    <row r="61" spans="1:20" x14ac:dyDescent="0.25">
      <c r="C61" s="2"/>
      <c r="H61" t="s">
        <v>55</v>
      </c>
    </row>
    <row r="62" spans="1:20" x14ac:dyDescent="0.25">
      <c r="C62" s="2"/>
    </row>
  </sheetData>
  <mergeCells count="9">
    <mergeCell ref="J51:M51"/>
    <mergeCell ref="D58:G60"/>
    <mergeCell ref="H58:K60"/>
    <mergeCell ref="H1:L2"/>
    <mergeCell ref="F43:N43"/>
    <mergeCell ref="J31:M31"/>
    <mergeCell ref="J10:M10"/>
    <mergeCell ref="J18:M22"/>
    <mergeCell ref="J39:M4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DAD4-0691-41C6-9D61-17AEB8A0BC04}">
  <dimension ref="A1:AC186"/>
  <sheetViews>
    <sheetView tabSelected="1" topLeftCell="A46" zoomScale="80" zoomScaleNormal="80" workbookViewId="0">
      <selection activeCell="D65" sqref="D65:E77"/>
    </sheetView>
  </sheetViews>
  <sheetFormatPr defaultColWidth="11" defaultRowHeight="15.75" x14ac:dyDescent="0.25"/>
  <cols>
    <col min="2" max="2" width="8.875" customWidth="1"/>
    <col min="5" max="5" width="9.875" customWidth="1"/>
    <col min="7" max="7" width="9.625" customWidth="1"/>
    <col min="8" max="8" width="10.875" customWidth="1"/>
    <col min="11" max="11" width="10.625" customWidth="1"/>
    <col min="12" max="12" width="10.75" customWidth="1"/>
    <col min="16" max="16" width="10" customWidth="1"/>
  </cols>
  <sheetData>
    <row r="1" spans="1:17" x14ac:dyDescent="0.25">
      <c r="A1" s="10" t="s">
        <v>0</v>
      </c>
      <c r="B1" s="10">
        <v>500</v>
      </c>
      <c r="C1" s="10" t="s">
        <v>15</v>
      </c>
      <c r="D1" s="10"/>
      <c r="E1" s="10"/>
      <c r="F1" s="98" t="s">
        <v>120</v>
      </c>
      <c r="G1" s="2"/>
      <c r="H1" s="2"/>
      <c r="I1" s="2"/>
      <c r="J1" s="81"/>
      <c r="K1" s="81"/>
      <c r="L1" s="81"/>
      <c r="M1" s="81"/>
      <c r="N1" s="2"/>
    </row>
    <row r="2" spans="1:17" x14ac:dyDescent="0.25">
      <c r="A2" s="2" t="s">
        <v>2</v>
      </c>
      <c r="B2" s="2" t="s">
        <v>38</v>
      </c>
      <c r="C2" s="2"/>
      <c r="D2" s="2"/>
      <c r="E2" s="2"/>
      <c r="F2" s="2"/>
      <c r="G2" s="2"/>
      <c r="H2" s="2"/>
      <c r="I2" s="2"/>
      <c r="J2" s="30"/>
      <c r="K2" s="30"/>
      <c r="L2" s="30"/>
      <c r="M2" s="30"/>
      <c r="N2" s="2"/>
    </row>
    <row r="3" spans="1:17" x14ac:dyDescent="0.25">
      <c r="A3" t="s">
        <v>67</v>
      </c>
      <c r="B3" s="2">
        <v>3.52</v>
      </c>
      <c r="C3" s="2" t="s">
        <v>14</v>
      </c>
      <c r="D3" s="2"/>
      <c r="E3" s="2"/>
      <c r="F3" s="2"/>
      <c r="G3" s="2"/>
      <c r="H3" s="3"/>
      <c r="I3" s="2"/>
      <c r="J3" s="2"/>
      <c r="K3" s="2"/>
      <c r="L3" s="2"/>
      <c r="N3" s="2"/>
    </row>
    <row r="4" spans="1:17" x14ac:dyDescent="0.25">
      <c r="A4" t="s">
        <v>68</v>
      </c>
      <c r="B4" s="6">
        <f>B3*10^-6*B1*2*PI()*10^3</f>
        <v>11.05840614063607</v>
      </c>
      <c r="C4" s="2"/>
      <c r="D4" s="2"/>
      <c r="F4" s="2"/>
      <c r="G4" s="2"/>
      <c r="H4" s="2"/>
      <c r="I4" s="2"/>
      <c r="J4" s="2"/>
      <c r="K4" s="2"/>
      <c r="L4" s="2"/>
      <c r="N4" s="2"/>
    </row>
    <row r="5" spans="1:17" ht="18" x14ac:dyDescent="0.25">
      <c r="A5" s="2" t="s">
        <v>19</v>
      </c>
      <c r="B5" s="6">
        <v>24.09</v>
      </c>
      <c r="C5" s="2" t="s">
        <v>16</v>
      </c>
      <c r="D5" s="2" t="s">
        <v>24</v>
      </c>
      <c r="E5" s="16">
        <f>5.0302+0.38012+0.030452</f>
        <v>5.4407719999999999</v>
      </c>
      <c r="F5" s="2" t="s">
        <v>16</v>
      </c>
      <c r="G5" s="19"/>
      <c r="H5" s="16"/>
      <c r="I5" s="2"/>
      <c r="J5" s="2"/>
      <c r="K5" s="2"/>
      <c r="L5" s="2"/>
      <c r="N5" s="2"/>
    </row>
    <row r="6" spans="1:17" x14ac:dyDescent="0.25">
      <c r="A6" s="2" t="s">
        <v>20</v>
      </c>
      <c r="B6" s="13">
        <f>1/(2*PI()*$B$1*10^3*B5*10^-9)</f>
        <v>13.213361817508952</v>
      </c>
      <c r="C6" s="2"/>
      <c r="D6" s="2" t="s">
        <v>25</v>
      </c>
      <c r="E6">
        <f>1/(2*PI()*$B$1*10^3*E5*10^-9)</f>
        <v>58.504544241844847</v>
      </c>
      <c r="F6" s="2"/>
      <c r="G6" s="2"/>
      <c r="H6" s="2"/>
      <c r="I6" s="2"/>
      <c r="J6" s="2"/>
      <c r="K6" s="2"/>
      <c r="L6" s="2"/>
      <c r="N6" s="2"/>
    </row>
    <row r="7" spans="1:17" x14ac:dyDescent="0.25">
      <c r="A7" s="2" t="s">
        <v>29</v>
      </c>
      <c r="B7" s="3">
        <f>(1/(2*PI()*SQRT(B5*10^-9*B3*10^-6)))/10^3</f>
        <v>546.55063083144717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>
        <f>58000000/(15.5/6.7342)</f>
        <v>25198941.935483873</v>
      </c>
      <c r="N7" s="2"/>
    </row>
    <row r="8" spans="1:17" x14ac:dyDescent="0.25">
      <c r="A8" s="2" t="s">
        <v>30</v>
      </c>
      <c r="B8" s="3">
        <f>1310*0.1^3</f>
        <v>1.3100000000000003</v>
      </c>
      <c r="C8" s="15" t="s">
        <v>32</v>
      </c>
      <c r="D8" s="2"/>
      <c r="E8" s="2"/>
      <c r="F8" s="2"/>
      <c r="G8" s="2"/>
      <c r="H8" s="2"/>
      <c r="I8" s="2"/>
      <c r="J8" s="2"/>
      <c r="K8" s="2"/>
      <c r="L8" s="2"/>
      <c r="N8" s="2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5"/>
    </row>
    <row r="10" spans="1:17" x14ac:dyDescent="0.25">
      <c r="A10" s="5" t="s">
        <v>13</v>
      </c>
      <c r="B10" s="5" t="s">
        <v>4</v>
      </c>
      <c r="C10" s="5" t="s">
        <v>27</v>
      </c>
      <c r="D10" s="5" t="s">
        <v>26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5" t="s">
        <v>28</v>
      </c>
      <c r="K10" s="5" t="s">
        <v>31</v>
      </c>
      <c r="L10" s="5" t="s">
        <v>35</v>
      </c>
      <c r="M10" s="5" t="s">
        <v>33</v>
      </c>
      <c r="N10" s="5" t="s">
        <v>34</v>
      </c>
      <c r="O10" s="5" t="s">
        <v>36</v>
      </c>
      <c r="P10" s="5" t="s">
        <v>10</v>
      </c>
      <c r="Q10" s="5" t="s">
        <v>37</v>
      </c>
    </row>
    <row r="11" spans="1:17" x14ac:dyDescent="0.25">
      <c r="A11" s="12">
        <v>0</v>
      </c>
      <c r="B11" s="6">
        <f>0.5*E11/($B$6*10^-3)</f>
        <v>339.27777517297687</v>
      </c>
      <c r="C11" s="2">
        <v>545.9</v>
      </c>
      <c r="D11" s="16">
        <v>0.3785</v>
      </c>
      <c r="E11" s="6">
        <v>8.9659999999999993</v>
      </c>
      <c r="F11" s="6">
        <f>E11/D11</f>
        <v>23.688243064729193</v>
      </c>
      <c r="G11" s="14">
        <f>1/($B$5*10^-9*(2*PI()*C11*10^3)^2*10^-6)</f>
        <v>3.5283956231038149</v>
      </c>
      <c r="H11" s="6">
        <f>(2*PI()*C11*10^3*G11*10^-6)/((D11/E11)*(1/(2*PI()*C11*10^3*$B$5*10^-9)))</f>
        <v>23.688243064729189</v>
      </c>
      <c r="I11" s="6">
        <f>(2*PI()*C11*10^3*G11*10^-6)/H11</f>
        <v>0.51090174572168523</v>
      </c>
      <c r="J11" s="6">
        <f>I11*(B11*10^-3)^2/2</f>
        <v>2.9404798933635224E-2</v>
      </c>
      <c r="K11" s="16">
        <f>J11/(B$8)</f>
        <v>2.244641139972154E-2</v>
      </c>
      <c r="L11" s="2">
        <f xml:space="preserve"> (4*8.85*10^-12*0.01*0.01)/0.0015</f>
        <v>2.3599999999999996E-12</v>
      </c>
      <c r="M11" s="16">
        <f>0.5*2*PI()*C11*10^3*L11*E11^2</f>
        <v>3.2536620290437565E-4</v>
      </c>
      <c r="N11" s="8">
        <f>M11/J11</f>
        <v>1.1065071508861756E-2</v>
      </c>
      <c r="O11" s="13">
        <f>2*M11/((B11*10^-3)^2)</f>
        <v>5.6531643504127522E-3</v>
      </c>
      <c r="P11" s="1">
        <f>2*PI()*C11*10^3*G11*10^-6/(I11-O11)</f>
        <v>23.953287908306958</v>
      </c>
      <c r="Q11" t="str">
        <f>_xlfn.CONCAT("(",B11/1000,",",P11,")")</f>
        <v>(0.339277775172977,23.953287908307)</v>
      </c>
    </row>
    <row r="12" spans="1:17" x14ac:dyDescent="0.25">
      <c r="A12" s="12">
        <v>0.05</v>
      </c>
      <c r="B12" s="6">
        <f>0.5*E12/($B$6*10^-3)</f>
        <v>394.29783820013597</v>
      </c>
      <c r="C12" s="2">
        <v>546.70000000000005</v>
      </c>
      <c r="D12" s="16">
        <v>0.38929999999999998</v>
      </c>
      <c r="E12" s="6">
        <v>10.42</v>
      </c>
      <c r="F12" s="6">
        <f>E12/D12</f>
        <v>26.765990238890318</v>
      </c>
      <c r="G12" s="14">
        <f>1/($B$5*10^-9*(2*PI()*C12*10^3)^2*10^-6)</f>
        <v>3.5180767966099467</v>
      </c>
      <c r="H12" s="6">
        <f>(2*PI()*C12*10^3*G12*10^-6)/((D12/E12)*(1/(2*PI()*C12*10^3*$B$5*10^-9)))</f>
        <v>26.765990238890311</v>
      </c>
      <c r="I12" s="6">
        <f>(2*PI()*C12*10^3*G12*10^-6)/H12</f>
        <v>0.45149291803483921</v>
      </c>
      <c r="J12" s="6">
        <f>I12*(B12*10^-3)^2/2</f>
        <v>3.5096979241657424E-2</v>
      </c>
      <c r="K12" s="16">
        <f>J12/(B$8)</f>
        <v>2.6791587207372073E-2</v>
      </c>
      <c r="L12" s="2">
        <f xml:space="preserve"> (4*8.85*10^-12*0.01*0.01)/0.0015</f>
        <v>2.3599999999999996E-12</v>
      </c>
      <c r="M12" s="16">
        <f>0.5*2*PI()*C12*10^3*L12*E12^2</f>
        <v>4.400949523632283E-4</v>
      </c>
      <c r="N12" s="8">
        <f>M12/J12</f>
        <v>1.2539396890341756E-2</v>
      </c>
      <c r="O12" s="13">
        <f t="shared" ref="O12:O15" si="0">2*M12/((B12*10^-3)^2)</f>
        <v>5.6614488924173886E-3</v>
      </c>
      <c r="P12" s="1">
        <f>2*PI()*C12*10^3*G12*10^-6/(I12-O12)</f>
        <v>27.105881646923716</v>
      </c>
      <c r="Q12" t="str">
        <f>_xlfn.CONCAT("(",B12/1000,",",P12,")")</f>
        <v>(0.394297838200136,27.1058816469237)</v>
      </c>
    </row>
    <row r="13" spans="1:17" x14ac:dyDescent="0.25">
      <c r="A13" s="12">
        <v>0.15</v>
      </c>
      <c r="B13" s="6">
        <f>0.5*E13/($B$6*10^-3)</f>
        <v>517.65781445085031</v>
      </c>
      <c r="C13" s="2">
        <v>547.4</v>
      </c>
      <c r="D13" s="16">
        <v>0.51249999999999996</v>
      </c>
      <c r="E13" s="6">
        <v>13.68</v>
      </c>
      <c r="F13" s="6">
        <f>E13/D13</f>
        <v>26.692682926829271</v>
      </c>
      <c r="G13" s="14">
        <f>1/($B$5*10^-9*(2*PI()*C13*10^3)^2*10^-6)</f>
        <v>3.509084910709964</v>
      </c>
      <c r="H13" s="6">
        <f>(2*PI()*C13*10^3*G13*10^-6)/((D13/E13)*(1/(2*PI()*C13*10^3*$B$5*10^-9)))</f>
        <v>26.692682926829267</v>
      </c>
      <c r="I13" s="6">
        <f>(2*PI()*C13*10^3*G13*10^-6)/H13</f>
        <v>0.45215393098804513</v>
      </c>
      <c r="J13" s="6">
        <f>I13*(B13*10^-3)^2/2</f>
        <v>6.0581756920455976E-2</v>
      </c>
      <c r="K13" s="16">
        <f>J13/(B$8)</f>
        <v>4.6245615969813712E-2</v>
      </c>
      <c r="L13" s="2">
        <f xml:space="preserve"> (4*8.85*10^-12*0.01*0.01)/0.0015</f>
        <v>2.3599999999999996E-12</v>
      </c>
      <c r="M13" s="16">
        <f>0.5*2*PI()*C13*10^3*L13*E13^2</f>
        <v>7.5951938638188369E-4</v>
      </c>
      <c r="N13" s="8">
        <f>M13/J13</f>
        <v>1.2537097386910301E-2</v>
      </c>
      <c r="O13" s="13">
        <f t="shared" si="0"/>
        <v>5.6686978666714415E-3</v>
      </c>
      <c r="P13" s="1">
        <f>2*PI()*C13*10^3*G13*10^-6/(I13-O13)</f>
        <v>27.031580483877747</v>
      </c>
      <c r="Q13" t="str">
        <f>_xlfn.CONCAT("(",B13/1000,",",P13,")")</f>
        <v>(0.51765781445085,27.0315804838777)</v>
      </c>
    </row>
    <row r="14" spans="1:17" x14ac:dyDescent="0.25">
      <c r="A14" s="12">
        <v>0.3</v>
      </c>
      <c r="B14" s="6">
        <f>0.5*E14/($B$6*10^-3)</f>
        <v>829.4633985937603</v>
      </c>
      <c r="C14" s="2">
        <v>547.4</v>
      </c>
      <c r="D14" s="16">
        <v>0.83109999999999995</v>
      </c>
      <c r="E14" s="6">
        <v>21.92</v>
      </c>
      <c r="F14" s="6">
        <f>E14/D14</f>
        <v>26.374684153531469</v>
      </c>
      <c r="G14" s="14">
        <f>1/($B$5*10^-9*(2*PI()*C14*10^3)^2*10^-6)</f>
        <v>3.509084910709964</v>
      </c>
      <c r="H14" s="6">
        <f>(2*PI()*C14*10^3*G14*10^-6)/((D14/E14)*(1/(2*PI()*C14*10^3*$B$5*10^-9)))</f>
        <v>26.374684153531465</v>
      </c>
      <c r="I14" s="6">
        <f>(2*PI()*C14*10^3*G14*10^-6)/H14</f>
        <v>0.45760553732990628</v>
      </c>
      <c r="J14" s="6">
        <f>I14*(B14*10^-3)^2/2</f>
        <v>0.15741848524188759</v>
      </c>
      <c r="K14" s="16">
        <f>J14/(B$8)</f>
        <v>0.12016678262739508</v>
      </c>
      <c r="L14" s="2">
        <f xml:space="preserve"> (4*8.85*10^-12*0.01*0.01)/0.0015</f>
        <v>2.3599999999999996E-12</v>
      </c>
      <c r="M14" s="16">
        <f>0.5*2*PI()*C14*10^3*L14*E14^2</f>
        <v>1.9500590763655932E-3</v>
      </c>
      <c r="N14" s="8">
        <f>M14/J14</f>
        <v>1.2387738792995961E-2</v>
      </c>
      <c r="O14" s="13">
        <f t="shared" si="0"/>
        <v>5.6686978666714424E-3</v>
      </c>
      <c r="P14" s="1">
        <f>2*PI()*C14*10^3*G14*10^-6/(I14-O14)</f>
        <v>26.705504973477964</v>
      </c>
      <c r="Q14" t="str">
        <f>_xlfn.CONCAT("(",B14/1000,",",P14,")")</f>
        <v>(0.82946339859376,26.705504973478)</v>
      </c>
    </row>
    <row r="15" spans="1:17" x14ac:dyDescent="0.25">
      <c r="A15" s="12">
        <v>0.4</v>
      </c>
      <c r="B15" s="6">
        <f>0.5*E15/($B$6*10^-3)</f>
        <v>1173.0549888871608</v>
      </c>
      <c r="C15" s="2">
        <v>547.5</v>
      </c>
      <c r="D15" s="16">
        <v>1.1759999999999999</v>
      </c>
      <c r="E15" s="6">
        <v>31</v>
      </c>
      <c r="F15" s="6">
        <f>E15/D15</f>
        <v>26.360544217687075</v>
      </c>
      <c r="G15" s="14">
        <f>1/($B$5*10^-9*(2*PI()*C15*10^3)^2*10^-6)</f>
        <v>3.5078031702729469</v>
      </c>
      <c r="H15" s="6">
        <f>(2*PI()*C15*10^3*G15*10^-6)/((D15/E15)*(1/(2*PI()*C15*10^3*$B$5*10^-9)))</f>
        <v>26.360544217687071</v>
      </c>
      <c r="I15" s="6">
        <f>(2*PI()*C15*10^3*G15*10^-6)/H15</f>
        <v>0.45776737361586473</v>
      </c>
      <c r="J15" s="6">
        <f>I15*(B15*10^-3)^2/2</f>
        <v>0.31495722989299113</v>
      </c>
      <c r="K15" s="16">
        <f>J15/(B$8)</f>
        <v>0.24042536633052752</v>
      </c>
      <c r="L15" s="2">
        <f xml:space="preserve"> (4*8.85*10^-12*0.01*0.01)/0.0015</f>
        <v>2.3599999999999996E-12</v>
      </c>
      <c r="M15" s="16">
        <f>0.5*2*PI()*C15*10^3*L15*E15^2</f>
        <v>3.90094104486294E-3</v>
      </c>
      <c r="N15" s="8">
        <f>M15/J15</f>
        <v>1.2385621521335806E-2</v>
      </c>
      <c r="O15" s="13">
        <f t="shared" si="0"/>
        <v>5.6697334344220232E-3</v>
      </c>
      <c r="P15" s="1">
        <f>2*PI()*C15*10^3*G15*10^-6/(I15-O15)</f>
        <v>26.691130457510393</v>
      </c>
      <c r="Q15" t="str">
        <f>_xlfn.CONCAT("(",B15/1000,",",P15,")")</f>
        <v>(1.17305498888716,26.6911304575104)</v>
      </c>
    </row>
    <row r="16" spans="1:17" x14ac:dyDescent="0.25">
      <c r="A16" s="6"/>
      <c r="B16" s="2"/>
      <c r="C16" s="2"/>
      <c r="D16" s="2"/>
      <c r="E16" s="6"/>
      <c r="F16" s="1"/>
      <c r="G16" s="7"/>
      <c r="H16" s="6"/>
      <c r="I16" s="11"/>
      <c r="J16" s="8"/>
      <c r="K16" s="30"/>
      <c r="L16" s="30"/>
      <c r="M16" s="30"/>
      <c r="N16" s="30"/>
    </row>
    <row r="17" spans="1:19" x14ac:dyDescent="0.25">
      <c r="A17" s="6"/>
      <c r="B17" s="2"/>
      <c r="C17" s="2"/>
      <c r="D17" s="2"/>
      <c r="E17" s="6"/>
      <c r="F17" s="1"/>
      <c r="G17" s="7"/>
      <c r="H17" s="6"/>
      <c r="I17" s="11"/>
      <c r="J17" s="8"/>
      <c r="K17" s="81"/>
      <c r="L17" s="81"/>
      <c r="M17" s="81"/>
      <c r="N17" s="81"/>
    </row>
    <row r="18" spans="1:19" x14ac:dyDescent="0.25">
      <c r="A18" s="6"/>
      <c r="B18" s="2"/>
      <c r="C18" s="2"/>
      <c r="D18" s="2"/>
      <c r="E18" s="6"/>
      <c r="F18" s="1"/>
      <c r="G18" s="7"/>
      <c r="H18" s="6"/>
      <c r="I18" s="11"/>
      <c r="J18" s="8"/>
      <c r="K18" s="81"/>
      <c r="L18" s="81"/>
      <c r="M18" s="81"/>
      <c r="N18" s="81"/>
    </row>
    <row r="19" spans="1:19" x14ac:dyDescent="0.25">
      <c r="A19" s="10" t="s">
        <v>0</v>
      </c>
      <c r="B19" s="10">
        <v>1000</v>
      </c>
      <c r="C19" s="10" t="s">
        <v>15</v>
      </c>
      <c r="D19" s="10"/>
      <c r="E19" s="10"/>
      <c r="F19" s="150" t="s">
        <v>171</v>
      </c>
      <c r="G19" s="2"/>
      <c r="H19" s="2"/>
      <c r="I19" s="2"/>
      <c r="J19" s="146"/>
      <c r="K19" s="146"/>
      <c r="L19" s="146"/>
      <c r="M19" s="111"/>
      <c r="N19" s="2"/>
    </row>
    <row r="20" spans="1:19" ht="15.75" customHeight="1" x14ac:dyDescent="0.25">
      <c r="A20" s="2" t="s">
        <v>2</v>
      </c>
      <c r="B20" s="2" t="s">
        <v>38</v>
      </c>
      <c r="C20" s="2"/>
      <c r="D20" s="2"/>
      <c r="E20" s="2"/>
      <c r="F20" s="2"/>
      <c r="G20" s="2"/>
      <c r="H20" s="2"/>
      <c r="I20" s="2"/>
      <c r="J20" s="146"/>
      <c r="K20" s="146"/>
      <c r="L20" s="146"/>
      <c r="M20" s="146"/>
      <c r="N20" s="2"/>
    </row>
    <row r="21" spans="1:19" x14ac:dyDescent="0.25">
      <c r="A21" t="s">
        <v>67</v>
      </c>
      <c r="B21" s="16">
        <v>0.49114999999999998</v>
      </c>
      <c r="C21" s="2" t="s">
        <v>14</v>
      </c>
      <c r="D21" s="2"/>
      <c r="E21" s="2"/>
      <c r="F21" s="2"/>
      <c r="G21" s="2"/>
      <c r="H21" s="3"/>
      <c r="I21" s="2"/>
      <c r="J21" s="2"/>
      <c r="K21" s="2"/>
      <c r="L21" s="2"/>
      <c r="N21" s="2"/>
    </row>
    <row r="22" spans="1:19" x14ac:dyDescent="0.25">
      <c r="A22" t="s">
        <v>68</v>
      </c>
      <c r="B22" s="16">
        <f>B21*10^-6*2*PI()*B19*10^3</f>
        <v>3.0859864636212531</v>
      </c>
      <c r="C22" s="2"/>
      <c r="D22" s="2"/>
      <c r="F22" s="2"/>
      <c r="G22" s="2"/>
      <c r="H22" s="2"/>
      <c r="I22" s="2"/>
      <c r="J22" s="2"/>
      <c r="K22" s="2"/>
      <c r="L22" s="2"/>
      <c r="N22" s="2"/>
    </row>
    <row r="23" spans="1:19" ht="18" x14ac:dyDescent="0.25">
      <c r="A23" s="2" t="s">
        <v>19</v>
      </c>
      <c r="B23" s="3">
        <f>9.8341+9.875+22.053+5.0251+5.1492</f>
        <v>51.936400000000006</v>
      </c>
      <c r="C23" s="2" t="s">
        <v>16</v>
      </c>
      <c r="D23" s="2" t="s">
        <v>24</v>
      </c>
      <c r="E23" s="6">
        <f>205.07+200.73+57.2742+21.973+14.971+14.992</f>
        <v>515.01019999999994</v>
      </c>
      <c r="F23" s="2" t="s">
        <v>16</v>
      </c>
      <c r="G23" s="19"/>
      <c r="H23" s="16"/>
      <c r="I23" s="2"/>
      <c r="J23" s="2" t="s">
        <v>176</v>
      </c>
      <c r="K23" s="11">
        <v>4.0000000000000002E-4</v>
      </c>
      <c r="L23" s="155" t="s">
        <v>177</v>
      </c>
      <c r="N23" s="2"/>
    </row>
    <row r="24" spans="1:19" x14ac:dyDescent="0.25">
      <c r="A24" s="2" t="s">
        <v>20</v>
      </c>
      <c r="B24" s="13">
        <f>1/(2*PI()*$B$40*10^3*B23*10^-9)</f>
        <v>3.0644200039258656</v>
      </c>
      <c r="C24" s="2"/>
      <c r="D24" s="2" t="s">
        <v>25</v>
      </c>
      <c r="E24" s="13">
        <f>1/(2*PI()*$B$40*10^3*E23*10^-9)</f>
        <v>0.30903260380453701</v>
      </c>
      <c r="F24" s="2"/>
      <c r="G24" s="2"/>
      <c r="H24" s="2"/>
      <c r="I24" s="2"/>
      <c r="J24" s="2"/>
      <c r="K24" s="2"/>
      <c r="L24" s="2"/>
      <c r="N24" s="2"/>
    </row>
    <row r="25" spans="1:19" x14ac:dyDescent="0.25">
      <c r="A25" s="2" t="s">
        <v>29</v>
      </c>
      <c r="B25" s="3">
        <f>(1/(2*PI()*SQRT(B23*10^-9*B21*10^-6)))/10^3</f>
        <v>996.49961664350599</v>
      </c>
      <c r="C25" s="2" t="s">
        <v>15</v>
      </c>
      <c r="D25" s="2"/>
      <c r="E25" s="2"/>
      <c r="F25" s="2"/>
      <c r="G25" s="2"/>
      <c r="H25" s="2"/>
      <c r="I25" s="2"/>
      <c r="J25" s="2"/>
      <c r="K25" s="2"/>
      <c r="L25" s="2"/>
      <c r="N25" s="2"/>
    </row>
    <row r="26" spans="1:19" x14ac:dyDescent="0.25">
      <c r="A26" s="2" t="s">
        <v>30</v>
      </c>
      <c r="B26" s="3">
        <f>1310*0.1^3</f>
        <v>1.3100000000000003</v>
      </c>
      <c r="C26" s="15" t="s">
        <v>32</v>
      </c>
      <c r="D26" s="2"/>
      <c r="E26" s="2"/>
      <c r="F26" s="2"/>
      <c r="G26" s="2"/>
      <c r="H26" s="2"/>
      <c r="I26" s="2"/>
      <c r="J26" s="2"/>
      <c r="K26" s="2"/>
      <c r="L26" s="2"/>
      <c r="N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5"/>
    </row>
    <row r="28" spans="1:19" x14ac:dyDescent="0.25">
      <c r="A28" s="5" t="s">
        <v>13</v>
      </c>
      <c r="B28" s="5" t="s">
        <v>4</v>
      </c>
      <c r="C28" s="5" t="s">
        <v>27</v>
      </c>
      <c r="D28" s="5" t="s">
        <v>26</v>
      </c>
      <c r="E28" s="5" t="s">
        <v>5</v>
      </c>
      <c r="F28" s="5" t="s">
        <v>6</v>
      </c>
      <c r="G28" s="5" t="s">
        <v>7</v>
      </c>
      <c r="H28" s="5" t="s">
        <v>8</v>
      </c>
      <c r="I28" s="5" t="s">
        <v>9</v>
      </c>
      <c r="J28" s="5" t="s">
        <v>28</v>
      </c>
      <c r="K28" s="5" t="s">
        <v>175</v>
      </c>
      <c r="L28" s="5" t="s">
        <v>178</v>
      </c>
      <c r="M28" s="5" t="s">
        <v>31</v>
      </c>
      <c r="N28" s="5" t="s">
        <v>35</v>
      </c>
      <c r="O28" s="5" t="s">
        <v>33</v>
      </c>
      <c r="P28" s="5" t="s">
        <v>34</v>
      </c>
      <c r="Q28" s="5" t="s">
        <v>36</v>
      </c>
      <c r="R28" s="5" t="s">
        <v>10</v>
      </c>
      <c r="S28" s="5" t="s">
        <v>37</v>
      </c>
    </row>
    <row r="29" spans="1:19" x14ac:dyDescent="0.25">
      <c r="A29" s="12">
        <v>0</v>
      </c>
      <c r="B29" s="6">
        <f>0.5*E29/($B$24*10^-3)</f>
        <v>303.15687758526798</v>
      </c>
      <c r="C29" s="17">
        <v>975</v>
      </c>
      <c r="D29" s="3">
        <f>83.175*2/1000</f>
        <v>0.16635</v>
      </c>
      <c r="E29" s="3">
        <v>1.8580000000000001</v>
      </c>
      <c r="F29" s="6">
        <f>E29/D29</f>
        <v>11.169221520889691</v>
      </c>
      <c r="G29" s="14">
        <f>1/($B$23*10^-9*(2*PI()*C29*10^3)^2*10^-6)</f>
        <v>0.51304940574304991</v>
      </c>
      <c r="H29" s="6">
        <f>(2*PI()*C29*10^3*G29*10^-6)/((D29/E29)*(1/(2*PI()*C29*10^3*$B$23*10^-9)))</f>
        <v>11.169221520889689</v>
      </c>
      <c r="I29" s="3">
        <f>(2*PI()*C29*10^3*G29*10^-6)/H29</f>
        <v>0.28139784585193217</v>
      </c>
      <c r="J29" s="16">
        <f>I29*(B29*10^-3)^2/2</f>
        <v>1.2930806817002392E-2</v>
      </c>
      <c r="K29" s="7">
        <f>0.5*(7*B29*10^-3)^2*$K$23</f>
        <v>9.0066010578704185E-4</v>
      </c>
      <c r="L29" s="13">
        <f>J29-K29</f>
        <v>1.2030146711215351E-2</v>
      </c>
      <c r="M29" s="16">
        <f>L29/(B$115)</f>
        <v>9.1833181001643883E-3</v>
      </c>
      <c r="N29" s="2">
        <f xml:space="preserve"> (4*8.85*10^-12*0.01*0.01)/0.0015</f>
        <v>2.3599999999999996E-12</v>
      </c>
      <c r="O29" s="16">
        <f t="shared" ref="O29:O36" si="1">0.5*2*PI()*C29*10^3*N29*E29^2</f>
        <v>2.4955019334251842E-5</v>
      </c>
      <c r="P29" s="8">
        <f>O29/L29</f>
        <v>2.0743736492412857E-3</v>
      </c>
      <c r="Q29" s="13">
        <f t="shared" ref="Q29:Q36" si="2">2*O29/((B29*10^-3)^2)</f>
        <v>5.4306655286338022E-4</v>
      </c>
      <c r="R29" s="1">
        <f t="shared" ref="R29:R36" si="3">2*PI()*C29*10^3*G29*10^-6/(I29-Q29)</f>
        <v>11.190818556356399</v>
      </c>
      <c r="S29" t="str">
        <f t="shared" ref="S29:S36" si="4">_xlfn.CONCAT("(",B29/1000,",",R29,")")</f>
        <v>(0.303156877585268,11.1908185563564)</v>
      </c>
    </row>
    <row r="30" spans="1:19" x14ac:dyDescent="0.25">
      <c r="A30" s="12">
        <v>0.05</v>
      </c>
      <c r="B30" s="6">
        <f t="shared" ref="B30:B36" si="5">0.5*E30/($B$24*10^-3)</f>
        <v>381.47512367834042</v>
      </c>
      <c r="C30" s="17">
        <v>975</v>
      </c>
      <c r="D30" s="3">
        <f>93.451*2/1000</f>
        <v>0.18690199999999998</v>
      </c>
      <c r="E30" s="3">
        <v>2.3380000000000001</v>
      </c>
      <c r="F30" s="6">
        <f t="shared" ref="F30:F36" si="6">E30/D30</f>
        <v>12.509229435747077</v>
      </c>
      <c r="G30" s="14">
        <f t="shared" ref="G30:G36" si="7">1/($B$23*10^-9*(2*PI()*C30*10^3)^2*10^-6)</f>
        <v>0.51304940574304991</v>
      </c>
      <c r="H30" s="6">
        <f t="shared" ref="H30:H36" si="8">(2*PI()*C30*10^3*G30*10^-6)/((D30/E30)*(1/(2*PI()*C30*10^3*$B$23*10^-9)))</f>
        <v>12.509229435747075</v>
      </c>
      <c r="I30" s="3">
        <f t="shared" ref="I30:I35" si="9">(2*PI()*C30*10^3*G30*10^-6)/H30</f>
        <v>0.25125407539810579</v>
      </c>
      <c r="J30" s="16">
        <f t="shared" ref="J30:J35" si="10">I30*(B30*10^-3)^2/2</f>
        <v>1.8281657324545939E-2</v>
      </c>
      <c r="K30" s="7">
        <f t="shared" ref="K30:K36" si="11">0.5*(7*B30*10^-3)^2*$K$23</f>
        <v>1.4261280458569702E-3</v>
      </c>
      <c r="L30" s="13">
        <f t="shared" ref="L30:L36" si="12">J30-K30</f>
        <v>1.6855529278688969E-2</v>
      </c>
      <c r="M30" s="16">
        <f t="shared" ref="M30:M36" si="13">L30/(B$115)</f>
        <v>1.2866816243274019E-2</v>
      </c>
      <c r="N30" s="2">
        <f t="shared" ref="N30:N36" si="14" xml:space="preserve"> (4*8.85*10^-12*0.01*0.01)/0.0015</f>
        <v>2.3599999999999996E-12</v>
      </c>
      <c r="O30" s="16">
        <f t="shared" si="1"/>
        <v>3.9514410296190484E-5</v>
      </c>
      <c r="P30" s="8">
        <f t="shared" ref="P30:P36" si="15">O30/L30</f>
        <v>2.3442995851901205E-3</v>
      </c>
      <c r="Q30" s="13">
        <f t="shared" si="2"/>
        <v>5.4306655286338033E-4</v>
      </c>
      <c r="R30" s="1">
        <f t="shared" si="3"/>
        <v>12.536325749307212</v>
      </c>
      <c r="S30" t="str">
        <f t="shared" si="4"/>
        <v>(0.38147512367834,12.5363257493072)</v>
      </c>
    </row>
    <row r="31" spans="1:19" x14ac:dyDescent="0.25">
      <c r="A31" s="12">
        <v>0.15</v>
      </c>
      <c r="B31" s="6">
        <f t="shared" si="5"/>
        <v>492.75229833558086</v>
      </c>
      <c r="C31" s="17">
        <v>975</v>
      </c>
      <c r="D31" s="3">
        <f>119.609*2/1000</f>
        <v>0.23921799999999999</v>
      </c>
      <c r="E31" s="3">
        <v>3.02</v>
      </c>
      <c r="F31" s="6">
        <f t="shared" si="6"/>
        <v>12.624468058423698</v>
      </c>
      <c r="G31" s="14">
        <f t="shared" si="7"/>
        <v>0.51304940574304991</v>
      </c>
      <c r="H31" s="6">
        <f t="shared" si="8"/>
        <v>12.624468058423696</v>
      </c>
      <c r="I31" s="3">
        <f t="shared" si="9"/>
        <v>0.2489605788755774</v>
      </c>
      <c r="J31" s="16">
        <f t="shared" si="10"/>
        <v>3.0224415205959226E-2</v>
      </c>
      <c r="K31" s="7">
        <f t="shared" si="11"/>
        <v>2.3794873096469739E-3</v>
      </c>
      <c r="L31" s="13">
        <f t="shared" si="12"/>
        <v>2.7844927896312252E-2</v>
      </c>
      <c r="M31" s="16">
        <f t="shared" si="13"/>
        <v>2.1255670149856676E-2</v>
      </c>
      <c r="N31" s="2">
        <f t="shared" si="14"/>
        <v>2.3599999999999996E-12</v>
      </c>
      <c r="O31" s="16">
        <f t="shared" si="1"/>
        <v>6.59295903485786E-5</v>
      </c>
      <c r="P31" s="8">
        <f t="shared" si="15"/>
        <v>2.3677414642294778E-3</v>
      </c>
      <c r="Q31" s="13">
        <f t="shared" si="2"/>
        <v>5.4306655286338022E-4</v>
      </c>
      <c r="R31" s="1">
        <f t="shared" si="3"/>
        <v>12.652066460348419</v>
      </c>
      <c r="S31" t="str">
        <f t="shared" si="4"/>
        <v>(0.492752298335581,12.6520664603484)</v>
      </c>
    </row>
    <row r="32" spans="1:19" x14ac:dyDescent="0.25">
      <c r="A32" s="12">
        <v>0.3</v>
      </c>
      <c r="B32" s="6">
        <f>0.5*E32/($B$24*10^-3)</f>
        <v>738.47579545259566</v>
      </c>
      <c r="C32" s="17">
        <v>975</v>
      </c>
      <c r="D32" s="14">
        <f>191.127*2/1000</f>
        <v>0.38225400000000004</v>
      </c>
      <c r="E32" s="3">
        <v>4.5259999999999998</v>
      </c>
      <c r="F32" s="6">
        <f t="shared" si="6"/>
        <v>11.840294673175427</v>
      </c>
      <c r="G32" s="14">
        <f t="shared" si="7"/>
        <v>0.51304940574304991</v>
      </c>
      <c r="H32" s="6">
        <f t="shared" si="8"/>
        <v>11.840294673175425</v>
      </c>
      <c r="I32" s="3">
        <f t="shared" si="9"/>
        <v>0.26544904181666679</v>
      </c>
      <c r="J32" s="16">
        <f t="shared" si="10"/>
        <v>7.238085300382989E-2</v>
      </c>
      <c r="K32" s="7">
        <f t="shared" si="11"/>
        <v>5.3443957045995714E-3</v>
      </c>
      <c r="L32" s="13">
        <f t="shared" si="12"/>
        <v>6.7036457299230315E-2</v>
      </c>
      <c r="M32" s="16">
        <f t="shared" si="13"/>
        <v>5.1172868167351372E-2</v>
      </c>
      <c r="N32" s="2">
        <f t="shared" si="14"/>
        <v>2.3599999999999996E-12</v>
      </c>
      <c r="O32" s="16">
        <f t="shared" si="1"/>
        <v>1.4807972206299717E-4</v>
      </c>
      <c r="P32" s="8">
        <f t="shared" si="15"/>
        <v>2.2089431337639818E-3</v>
      </c>
      <c r="Q32" s="13">
        <f t="shared" si="2"/>
        <v>5.4306655286338011E-4</v>
      </c>
      <c r="R32" s="1">
        <f t="shared" si="3"/>
        <v>11.864567693089924</v>
      </c>
      <c r="S32" t="str">
        <f t="shared" si="4"/>
        <v>(0.738475795452596,11.8645676930899)</v>
      </c>
    </row>
    <row r="33" spans="1:29" x14ac:dyDescent="0.25">
      <c r="A33" s="12">
        <v>0.4</v>
      </c>
      <c r="B33" s="6">
        <f t="shared" si="5"/>
        <v>997.90498563589813</v>
      </c>
      <c r="C33" s="17">
        <v>975</v>
      </c>
      <c r="D33" s="3">
        <f>268.286*2/1000</f>
        <v>0.53657200000000005</v>
      </c>
      <c r="E33" s="3">
        <v>6.1159999999999997</v>
      </c>
      <c r="F33" s="6">
        <f t="shared" si="6"/>
        <v>11.398283920890391</v>
      </c>
      <c r="G33" s="14">
        <f t="shared" si="7"/>
        <v>0.51304940574304991</v>
      </c>
      <c r="H33" s="6">
        <f t="shared" si="8"/>
        <v>11.398283920890389</v>
      </c>
      <c r="I33" s="3">
        <f t="shared" si="9"/>
        <v>0.27574281335991513</v>
      </c>
      <c r="J33" s="16">
        <f t="shared" si="10"/>
        <v>0.13729432665451927</v>
      </c>
      <c r="K33" s="7">
        <f t="shared" si="11"/>
        <v>9.7589807314984265E-3</v>
      </c>
      <c r="L33" s="13">
        <f t="shared" si="12"/>
        <v>0.12753534592302085</v>
      </c>
      <c r="M33" s="16">
        <f t="shared" si="13"/>
        <v>9.7355225895435743E-2</v>
      </c>
      <c r="N33" s="2">
        <f t="shared" si="14"/>
        <v>2.3599999999999996E-12</v>
      </c>
      <c r="O33" s="16">
        <f t="shared" si="1"/>
        <v>2.7039673598545905E-4</v>
      </c>
      <c r="P33" s="8">
        <f t="shared" si="15"/>
        <v>2.120170953616796E-3</v>
      </c>
      <c r="Q33" s="13">
        <f t="shared" si="2"/>
        <v>5.4306655286338022E-4</v>
      </c>
      <c r="R33" s="1">
        <f t="shared" si="3"/>
        <v>11.420776771371884</v>
      </c>
      <c r="S33" t="str">
        <f t="shared" si="4"/>
        <v>(0.997904985635898,11.4207767713719)</v>
      </c>
    </row>
    <row r="34" spans="1:29" x14ac:dyDescent="0.25">
      <c r="A34" s="12">
        <v>0.5</v>
      </c>
      <c r="B34" s="6">
        <f t="shared" si="5"/>
        <v>1347.0738328008463</v>
      </c>
      <c r="C34" s="17">
        <v>975</v>
      </c>
      <c r="D34" s="3">
        <f>372.388*2/1000</f>
        <v>0.74477599999999999</v>
      </c>
      <c r="E34" s="3">
        <v>8.2560000000000002</v>
      </c>
      <c r="F34" s="6">
        <f t="shared" si="6"/>
        <v>11.085212198030012</v>
      </c>
      <c r="G34" s="14">
        <f t="shared" si="7"/>
        <v>0.51304940574304991</v>
      </c>
      <c r="H34" s="6">
        <f t="shared" si="8"/>
        <v>11.085212198030012</v>
      </c>
      <c r="I34" s="3">
        <f t="shared" si="9"/>
        <v>0.28353042049839622</v>
      </c>
      <c r="J34" s="16">
        <f t="shared" si="10"/>
        <v>0.25724827202514949</v>
      </c>
      <c r="K34" s="7">
        <f t="shared" si="11"/>
        <v>1.778315752796427E-2</v>
      </c>
      <c r="L34" s="13">
        <f t="shared" si="12"/>
        <v>0.23946511449718522</v>
      </c>
      <c r="M34" s="16">
        <f t="shared" si="13"/>
        <v>0.18279779732609555</v>
      </c>
      <c r="N34" s="2">
        <f t="shared" si="14"/>
        <v>2.3599999999999996E-12</v>
      </c>
      <c r="O34" s="16">
        <f t="shared" si="1"/>
        <v>4.9272643151724617E-4</v>
      </c>
      <c r="P34" s="8">
        <f t="shared" si="15"/>
        <v>2.0576125777311831E-3</v>
      </c>
      <c r="Q34" s="13">
        <f t="shared" si="2"/>
        <v>5.4306655286338011E-4</v>
      </c>
      <c r="R34" s="1">
        <f t="shared" si="3"/>
        <v>11.106485261621758</v>
      </c>
      <c r="S34" t="str">
        <f t="shared" si="4"/>
        <v>(1.34707383280085,11.1064852616218)</v>
      </c>
    </row>
    <row r="35" spans="1:29" x14ac:dyDescent="0.25">
      <c r="A35" s="75">
        <v>0.55000000000000004</v>
      </c>
      <c r="B35" s="6">
        <f t="shared" si="5"/>
        <v>1524.9215166371982</v>
      </c>
      <c r="C35" s="17">
        <v>975</v>
      </c>
      <c r="D35" s="3">
        <f>424.613*2/1000</f>
        <v>0.84922600000000004</v>
      </c>
      <c r="E35" s="3">
        <v>9.3460000000000001</v>
      </c>
      <c r="F35" s="6">
        <f t="shared" si="6"/>
        <v>11.005315428401863</v>
      </c>
      <c r="G35" s="14">
        <f t="shared" si="7"/>
        <v>0.51304940574304991</v>
      </c>
      <c r="H35" s="6">
        <f t="shared" si="8"/>
        <v>11.005315428401861</v>
      </c>
      <c r="I35" s="3">
        <f t="shared" si="9"/>
        <v>0.28558880445263263</v>
      </c>
      <c r="J35" s="16">
        <f t="shared" si="10"/>
        <v>0.33205205125326703</v>
      </c>
      <c r="K35" s="7">
        <f t="shared" si="11"/>
        <v>2.2788779192650318E-2</v>
      </c>
      <c r="L35" s="13">
        <f t="shared" si="12"/>
        <v>0.30926327206061671</v>
      </c>
      <c r="M35" s="16">
        <f t="shared" si="13"/>
        <v>0.23607883363405852</v>
      </c>
      <c r="N35" s="2">
        <f t="shared" si="14"/>
        <v>2.3599999999999996E-12</v>
      </c>
      <c r="O35" s="16">
        <f t="shared" si="1"/>
        <v>6.31419579597823E-4</v>
      </c>
      <c r="P35" s="8">
        <f t="shared" si="15"/>
        <v>2.0416895138911369E-3</v>
      </c>
      <c r="Q35" s="13">
        <f t="shared" si="2"/>
        <v>5.4306655286338022E-4</v>
      </c>
      <c r="R35" s="1">
        <f t="shared" si="3"/>
        <v>11.026282655475358</v>
      </c>
      <c r="S35" t="str">
        <f t="shared" si="4"/>
        <v>(1.5249215166372,11.0262826554754)</v>
      </c>
    </row>
    <row r="36" spans="1:29" x14ac:dyDescent="0.25">
      <c r="A36" s="75">
        <v>0.6</v>
      </c>
      <c r="B36" s="6">
        <f t="shared" si="5"/>
        <v>1682.2106608741187</v>
      </c>
      <c r="C36" s="17">
        <v>975</v>
      </c>
      <c r="D36" s="3">
        <f>468.57*2/1000</f>
        <v>0.93713999999999997</v>
      </c>
      <c r="E36" s="3">
        <v>10.31</v>
      </c>
      <c r="F36" s="6">
        <f t="shared" si="6"/>
        <v>11.001557931579061</v>
      </c>
      <c r="G36" s="14">
        <f t="shared" si="7"/>
        <v>0.51304940574304991</v>
      </c>
      <c r="H36" s="6">
        <f t="shared" si="8"/>
        <v>11.001557931579061</v>
      </c>
      <c r="I36" s="3">
        <f t="shared" ref="I36" si="16">(2*PI()*C36*10^3*G36*10^-6)/H36</f>
        <v>0.28568634509478824</v>
      </c>
      <c r="J36" s="16">
        <f t="shared" ref="J36" si="17">I36*(B36*10^-3)^2/2</f>
        <v>0.40422228172604391</v>
      </c>
      <c r="K36" s="7">
        <f t="shared" si="11"/>
        <v>2.7732360534073686E-2</v>
      </c>
      <c r="L36" s="13">
        <f t="shared" si="12"/>
        <v>0.37648992119197022</v>
      </c>
      <c r="M36" s="16">
        <f t="shared" si="13"/>
        <v>0.28739688640608407</v>
      </c>
      <c r="N36" s="2">
        <f t="shared" si="14"/>
        <v>2.3599999999999996E-12</v>
      </c>
      <c r="O36" s="16">
        <f t="shared" si="1"/>
        <v>7.6839374683693108E-4</v>
      </c>
      <c r="P36" s="8">
        <f t="shared" si="15"/>
        <v>2.0409410812491078E-3</v>
      </c>
      <c r="Q36" s="13">
        <f t="shared" si="2"/>
        <v>5.4306655286338033E-4</v>
      </c>
      <c r="R36" s="1">
        <f t="shared" si="3"/>
        <v>11.022510829969583</v>
      </c>
      <c r="S36" t="str">
        <f t="shared" si="4"/>
        <v>(1.68221066087412,11.0225108299696)</v>
      </c>
    </row>
    <row r="40" spans="1:29" ht="15.75" customHeight="1" x14ac:dyDescent="0.25">
      <c r="A40" s="10" t="s">
        <v>0</v>
      </c>
      <c r="B40" s="10">
        <v>1000</v>
      </c>
      <c r="C40" s="10" t="s">
        <v>15</v>
      </c>
      <c r="D40" s="10"/>
      <c r="E40" s="10"/>
      <c r="F40" s="99" t="s">
        <v>121</v>
      </c>
      <c r="G40" s="2"/>
      <c r="H40" s="2"/>
      <c r="I40" s="2"/>
      <c r="J40" s="81"/>
      <c r="K40" s="81"/>
      <c r="L40" s="81"/>
      <c r="M40" s="111">
        <v>44425</v>
      </c>
      <c r="N40" s="2"/>
    </row>
    <row r="41" spans="1:29" x14ac:dyDescent="0.25">
      <c r="A41" s="2" t="s">
        <v>2</v>
      </c>
      <c r="B41" s="2" t="s">
        <v>38</v>
      </c>
      <c r="C41" s="2"/>
      <c r="D41" s="2"/>
      <c r="E41" s="2"/>
      <c r="F41" s="2"/>
      <c r="G41" s="2"/>
      <c r="H41" s="2"/>
      <c r="I41" s="2"/>
      <c r="J41" s="81"/>
      <c r="K41" s="81"/>
      <c r="L41" s="81"/>
      <c r="M41" s="81"/>
      <c r="N41" s="2"/>
    </row>
    <row r="42" spans="1:29" x14ac:dyDescent="0.25">
      <c r="A42" t="s">
        <v>67</v>
      </c>
      <c r="B42" s="16">
        <v>0.49114999999999998</v>
      </c>
      <c r="C42" s="2" t="s">
        <v>14</v>
      </c>
      <c r="D42" s="2"/>
      <c r="E42" s="2"/>
      <c r="F42" s="2"/>
      <c r="G42" s="2"/>
      <c r="H42" s="3"/>
      <c r="I42" s="2"/>
      <c r="J42" s="2"/>
      <c r="K42" s="2"/>
      <c r="L42" s="2"/>
      <c r="N42" s="2"/>
    </row>
    <row r="43" spans="1:29" x14ac:dyDescent="0.25">
      <c r="A43" t="s">
        <v>68</v>
      </c>
      <c r="B43" s="16">
        <f>B42*10^-6*2*PI()*B40*10^3</f>
        <v>3.0859864636212531</v>
      </c>
      <c r="C43" s="2"/>
      <c r="D43" s="2"/>
      <c r="F43" s="2"/>
      <c r="G43" s="2"/>
      <c r="H43" s="2"/>
      <c r="I43" s="2"/>
      <c r="J43" s="2"/>
      <c r="K43" s="2"/>
      <c r="L43" s="2"/>
      <c r="N43" s="2"/>
    </row>
    <row r="44" spans="1:29" s="80" customFormat="1" ht="15.75" customHeight="1" x14ac:dyDescent="0.25">
      <c r="A44" s="2" t="s">
        <v>19</v>
      </c>
      <c r="B44" s="3">
        <f>9.8341+9.875+22.053+5.0251+5.1492</f>
        <v>51.936400000000006</v>
      </c>
      <c r="C44" s="2" t="s">
        <v>16</v>
      </c>
      <c r="D44" s="2" t="s">
        <v>24</v>
      </c>
      <c r="E44" s="6">
        <f>205.07+200.73+57.2742+21.973+14.971+14.992</f>
        <v>515.01019999999994</v>
      </c>
      <c r="F44" s="2" t="s">
        <v>16</v>
      </c>
      <c r="G44" s="19"/>
      <c r="H44" s="16"/>
      <c r="I44" s="2"/>
      <c r="J44" s="2"/>
      <c r="K44" s="2"/>
      <c r="L44" s="2"/>
      <c r="M44"/>
      <c r="N44" s="2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x14ac:dyDescent="0.25">
      <c r="A45" s="2" t="s">
        <v>20</v>
      </c>
      <c r="B45" s="13">
        <f>1/(2*PI()*$B$40*10^3*B44*10^-9)</f>
        <v>3.0644200039258656</v>
      </c>
      <c r="C45" s="2"/>
      <c r="D45" s="2" t="s">
        <v>25</v>
      </c>
      <c r="E45" s="13">
        <f>1/(2*PI()*$B$40*10^3*E44*10^-9)</f>
        <v>0.30903260380453701</v>
      </c>
      <c r="F45" s="2"/>
      <c r="G45" s="2"/>
      <c r="H45" s="2"/>
      <c r="I45" s="2"/>
      <c r="J45" s="2"/>
      <c r="K45" s="2"/>
      <c r="L45" s="2"/>
      <c r="N45" s="2"/>
    </row>
    <row r="46" spans="1:29" x14ac:dyDescent="0.25">
      <c r="A46" s="2" t="s">
        <v>29</v>
      </c>
      <c r="B46" s="3">
        <f>(1/(2*PI()*SQRT(B44*10^-9*B42*10^-6)))/10^3</f>
        <v>996.49961664350599</v>
      </c>
      <c r="C46" s="2" t="s">
        <v>15</v>
      </c>
      <c r="D46" s="2"/>
      <c r="E46" s="2"/>
      <c r="F46" s="2"/>
      <c r="G46" s="2"/>
      <c r="H46" s="2"/>
      <c r="I46" s="2"/>
      <c r="J46" s="2"/>
      <c r="K46" s="2"/>
      <c r="L46" s="2"/>
      <c r="N46" s="2"/>
    </row>
    <row r="47" spans="1:29" x14ac:dyDescent="0.25">
      <c r="A47" s="2" t="s">
        <v>30</v>
      </c>
      <c r="B47" s="3">
        <f>1310*0.1^3</f>
        <v>1.3100000000000003</v>
      </c>
      <c r="C47" s="15" t="s">
        <v>32</v>
      </c>
      <c r="D47" s="2"/>
      <c r="E47" s="2"/>
      <c r="F47" s="2"/>
      <c r="G47" s="2"/>
      <c r="H47" s="2"/>
      <c r="I47" s="2"/>
      <c r="J47" s="2"/>
      <c r="K47" s="2"/>
      <c r="L47" s="2"/>
      <c r="N47" s="2"/>
    </row>
    <row r="48" spans="1:29" x14ac:dyDescent="0.25">
      <c r="A48" s="2"/>
      <c r="B48" s="2"/>
      <c r="C48" s="2"/>
      <c r="D48" s="2"/>
      <c r="E48" s="2"/>
      <c r="F48" s="2"/>
      <c r="G48" s="2"/>
      <c r="H48" s="2"/>
      <c r="I48" s="2"/>
      <c r="J48" s="5"/>
      <c r="V48" s="167" t="s">
        <v>137</v>
      </c>
      <c r="W48" s="167"/>
      <c r="X48" s="168"/>
      <c r="Y48" s="115" t="s">
        <v>125</v>
      </c>
      <c r="Z48" s="115"/>
      <c r="AA48" s="115"/>
      <c r="AB48" s="115"/>
    </row>
    <row r="49" spans="1:29" x14ac:dyDescent="0.25">
      <c r="A49" s="5" t="s">
        <v>13</v>
      </c>
      <c r="B49" s="5" t="s">
        <v>4</v>
      </c>
      <c r="C49" s="5" t="s">
        <v>27</v>
      </c>
      <c r="D49" s="5" t="s">
        <v>26</v>
      </c>
      <c r="E49" s="5" t="s">
        <v>5</v>
      </c>
      <c r="F49" s="5" t="s">
        <v>6</v>
      </c>
      <c r="G49" s="5" t="s">
        <v>7</v>
      </c>
      <c r="H49" s="5" t="s">
        <v>8</v>
      </c>
      <c r="I49" s="5" t="s">
        <v>9</v>
      </c>
      <c r="J49" s="5" t="s">
        <v>28</v>
      </c>
      <c r="K49" s="5" t="s">
        <v>31</v>
      </c>
      <c r="L49" s="5" t="s">
        <v>35</v>
      </c>
      <c r="M49" s="5" t="s">
        <v>33</v>
      </c>
      <c r="N49" s="5" t="s">
        <v>34</v>
      </c>
      <c r="O49" s="5" t="s">
        <v>36</v>
      </c>
      <c r="P49" s="5" t="s">
        <v>10</v>
      </c>
      <c r="Q49" s="5" t="s">
        <v>37</v>
      </c>
      <c r="U49" s="126" t="s">
        <v>126</v>
      </c>
      <c r="V49" s="4" t="s">
        <v>91</v>
      </c>
      <c r="W49" s="4" t="str">
        <f>I49</f>
        <v>R eff</v>
      </c>
      <c r="X49" s="4" t="str">
        <f>J49</f>
        <v>P loss Eff (W)</v>
      </c>
      <c r="Y49" s="4" t="s">
        <v>91</v>
      </c>
      <c r="Z49" s="4" t="str">
        <f>I90</f>
        <v>R eff</v>
      </c>
      <c r="AA49" s="4" t="str">
        <f>J90</f>
        <v>P loss Eff (W)</v>
      </c>
      <c r="AB49" s="4" t="s">
        <v>139</v>
      </c>
    </row>
    <row r="50" spans="1:29" x14ac:dyDescent="0.25">
      <c r="A50" s="12">
        <v>0</v>
      </c>
      <c r="B50" s="6">
        <f t="shared" ref="B50:B57" si="18">0.5*E50/($B$45*10^-3)</f>
        <v>257.63439704366959</v>
      </c>
      <c r="C50" s="17">
        <v>974</v>
      </c>
      <c r="D50" s="3">
        <v>0.20499999999999999</v>
      </c>
      <c r="E50" s="3">
        <v>1.579</v>
      </c>
      <c r="F50" s="6">
        <f t="shared" ref="F50:F57" si="19">E50/D50</f>
        <v>7.7024390243902445</v>
      </c>
      <c r="G50" s="14">
        <f t="shared" ref="G50:G57" si="20">1/($B$44*10^-9*(2*PI()*C50*10^3)^2*10^-6)</f>
        <v>0.5141034360882818</v>
      </c>
      <c r="H50" s="6">
        <f t="shared" ref="H50:H57" si="21">(2*PI()*C50*10^3*G50*10^-6)/((D50/E50)*(1/(2*PI()*C50*10^3*$B$44*10^-9)))</f>
        <v>7.7024390243902436</v>
      </c>
      <c r="I50" s="3">
        <f t="shared" ref="I50:I57" si="22">(2*PI()*C50*10^3*G50*10^-6)/H50</f>
        <v>0.40847084410298051</v>
      </c>
      <c r="J50" s="3">
        <f t="shared" ref="J50:J57" si="23">I50*(B50*10^-3)^2/2</f>
        <v>1.3556224690439492E-2</v>
      </c>
      <c r="K50" s="16">
        <f t="shared" ref="K50:K57" si="24">J50/(B$115)</f>
        <v>1.0348263122472893E-2</v>
      </c>
      <c r="L50" s="2">
        <f xml:space="preserve"> (4*8.85*10^-12*0.01*0.01)/0.0015</f>
        <v>2.3599999999999996E-12</v>
      </c>
      <c r="M50" s="16">
        <f t="shared" ref="M50:M56" si="25">0.5*2*PI()*C50*10^3*L50*E50^2</f>
        <v>1.8004666964477844E-5</v>
      </c>
      <c r="N50" s="8">
        <f>M50/J50</f>
        <v>1.3281475761592835E-3</v>
      </c>
      <c r="O50" s="13">
        <f>2*M50/((B50*10^-3)^2)</f>
        <v>5.4250956152711012E-4</v>
      </c>
      <c r="P50" s="1">
        <f t="shared" ref="P50:P56" si="26">2*PI()*C50*10^3*G50*10^-6/(I50-O50)</f>
        <v>7.7126826050978901</v>
      </c>
      <c r="Q50" t="str">
        <f t="shared" ref="Q50:Q56" si="27">_xlfn.CONCAT("(",B50/1000,",",P50,")")</f>
        <v>(0.25763439704367,7.71268260509789)</v>
      </c>
      <c r="U50" s="127">
        <v>0.4</v>
      </c>
      <c r="V50" s="14">
        <f>B52*10^-3</f>
        <v>0.37250115798017586</v>
      </c>
      <c r="W50" s="14">
        <f>I52</f>
        <v>0.40799175485524675</v>
      </c>
      <c r="X50" s="14">
        <f>J52</f>
        <v>2.8305878953860809E-2</v>
      </c>
      <c r="Y50" s="14">
        <f>B119*10^-3</f>
        <v>0.42569425829835073</v>
      </c>
      <c r="Z50" s="114">
        <f>I119</f>
        <v>0.63201402128290374</v>
      </c>
      <c r="AA50" s="114">
        <f>J119</f>
        <v>5.7265400526833751E-2</v>
      </c>
      <c r="AB50" s="12">
        <f>ABS((X50-AA50)/AA50)</f>
        <v>0.50570713391593103</v>
      </c>
      <c r="AC50" s="12"/>
    </row>
    <row r="51" spans="1:29" x14ac:dyDescent="0.25">
      <c r="A51" s="12">
        <v>0.05</v>
      </c>
      <c r="B51" s="6">
        <f t="shared" si="18"/>
        <v>291.73546669669491</v>
      </c>
      <c r="C51" s="17">
        <v>975</v>
      </c>
      <c r="D51" s="3">
        <v>0.23400000000000001</v>
      </c>
      <c r="E51" s="3">
        <v>1.788</v>
      </c>
      <c r="F51" s="6">
        <f t="shared" si="19"/>
        <v>7.6410256410256405</v>
      </c>
      <c r="G51" s="14">
        <f t="shared" si="20"/>
        <v>0.51304940574304991</v>
      </c>
      <c r="H51" s="6">
        <f t="shared" si="21"/>
        <v>7.6410256410256405</v>
      </c>
      <c r="I51" s="3">
        <f t="shared" si="22"/>
        <v>0.41133154415112289</v>
      </c>
      <c r="J51" s="3">
        <f t="shared" si="23"/>
        <v>1.7504128001801695E-2</v>
      </c>
      <c r="K51" s="16">
        <f t="shared" si="24"/>
        <v>1.3361929772367703E-2</v>
      </c>
      <c r="L51" s="2">
        <f t="shared" ref="L51:L57" si="28" xml:space="preserve"> (4*8.85*10^-12*0.01*0.01)/0.0015</f>
        <v>2.3599999999999996E-12</v>
      </c>
      <c r="M51" s="16">
        <f t="shared" si="25"/>
        <v>2.3110083799761662E-5</v>
      </c>
      <c r="N51" s="8">
        <f t="shared" ref="N51:N56" si="29">M51/J51</f>
        <v>1.3202647853913631E-3</v>
      </c>
      <c r="O51" s="13">
        <f t="shared" ref="O51:O57" si="30">2*M51/((B51*10^-3)^2)</f>
        <v>5.4306655286338022E-4</v>
      </c>
      <c r="P51" s="1">
        <f t="shared" si="26"/>
        <v>7.6511271547766437</v>
      </c>
      <c r="Q51" t="str">
        <f t="shared" si="27"/>
        <v>(0.291735466696695,7.65112715477664)</v>
      </c>
      <c r="U51" s="127">
        <v>0.6</v>
      </c>
      <c r="V51" s="14">
        <f>B53*10^-3</f>
        <v>0.59309755114232987</v>
      </c>
      <c r="W51" s="14">
        <f>I53</f>
        <v>0.40475910382634994</v>
      </c>
      <c r="X51" s="14">
        <f>J53</f>
        <v>7.1189983411382871E-2</v>
      </c>
      <c r="Y51" s="14">
        <f>B120*10^-3</f>
        <v>0.55410336011113004</v>
      </c>
      <c r="Z51" s="114">
        <f>I120</f>
        <v>0.61957601099481463</v>
      </c>
      <c r="AA51" s="114">
        <f>J120</f>
        <v>9.5114376657528227E-2</v>
      </c>
      <c r="AB51" s="12">
        <f>ABS((X51-AA51)/AA51)</f>
        <v>0.25153288164089294</v>
      </c>
      <c r="AC51" s="12"/>
    </row>
    <row r="52" spans="1:29" x14ac:dyDescent="0.25">
      <c r="A52" s="12">
        <v>0.15</v>
      </c>
      <c r="B52" s="6">
        <f t="shared" si="18"/>
        <v>372.50115798017583</v>
      </c>
      <c r="C52" s="17">
        <v>973.5</v>
      </c>
      <c r="D52" s="3">
        <v>0.2959</v>
      </c>
      <c r="E52" s="3">
        <v>2.2829999999999999</v>
      </c>
      <c r="F52" s="6">
        <f t="shared" si="19"/>
        <v>7.7154444068942212</v>
      </c>
      <c r="G52" s="14">
        <f t="shared" si="20"/>
        <v>0.51463166974066665</v>
      </c>
      <c r="H52" s="6">
        <f t="shared" si="21"/>
        <v>7.7154444068942212</v>
      </c>
      <c r="I52" s="3">
        <f t="shared" si="22"/>
        <v>0.40799175485524675</v>
      </c>
      <c r="J52" s="3">
        <f t="shared" si="23"/>
        <v>2.8305878953860809E-2</v>
      </c>
      <c r="K52" s="16">
        <f t="shared" si="24"/>
        <v>2.1607541186153285E-2</v>
      </c>
      <c r="L52" s="2">
        <f t="shared" si="28"/>
        <v>2.3599999999999996E-12</v>
      </c>
      <c r="M52" s="16">
        <f t="shared" si="25"/>
        <v>3.7619208556488059E-5</v>
      </c>
      <c r="N52" s="8">
        <f t="shared" si="29"/>
        <v>1.3290245682816696E-3</v>
      </c>
      <c r="O52" s="13">
        <f t="shared" si="30"/>
        <v>5.4223106585897507E-4</v>
      </c>
      <c r="P52" s="1">
        <f t="shared" si="26"/>
        <v>7.7257120680401172</v>
      </c>
      <c r="Q52" t="str">
        <f t="shared" si="27"/>
        <v>(0.372501157980176,7.72571206804012)</v>
      </c>
      <c r="U52" s="127">
        <v>1.3</v>
      </c>
      <c r="V52" s="14">
        <f>B56*10^-3</f>
        <v>1.3080778727670037</v>
      </c>
      <c r="W52" s="14">
        <f>I56</f>
        <v>0.39673090481611073</v>
      </c>
      <c r="X52" s="14">
        <f>J56</f>
        <v>0.33941672262115125</v>
      </c>
      <c r="Y52" s="14">
        <f>B122*10^-3</f>
        <v>1.2377461838467714</v>
      </c>
      <c r="Z52" s="114">
        <f>I122</f>
        <v>0.62360619088467639</v>
      </c>
      <c r="AA52" s="114">
        <f>J122</f>
        <v>0.47768721121857455</v>
      </c>
      <c r="AB52" s="12">
        <f>ABS((X52-AA52)/AA52)</f>
        <v>0.28945821732320798</v>
      </c>
      <c r="AC52" s="12"/>
    </row>
    <row r="53" spans="1:29" x14ac:dyDescent="0.25">
      <c r="A53" s="12">
        <v>0.3</v>
      </c>
      <c r="B53" s="6">
        <f t="shared" si="18"/>
        <v>593.09755114232985</v>
      </c>
      <c r="C53" s="17">
        <v>973.5</v>
      </c>
      <c r="D53" s="3">
        <v>0.46739999999999998</v>
      </c>
      <c r="E53" s="3">
        <v>3.6349999999999998</v>
      </c>
      <c r="F53" s="6">
        <f t="shared" si="19"/>
        <v>7.7770646127513903</v>
      </c>
      <c r="G53" s="14">
        <f t="shared" si="20"/>
        <v>0.51463166974066665</v>
      </c>
      <c r="H53" s="6">
        <f t="shared" si="21"/>
        <v>7.7770646127513903</v>
      </c>
      <c r="I53" s="3">
        <f t="shared" si="22"/>
        <v>0.40475910382634994</v>
      </c>
      <c r="J53" s="3">
        <f t="shared" si="23"/>
        <v>7.1189983411382871E-2</v>
      </c>
      <c r="K53" s="16">
        <f t="shared" si="24"/>
        <v>5.4343498787315155E-2</v>
      </c>
      <c r="L53" s="2">
        <f t="shared" si="28"/>
        <v>2.3599999999999996E-12</v>
      </c>
      <c r="M53" s="16">
        <f t="shared" si="25"/>
        <v>9.5368875508227479E-5</v>
      </c>
      <c r="N53" s="8">
        <f t="shared" si="29"/>
        <v>1.3396389623681038E-3</v>
      </c>
      <c r="O53" s="13">
        <f t="shared" si="30"/>
        <v>5.4223106585897507E-4</v>
      </c>
      <c r="P53" s="1">
        <f t="shared" si="26"/>
        <v>7.7874970472151661</v>
      </c>
      <c r="Q53" t="str">
        <f t="shared" si="27"/>
        <v>(0.59309755114233,7.78749704721517)</v>
      </c>
      <c r="U53" s="127">
        <v>1.5</v>
      </c>
      <c r="V53" s="14">
        <f>B57*10^-3</f>
        <v>1.4865782086541317</v>
      </c>
      <c r="W53" s="14">
        <f>I57</f>
        <v>0.4021044238739373</v>
      </c>
      <c r="X53" s="14">
        <f>J57</f>
        <v>0.4443082527902113</v>
      </c>
      <c r="Y53" s="14">
        <f>B123*10^-3</f>
        <v>1.4586188818592452</v>
      </c>
      <c r="Z53" s="114">
        <f>I123</f>
        <v>0.59825908883902268</v>
      </c>
      <c r="AA53" s="114">
        <f>J123</f>
        <v>0.63641875840896123</v>
      </c>
      <c r="AB53" s="12">
        <f>ABS((X53-AA53)/AA53)</f>
        <v>0.30186179002489449</v>
      </c>
      <c r="AC53" s="12"/>
    </row>
    <row r="54" spans="1:29" x14ac:dyDescent="0.25">
      <c r="A54" s="12">
        <v>0.4</v>
      </c>
      <c r="B54" s="6">
        <f t="shared" si="18"/>
        <v>822.17842096456684</v>
      </c>
      <c r="C54" s="17">
        <v>973.5</v>
      </c>
      <c r="D54" s="3">
        <v>0.64690000000000003</v>
      </c>
      <c r="E54" s="3">
        <v>5.0389999999999997</v>
      </c>
      <c r="F54" s="6">
        <f t="shared" si="19"/>
        <v>7.7894574122739213</v>
      </c>
      <c r="G54" s="14">
        <f t="shared" si="20"/>
        <v>0.51463166974066665</v>
      </c>
      <c r="H54" s="6">
        <f t="shared" si="21"/>
        <v>7.7894574122739195</v>
      </c>
      <c r="I54" s="3">
        <f t="shared" si="22"/>
        <v>0.40411514389908532</v>
      </c>
      <c r="J54" s="3">
        <f t="shared" si="23"/>
        <v>0.13658634322598312</v>
      </c>
      <c r="K54" s="16">
        <f t="shared" si="24"/>
        <v>0.10426438414197182</v>
      </c>
      <c r="L54" s="2">
        <f t="shared" si="28"/>
        <v>2.3599999999999996E-12</v>
      </c>
      <c r="M54" s="16">
        <f t="shared" si="25"/>
        <v>1.83267961093037E-4</v>
      </c>
      <c r="N54" s="8">
        <f t="shared" si="29"/>
        <v>1.3417736851613253E-3</v>
      </c>
      <c r="O54" s="13">
        <f>2*M54/((B54*10^-3)^2)</f>
        <v>5.4223106585897507E-4</v>
      </c>
      <c r="P54" s="1">
        <f t="shared" si="26"/>
        <v>7.799923143894679</v>
      </c>
      <c r="Q54" t="str">
        <f t="shared" si="27"/>
        <v>(0.822178420964567,7.79992314389468)</v>
      </c>
      <c r="U54" s="129"/>
      <c r="V54" s="80"/>
      <c r="W54" s="130"/>
      <c r="X54" s="130"/>
      <c r="Y54" s="80"/>
      <c r="Z54" s="131"/>
      <c r="AA54" s="131"/>
      <c r="AB54" s="132"/>
      <c r="AC54" s="12"/>
    </row>
    <row r="55" spans="1:29" x14ac:dyDescent="0.25">
      <c r="A55" s="12">
        <v>0.5</v>
      </c>
      <c r="B55" s="6">
        <f t="shared" si="18"/>
        <v>1137.5725245018775</v>
      </c>
      <c r="C55" s="17">
        <v>975.2</v>
      </c>
      <c r="D55" s="3">
        <v>0.89490000000000003</v>
      </c>
      <c r="E55" s="3">
        <v>6.9720000000000004</v>
      </c>
      <c r="F55" s="6">
        <f t="shared" si="19"/>
        <v>7.7908146161582303</v>
      </c>
      <c r="G55" s="14">
        <f t="shared" si="20"/>
        <v>0.51283898868148992</v>
      </c>
      <c r="H55" s="6">
        <f t="shared" si="21"/>
        <v>7.7908146161582295</v>
      </c>
      <c r="I55" s="3">
        <f t="shared" si="22"/>
        <v>0.40334040096770191</v>
      </c>
      <c r="J55" s="3">
        <f t="shared" si="23"/>
        <v>0.26097560812569986</v>
      </c>
      <c r="K55" s="16">
        <f t="shared" si="24"/>
        <v>0.19921802146999987</v>
      </c>
      <c r="L55" s="2">
        <f t="shared" si="28"/>
        <v>2.3599999999999996E-12</v>
      </c>
      <c r="M55" s="16">
        <f t="shared" si="25"/>
        <v>3.5145548468907363E-4</v>
      </c>
      <c r="N55" s="8">
        <f t="shared" si="29"/>
        <v>1.3466985946050322E-3</v>
      </c>
      <c r="O55" s="13">
        <f t="shared" si="30"/>
        <v>5.4317795113063437E-4</v>
      </c>
      <c r="P55" s="1">
        <f t="shared" si="26"/>
        <v>7.8013206437051705</v>
      </c>
      <c r="Q55" t="str">
        <f t="shared" si="27"/>
        <v>(1.13757252450188,7.80132064370517)</v>
      </c>
      <c r="V55" s="14"/>
      <c r="W55" s="14"/>
      <c r="X55" s="14"/>
      <c r="Y55" s="114"/>
      <c r="Z55" s="114"/>
      <c r="AA55" s="114"/>
      <c r="AB55" s="12"/>
      <c r="AC55" s="12"/>
    </row>
    <row r="56" spans="1:29" x14ac:dyDescent="0.25">
      <c r="A56" s="75">
        <v>0.55000000000000004</v>
      </c>
      <c r="B56" s="6">
        <f t="shared" si="18"/>
        <v>1308.0778727670038</v>
      </c>
      <c r="C56" s="17">
        <v>976</v>
      </c>
      <c r="D56" s="3">
        <v>1.0129999999999999</v>
      </c>
      <c r="E56" s="3">
        <v>8.0169999999999995</v>
      </c>
      <c r="F56" s="6">
        <f t="shared" si="19"/>
        <v>7.9141164856860815</v>
      </c>
      <c r="G56" s="14">
        <f t="shared" si="20"/>
        <v>0.51199861358514887</v>
      </c>
      <c r="H56" s="6">
        <f t="shared" si="21"/>
        <v>7.9141164856860806</v>
      </c>
      <c r="I56" s="3">
        <f t="shared" si="22"/>
        <v>0.39673090481611073</v>
      </c>
      <c r="J56" s="3">
        <f t="shared" si="23"/>
        <v>0.33941672262115125</v>
      </c>
      <c r="K56" s="16">
        <f t="shared" si="24"/>
        <v>0.25909673482530626</v>
      </c>
      <c r="L56" s="2">
        <f t="shared" si="28"/>
        <v>2.3599999999999996E-12</v>
      </c>
      <c r="M56" s="16">
        <f t="shared" si="25"/>
        <v>4.6508834948833801E-4</v>
      </c>
      <c r="N56" s="8">
        <f t="shared" si="29"/>
        <v>1.3702576169396887E-3</v>
      </c>
      <c r="O56" s="13">
        <f t="shared" si="30"/>
        <v>5.4362354419965032E-4</v>
      </c>
      <c r="P56" s="1">
        <f t="shared" si="26"/>
        <v>7.9249757440634454</v>
      </c>
      <c r="Q56" t="str">
        <f t="shared" si="27"/>
        <v>(1.308077872767,7.92497574406345)</v>
      </c>
      <c r="V56" s="14"/>
      <c r="W56" s="14"/>
      <c r="X56" s="14"/>
      <c r="AB56" s="12"/>
      <c r="AC56" s="12"/>
    </row>
    <row r="57" spans="1:29" x14ac:dyDescent="0.25">
      <c r="A57" s="75">
        <v>0.6</v>
      </c>
      <c r="B57" s="6">
        <f t="shared" si="18"/>
        <v>1486.5782086541317</v>
      </c>
      <c r="C57" s="17">
        <v>982</v>
      </c>
      <c r="D57">
        <v>1.1739999999999999</v>
      </c>
      <c r="E57" s="3">
        <v>9.1110000000000007</v>
      </c>
      <c r="F57" s="6">
        <f t="shared" si="19"/>
        <v>7.7606473594548566</v>
      </c>
      <c r="G57" s="14">
        <f t="shared" si="20"/>
        <v>0.50576112523849526</v>
      </c>
      <c r="H57" s="6">
        <f t="shared" si="21"/>
        <v>7.7606473594548566</v>
      </c>
      <c r="I57" s="3">
        <f t="shared" si="22"/>
        <v>0.4021044238739373</v>
      </c>
      <c r="J57" s="3">
        <f t="shared" si="23"/>
        <v>0.4443082527902113</v>
      </c>
      <c r="K57" s="16">
        <f t="shared" si="24"/>
        <v>0.33916660518336733</v>
      </c>
      <c r="L57" s="2">
        <f t="shared" si="28"/>
        <v>2.3599999999999996E-12</v>
      </c>
      <c r="M57" s="16">
        <f>0.5*2*PI()*C57*10^3*L57*E57^2</f>
        <v>6.0437356008742312E-4</v>
      </c>
      <c r="N57" s="8">
        <f>M57/J57</f>
        <v>1.3602573355142916E-3</v>
      </c>
      <c r="O57" s="13">
        <f t="shared" si="30"/>
        <v>5.4696549221727123E-4</v>
      </c>
      <c r="P57" s="1">
        <f>2*PI()*C57*10^3*G57*10^-6/(I57-O57)</f>
        <v>7.7712182160391068</v>
      </c>
      <c r="Q57" t="str">
        <f>_xlfn.CONCAT("(",B57/1000,",",P57,")")</f>
        <v>(1.48657820865413,7.77121821603911)</v>
      </c>
      <c r="V57" s="14"/>
      <c r="W57" s="14"/>
      <c r="X57" s="14"/>
      <c r="Y57" s="114"/>
      <c r="Z57" s="114"/>
      <c r="AA57" s="114"/>
      <c r="AB57" s="12"/>
      <c r="AC57" s="12"/>
    </row>
    <row r="58" spans="1:29" x14ac:dyDescent="0.25">
      <c r="C58" s="2"/>
      <c r="G58" s="14"/>
      <c r="H58" s="6"/>
      <c r="I58" s="3"/>
    </row>
    <row r="59" spans="1:29" x14ac:dyDescent="0.25">
      <c r="C59" s="2"/>
      <c r="G59" s="14"/>
      <c r="H59" s="6"/>
      <c r="I59" s="3"/>
    </row>
    <row r="60" spans="1:29" x14ac:dyDescent="0.25">
      <c r="A60" s="148" t="s">
        <v>99</v>
      </c>
      <c r="B60" s="148"/>
      <c r="C60" s="148"/>
      <c r="D60" s="53"/>
      <c r="E60" s="53"/>
      <c r="F60" s="53"/>
      <c r="G60" s="53"/>
      <c r="H60" s="53"/>
      <c r="I60" s="53"/>
      <c r="J60" s="84"/>
      <c r="K60" s="84"/>
      <c r="L60" s="53"/>
      <c r="M60" s="53"/>
      <c r="N60" s="53"/>
      <c r="O60" s="53"/>
      <c r="P60" s="53"/>
      <c r="Q60" s="53"/>
      <c r="R60" s="53"/>
    </row>
    <row r="61" spans="1:29" x14ac:dyDescent="0.25">
      <c r="A61" s="77"/>
      <c r="B61" s="77"/>
      <c r="C61" s="77"/>
      <c r="D61" s="78"/>
      <c r="E61" s="78"/>
      <c r="F61" s="78"/>
      <c r="G61" s="78"/>
      <c r="H61" s="78"/>
      <c r="I61" s="78"/>
      <c r="J61" s="79"/>
      <c r="K61" s="79"/>
      <c r="L61" s="78"/>
      <c r="M61" s="78"/>
      <c r="N61" s="78"/>
      <c r="O61" s="78"/>
      <c r="P61" s="78"/>
      <c r="Q61" s="78"/>
      <c r="R61" s="78"/>
    </row>
    <row r="62" spans="1:29" ht="31.5" x14ac:dyDescent="0.25">
      <c r="A62" s="82" t="s">
        <v>110</v>
      </c>
      <c r="B62" s="83" t="s">
        <v>128</v>
      </c>
      <c r="C62" s="74"/>
      <c r="D62" s="82" t="s">
        <v>127</v>
      </c>
      <c r="E62" s="83" t="s">
        <v>131</v>
      </c>
      <c r="F62" s="74"/>
      <c r="G62" s="82" t="s">
        <v>129</v>
      </c>
      <c r="H62" s="83" t="s">
        <v>132</v>
      </c>
      <c r="I62" s="69"/>
      <c r="J62" s="69"/>
      <c r="K62" s="69"/>
      <c r="L62" s="69"/>
      <c r="M62" s="69"/>
      <c r="N62" s="69"/>
      <c r="O62" s="53"/>
      <c r="P62" s="53"/>
      <c r="Q62" s="53"/>
      <c r="R62" s="53"/>
    </row>
    <row r="63" spans="1:29" x14ac:dyDescent="0.25">
      <c r="A63" s="82"/>
      <c r="B63" s="83"/>
      <c r="C63" s="56"/>
      <c r="D63" s="82"/>
      <c r="E63" s="83"/>
      <c r="F63" s="56"/>
      <c r="G63" s="82"/>
      <c r="H63" s="83"/>
      <c r="I63" s="56"/>
      <c r="J63" s="53"/>
      <c r="K63" s="53"/>
      <c r="L63" s="53"/>
      <c r="M63" s="53"/>
      <c r="N63" s="53"/>
      <c r="O63" s="53"/>
      <c r="P63" s="53"/>
      <c r="Q63" s="53"/>
      <c r="R63" s="53"/>
    </row>
    <row r="64" spans="1:29" x14ac:dyDescent="0.25">
      <c r="A64" s="48" t="s">
        <v>100</v>
      </c>
      <c r="B64" s="49" t="s">
        <v>101</v>
      </c>
      <c r="C64" s="57"/>
      <c r="D64" s="48" t="s">
        <v>100</v>
      </c>
      <c r="E64" s="49" t="s">
        <v>101</v>
      </c>
      <c r="F64" s="56"/>
      <c r="G64" s="48" t="s">
        <v>100</v>
      </c>
      <c r="H64" s="49" t="s">
        <v>101</v>
      </c>
      <c r="I64" s="56"/>
      <c r="J64" s="53"/>
      <c r="K64" s="53"/>
      <c r="L64" s="53"/>
      <c r="M64" s="53"/>
      <c r="N64" s="53"/>
      <c r="O64" s="53"/>
      <c r="P64" s="53"/>
      <c r="Q64" s="53"/>
      <c r="R64" s="53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</row>
    <row r="65" spans="1:18" x14ac:dyDescent="0.25">
      <c r="A65" s="50">
        <v>0</v>
      </c>
      <c r="B65" s="51">
        <v>24</v>
      </c>
      <c r="C65" s="56"/>
      <c r="D65" s="50">
        <v>0</v>
      </c>
      <c r="E65" s="51">
        <v>24</v>
      </c>
      <c r="F65" s="56"/>
      <c r="G65" s="50">
        <v>0</v>
      </c>
      <c r="H65" s="51">
        <v>25</v>
      </c>
      <c r="I65" s="56"/>
      <c r="J65" s="53"/>
      <c r="K65" s="53"/>
      <c r="L65" s="53"/>
      <c r="M65" s="53"/>
      <c r="N65" s="53"/>
      <c r="O65" s="53"/>
      <c r="P65" s="53"/>
      <c r="Q65" s="53"/>
      <c r="R65" s="53"/>
    </row>
    <row r="66" spans="1:18" x14ac:dyDescent="0.25">
      <c r="A66" s="50">
        <v>5</v>
      </c>
      <c r="B66" s="51"/>
      <c r="C66" s="60"/>
      <c r="D66" s="50">
        <v>5</v>
      </c>
      <c r="E66" s="51"/>
      <c r="F66" s="56"/>
      <c r="G66" s="50">
        <v>5</v>
      </c>
      <c r="H66" s="51"/>
      <c r="I66" s="56"/>
      <c r="J66" s="53"/>
      <c r="K66" s="53"/>
      <c r="L66" s="53"/>
      <c r="M66" s="53"/>
      <c r="N66" s="53"/>
      <c r="O66" s="53"/>
      <c r="P66" s="53"/>
      <c r="Q66" s="53"/>
      <c r="R66" s="53"/>
    </row>
    <row r="67" spans="1:18" x14ac:dyDescent="0.25">
      <c r="A67" s="50">
        <v>10</v>
      </c>
      <c r="B67" s="51">
        <v>28.4</v>
      </c>
      <c r="C67" s="56"/>
      <c r="D67" s="50">
        <v>10</v>
      </c>
      <c r="E67" s="51">
        <v>34.299999999999997</v>
      </c>
      <c r="F67" s="56"/>
      <c r="G67" s="50">
        <v>10</v>
      </c>
      <c r="H67" s="51">
        <v>25.6</v>
      </c>
      <c r="I67" s="56"/>
      <c r="J67" s="53"/>
      <c r="K67" s="53"/>
      <c r="L67" s="53"/>
      <c r="M67" s="53"/>
      <c r="N67" s="53"/>
      <c r="O67" s="53"/>
      <c r="P67" s="53"/>
      <c r="Q67" s="53"/>
      <c r="R67" s="53"/>
    </row>
    <row r="68" spans="1:18" x14ac:dyDescent="0.25">
      <c r="A68" s="50">
        <v>15</v>
      </c>
      <c r="B68" s="51">
        <v>29.4</v>
      </c>
      <c r="C68" s="56"/>
      <c r="D68" s="50">
        <v>15</v>
      </c>
      <c r="E68" s="51">
        <v>35.200000000000003</v>
      </c>
      <c r="F68" s="56"/>
      <c r="G68" s="50">
        <v>15</v>
      </c>
      <c r="H68" s="51">
        <v>25.8</v>
      </c>
      <c r="I68" s="56"/>
      <c r="J68" s="53"/>
      <c r="K68" s="53"/>
      <c r="L68" s="53"/>
      <c r="M68" s="53"/>
      <c r="N68" s="53"/>
      <c r="O68" s="53"/>
      <c r="P68" s="53"/>
      <c r="Q68" s="53"/>
      <c r="R68" s="53"/>
    </row>
    <row r="69" spans="1:18" x14ac:dyDescent="0.25">
      <c r="A69" s="50">
        <v>20</v>
      </c>
      <c r="B69" s="51">
        <v>29.9</v>
      </c>
      <c r="C69" s="59"/>
      <c r="D69" s="50">
        <v>20</v>
      </c>
      <c r="E69" s="51">
        <v>35.9</v>
      </c>
      <c r="F69" s="59"/>
      <c r="G69" s="50">
        <v>20</v>
      </c>
      <c r="H69" s="51">
        <v>26</v>
      </c>
      <c r="I69" s="59"/>
      <c r="J69" s="59"/>
      <c r="K69" s="59"/>
      <c r="L69" s="59"/>
      <c r="M69" s="53"/>
      <c r="N69" s="53"/>
      <c r="O69" s="53"/>
      <c r="P69" s="53"/>
      <c r="Q69" s="53"/>
      <c r="R69" s="53"/>
    </row>
    <row r="70" spans="1:18" x14ac:dyDescent="0.25">
      <c r="A70" s="50">
        <v>25</v>
      </c>
      <c r="B70" s="51">
        <v>30.1</v>
      </c>
      <c r="C70" s="63"/>
      <c r="D70" s="50">
        <v>25</v>
      </c>
      <c r="E70" s="51">
        <v>36</v>
      </c>
      <c r="F70" s="60"/>
      <c r="G70" s="50">
        <v>25</v>
      </c>
      <c r="H70" s="51">
        <v>26.1</v>
      </c>
      <c r="I70" s="64"/>
      <c r="J70" s="58"/>
      <c r="K70" s="57"/>
      <c r="L70" s="57"/>
      <c r="M70" s="53"/>
      <c r="N70" s="53"/>
      <c r="O70" s="53"/>
      <c r="P70" s="53"/>
      <c r="Q70" s="53"/>
      <c r="R70" s="53"/>
    </row>
    <row r="71" spans="1:18" x14ac:dyDescent="0.25">
      <c r="A71" s="50">
        <v>30</v>
      </c>
      <c r="B71" s="51">
        <v>30.4</v>
      </c>
      <c r="C71" s="53"/>
      <c r="D71" s="50">
        <v>30</v>
      </c>
      <c r="E71" s="51">
        <v>36.200000000000003</v>
      </c>
      <c r="F71" s="53"/>
      <c r="G71" s="50">
        <v>30</v>
      </c>
      <c r="H71" s="51">
        <v>26.2</v>
      </c>
      <c r="I71" s="53"/>
      <c r="J71" s="53"/>
      <c r="K71" s="53"/>
      <c r="L71" s="53"/>
      <c r="M71" s="59"/>
      <c r="N71" s="59"/>
      <c r="O71" s="59"/>
      <c r="P71" s="53"/>
      <c r="Q71" s="53"/>
      <c r="R71" s="53"/>
    </row>
    <row r="72" spans="1:18" x14ac:dyDescent="0.25">
      <c r="A72" s="50">
        <v>35</v>
      </c>
      <c r="B72" s="51">
        <v>30.5</v>
      </c>
      <c r="C72" s="53"/>
      <c r="D72" s="50">
        <v>35</v>
      </c>
      <c r="E72" s="51">
        <v>36.200000000000003</v>
      </c>
      <c r="F72" s="53"/>
      <c r="G72" s="50">
        <v>35</v>
      </c>
      <c r="H72" s="51">
        <v>26.2</v>
      </c>
      <c r="I72" s="53"/>
      <c r="J72" s="53"/>
      <c r="K72" s="53"/>
      <c r="L72" s="53"/>
      <c r="M72" s="65"/>
      <c r="N72" s="61"/>
      <c r="O72" s="66"/>
      <c r="P72" s="53"/>
      <c r="Q72" s="53"/>
      <c r="R72" s="53"/>
    </row>
    <row r="73" spans="1:18" x14ac:dyDescent="0.25">
      <c r="A73" s="50">
        <v>40</v>
      </c>
      <c r="B73" s="51">
        <v>30.5</v>
      </c>
      <c r="C73" s="63"/>
      <c r="D73" s="50">
        <v>40</v>
      </c>
      <c r="E73" s="51">
        <v>36.200000000000003</v>
      </c>
      <c r="F73" s="60"/>
      <c r="G73" s="50">
        <v>40</v>
      </c>
      <c r="H73" s="51">
        <v>26.2</v>
      </c>
      <c r="I73" s="64"/>
      <c r="J73" s="58"/>
      <c r="K73" s="57"/>
      <c r="L73" s="57"/>
      <c r="M73" s="65"/>
      <c r="N73" s="61"/>
      <c r="O73" s="66"/>
      <c r="P73" s="53"/>
      <c r="Q73" s="53"/>
      <c r="R73" s="53"/>
    </row>
    <row r="74" spans="1:18" x14ac:dyDescent="0.25">
      <c r="A74" s="50">
        <v>45</v>
      </c>
      <c r="B74" s="51">
        <v>30.4</v>
      </c>
      <c r="C74" s="58"/>
      <c r="D74" s="50">
        <v>45</v>
      </c>
      <c r="E74" s="51">
        <v>36.299999999999997</v>
      </c>
      <c r="F74" s="66"/>
      <c r="G74" s="50">
        <v>45</v>
      </c>
      <c r="H74" s="51">
        <v>26.2</v>
      </c>
      <c r="I74" s="58"/>
      <c r="J74" s="60"/>
      <c r="K74" s="72"/>
      <c r="L74" s="54"/>
      <c r="M74" s="65"/>
      <c r="N74" s="61"/>
      <c r="O74" s="66"/>
      <c r="P74" s="53"/>
      <c r="Q74" s="53"/>
      <c r="R74" s="53"/>
    </row>
    <row r="75" spans="1:18" x14ac:dyDescent="0.25">
      <c r="A75" s="50">
        <v>50</v>
      </c>
      <c r="B75" s="51">
        <v>30.5</v>
      </c>
      <c r="C75" s="53"/>
      <c r="D75" s="50">
        <v>50</v>
      </c>
      <c r="E75" s="51">
        <v>36.299999999999997</v>
      </c>
      <c r="F75" s="53"/>
      <c r="G75" s="50">
        <v>50</v>
      </c>
      <c r="H75" s="51">
        <v>26.2</v>
      </c>
      <c r="I75" s="53"/>
      <c r="J75" s="53"/>
      <c r="K75" s="53"/>
      <c r="L75" s="53"/>
      <c r="M75" s="53"/>
      <c r="N75" s="53"/>
      <c r="O75" s="53"/>
      <c r="P75" s="53"/>
      <c r="Q75" s="53"/>
      <c r="R75" s="53"/>
    </row>
    <row r="76" spans="1:18" x14ac:dyDescent="0.25">
      <c r="A76" s="117">
        <v>55</v>
      </c>
      <c r="B76" s="116">
        <v>30.5</v>
      </c>
      <c r="C76" s="56"/>
      <c r="D76" s="50">
        <v>55</v>
      </c>
      <c r="E76" s="118">
        <v>36.299999999999997</v>
      </c>
      <c r="F76" s="56"/>
      <c r="G76" s="50">
        <v>55</v>
      </c>
      <c r="H76" s="118">
        <v>26.2</v>
      </c>
      <c r="I76" s="56"/>
      <c r="J76" s="53"/>
      <c r="K76" s="53"/>
      <c r="L76" s="53"/>
      <c r="M76" s="53"/>
      <c r="N76" s="53"/>
      <c r="O76" s="53"/>
      <c r="P76" s="53"/>
      <c r="Q76" s="53"/>
      <c r="R76" s="53"/>
    </row>
    <row r="77" spans="1:18" x14ac:dyDescent="0.25">
      <c r="A77" s="117">
        <v>60</v>
      </c>
      <c r="B77" s="116">
        <v>30.5</v>
      </c>
      <c r="C77" s="152" t="s">
        <v>174</v>
      </c>
      <c r="D77" s="50">
        <v>60</v>
      </c>
      <c r="E77" s="119">
        <v>36.299999999999997</v>
      </c>
      <c r="F77" s="152" t="s">
        <v>174</v>
      </c>
      <c r="G77" s="50">
        <v>60</v>
      </c>
      <c r="H77" s="119">
        <v>26.2</v>
      </c>
      <c r="I77" s="53"/>
      <c r="J77" s="53"/>
      <c r="K77" s="53"/>
      <c r="L77" s="53"/>
      <c r="M77" s="53"/>
      <c r="N77" s="53"/>
      <c r="O77" s="53"/>
      <c r="P77" s="53"/>
      <c r="Q77" s="53"/>
      <c r="R77" s="53"/>
    </row>
    <row r="78" spans="1:18" x14ac:dyDescent="0.25">
      <c r="A78" s="117" t="s">
        <v>130</v>
      </c>
      <c r="B78" s="151">
        <f>0.0391*(B77)-1.0603</f>
        <v>0.13224999999999998</v>
      </c>
      <c r="C78" s="153">
        <f>(J54-B78)/B78</f>
        <v>3.2788984695524701E-2</v>
      </c>
      <c r="D78" s="117" t="s">
        <v>130</v>
      </c>
      <c r="E78" s="151">
        <f>0.0391*(E77)-1.0603</f>
        <v>0.35902999999999996</v>
      </c>
      <c r="F78" s="153">
        <f>ABS((J56-E78)/E78)</f>
        <v>5.4628519563403387E-2</v>
      </c>
      <c r="G78" s="117" t="s">
        <v>130</v>
      </c>
      <c r="H78" s="120">
        <f>ABS(0.0391*(H77)-1.0603)</f>
        <v>3.5879999999999912E-2</v>
      </c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 spans="1:18" x14ac:dyDescent="0.25">
      <c r="A79" s="122" t="s">
        <v>133</v>
      </c>
      <c r="B79" s="121">
        <f>2*B78/(B54*10^-3)^2</f>
        <v>0.39128529630689474</v>
      </c>
      <c r="C79" s="153">
        <f>(I54-B79)/B79</f>
        <v>3.2788984695524596E-2</v>
      </c>
      <c r="D79" s="122" t="s">
        <v>133</v>
      </c>
      <c r="E79" s="121">
        <f>2*E78/(B56*10^-3)^2</f>
        <v>0.41965609607018217</v>
      </c>
      <c r="F79" s="153">
        <f>ABS((I56-E79)/E79)</f>
        <v>5.4628519563403394E-2</v>
      </c>
      <c r="G79" s="122" t="s">
        <v>133</v>
      </c>
      <c r="H79" s="121">
        <f>2*H78/(B51*10^-3)^2</f>
        <v>0.84314830208183789</v>
      </c>
    </row>
    <row r="81" spans="1:17" x14ac:dyDescent="0.25">
      <c r="A81" s="10" t="s">
        <v>0</v>
      </c>
      <c r="B81" s="10">
        <v>3000</v>
      </c>
      <c r="C81" s="10" t="s">
        <v>15</v>
      </c>
      <c r="D81" s="10"/>
      <c r="E81" s="10"/>
      <c r="F81" s="99" t="s">
        <v>121</v>
      </c>
      <c r="G81" s="2"/>
      <c r="H81" s="2"/>
      <c r="I81" s="2"/>
      <c r="J81" s="146"/>
      <c r="K81" s="146"/>
      <c r="L81" s="146"/>
      <c r="M81" s="111">
        <v>44425</v>
      </c>
      <c r="N81" s="2"/>
    </row>
    <row r="82" spans="1:17" x14ac:dyDescent="0.25">
      <c r="A82" s="2" t="s">
        <v>2</v>
      </c>
      <c r="B82" s="2" t="s">
        <v>38</v>
      </c>
      <c r="C82" s="2"/>
      <c r="D82" s="2"/>
      <c r="E82" s="2"/>
      <c r="F82" s="2"/>
      <c r="G82" s="2"/>
      <c r="H82" s="2"/>
      <c r="I82" s="2"/>
      <c r="J82" s="146"/>
      <c r="K82" s="146"/>
      <c r="L82" s="146"/>
      <c r="M82" s="146"/>
      <c r="N82" s="2"/>
    </row>
    <row r="83" spans="1:17" x14ac:dyDescent="0.25">
      <c r="A83" t="s">
        <v>67</v>
      </c>
      <c r="B83" s="3">
        <v>0.49114999999999998</v>
      </c>
      <c r="C83" s="2" t="s">
        <v>14</v>
      </c>
      <c r="D83" s="2"/>
      <c r="E83" s="2"/>
      <c r="F83" s="2"/>
      <c r="G83" s="2"/>
      <c r="H83" s="3"/>
      <c r="I83" s="2"/>
      <c r="J83" s="2"/>
      <c r="K83" s="2"/>
      <c r="L83" s="2"/>
      <c r="N83" s="2"/>
    </row>
    <row r="84" spans="1:17" x14ac:dyDescent="0.25">
      <c r="A84" t="s">
        <v>68</v>
      </c>
      <c r="B84" s="3">
        <f>B83*10^-6*B81*2*PI()*10^3</f>
        <v>9.2579593908637605</v>
      </c>
      <c r="C84" s="2"/>
      <c r="D84" s="2"/>
      <c r="F84" s="2"/>
      <c r="G84" s="2"/>
      <c r="H84" s="2"/>
      <c r="I84" s="2"/>
      <c r="J84" s="2"/>
      <c r="K84" s="2"/>
      <c r="L84" s="2"/>
      <c r="N84" s="2"/>
    </row>
    <row r="85" spans="1:17" ht="18" x14ac:dyDescent="0.25">
      <c r="A85" s="2" t="s">
        <v>122</v>
      </c>
      <c r="B85" s="3">
        <f>5.054+0.18453+0.46668+0.020769</f>
        <v>5.7259789999999997</v>
      </c>
      <c r="C85" s="2" t="s">
        <v>16</v>
      </c>
      <c r="D85" s="2" t="s">
        <v>24</v>
      </c>
      <c r="E85" s="3">
        <f>10.074+10.192+10.067+9.9654+10.004+4.7567+2.2151</f>
        <v>57.2742</v>
      </c>
      <c r="F85" s="2" t="s">
        <v>16</v>
      </c>
      <c r="G85" s="19"/>
      <c r="H85" s="16"/>
      <c r="I85" s="2"/>
      <c r="J85" s="2"/>
      <c r="K85" s="2"/>
      <c r="L85" s="2"/>
      <c r="N85" s="2"/>
    </row>
    <row r="86" spans="1:17" ht="15.75" customHeight="1" x14ac:dyDescent="0.25">
      <c r="A86" s="2" t="s">
        <v>20</v>
      </c>
      <c r="B86" s="1">
        <f>1/(2*PI()*$B$81*10^3*B85*10^-9)</f>
        <v>9.2650789842747319</v>
      </c>
      <c r="C86" s="2"/>
      <c r="D86" s="2" t="s">
        <v>25</v>
      </c>
      <c r="E86" s="14">
        <f>1/(2*PI()*$B$108*10^3*E85*10^-9)</f>
        <v>2.7788243762792901</v>
      </c>
      <c r="F86" s="2"/>
      <c r="G86" s="2"/>
      <c r="H86" s="2"/>
      <c r="I86" s="2"/>
      <c r="J86" s="2"/>
      <c r="K86" s="2"/>
      <c r="L86" s="2"/>
      <c r="N86" s="2"/>
    </row>
    <row r="87" spans="1:17" x14ac:dyDescent="0.25">
      <c r="A87" s="2" t="s">
        <v>29</v>
      </c>
      <c r="B87" s="3">
        <f>(1/(2*PI()*SQRT(B85*10^-9*B83*10^-6)))/10^3</f>
        <v>3001.1533143836355</v>
      </c>
      <c r="C87" s="2" t="s">
        <v>15</v>
      </c>
      <c r="D87" s="2"/>
      <c r="E87" s="2"/>
      <c r="F87" s="2"/>
      <c r="G87" s="2"/>
      <c r="H87" s="2"/>
      <c r="I87" s="2"/>
      <c r="J87" s="2"/>
      <c r="K87" s="2"/>
      <c r="L87" s="2"/>
      <c r="N87" s="2"/>
    </row>
    <row r="88" spans="1:17" ht="15.75" customHeight="1" x14ac:dyDescent="0.25">
      <c r="A88" s="2" t="s">
        <v>30</v>
      </c>
      <c r="B88" s="3">
        <f>1310*0.1^3</f>
        <v>1.3100000000000003</v>
      </c>
      <c r="C88" s="15" t="s">
        <v>32</v>
      </c>
      <c r="D88" s="2"/>
      <c r="E88" s="2"/>
      <c r="F88" s="2"/>
      <c r="G88" s="2"/>
      <c r="H88" s="2"/>
      <c r="I88" s="2"/>
      <c r="J88" s="2"/>
      <c r="K88" s="2"/>
      <c r="L88" s="2"/>
      <c r="N88" s="2"/>
    </row>
    <row r="89" spans="1:17" x14ac:dyDescent="0.25">
      <c r="A89" s="2"/>
      <c r="B89" s="2"/>
      <c r="C89" s="2"/>
      <c r="D89" s="2"/>
      <c r="E89" s="2"/>
      <c r="F89" s="2"/>
      <c r="G89" s="2"/>
      <c r="H89" s="2"/>
      <c r="I89" s="2"/>
      <c r="J89" s="5"/>
    </row>
    <row r="90" spans="1:17" x14ac:dyDescent="0.25">
      <c r="A90" s="5" t="s">
        <v>13</v>
      </c>
      <c r="B90" s="5" t="s">
        <v>4</v>
      </c>
      <c r="C90" s="5" t="s">
        <v>27</v>
      </c>
      <c r="D90" s="5" t="s">
        <v>26</v>
      </c>
      <c r="E90" s="5" t="s">
        <v>5</v>
      </c>
      <c r="F90" s="5" t="s">
        <v>6</v>
      </c>
      <c r="G90" s="5" t="s">
        <v>7</v>
      </c>
      <c r="H90" s="5" t="s">
        <v>8</v>
      </c>
      <c r="I90" s="5" t="s">
        <v>9</v>
      </c>
      <c r="J90" s="5" t="s">
        <v>28</v>
      </c>
      <c r="K90" s="5" t="s">
        <v>31</v>
      </c>
      <c r="L90" s="5" t="s">
        <v>35</v>
      </c>
      <c r="M90" s="5" t="s">
        <v>33</v>
      </c>
      <c r="N90" s="5" t="s">
        <v>34</v>
      </c>
      <c r="O90" s="5" t="s">
        <v>36</v>
      </c>
      <c r="P90" s="5" t="s">
        <v>10</v>
      </c>
      <c r="Q90" s="5" t="s">
        <v>37</v>
      </c>
    </row>
    <row r="91" spans="1:17" x14ac:dyDescent="0.25">
      <c r="A91" s="12">
        <v>0</v>
      </c>
      <c r="B91" s="6">
        <f t="shared" ref="B91:B97" si="31">0.5*E91/($B$86*10^-3)</f>
        <v>256.71664580916553</v>
      </c>
      <c r="C91" s="2">
        <v>2976</v>
      </c>
      <c r="D91" s="3">
        <v>0.50180000000000002</v>
      </c>
      <c r="E91" s="6">
        <v>4.7569999999999997</v>
      </c>
      <c r="F91" s="6">
        <f t="shared" ref="F91:F97" si="32">E91/D91</f>
        <v>9.4798724591470691</v>
      </c>
      <c r="G91" s="14">
        <f t="shared" ref="G91:G97" si="33">1/($B$85*10^-9*(2*PI()*C91*10^3)^2*10^-6)</f>
        <v>0.49948753959233039</v>
      </c>
      <c r="H91" s="6">
        <f t="shared" ref="H91:H97" si="34">(2*PI()*C91*10^3*G91*10^-6)/((D91/E91)*(1/(2*PI()*C91*10^3*$B$85*10^-9)))</f>
        <v>9.4798724591470691</v>
      </c>
      <c r="I91" s="3">
        <f t="shared" ref="I91:I97" si="35">(2*PI()*C91*10^3*G91*10^-6)/H91</f>
        <v>0.98522394720281947</v>
      </c>
      <c r="J91" s="3">
        <f t="shared" ref="J91:J97" si="36">I91*(B91*10^-3)^2/2</f>
        <v>3.2464821791088526E-2</v>
      </c>
      <c r="K91" s="16">
        <f t="shared" ref="K91:K97" si="37">J91/(B$88)</f>
        <v>2.4782306710754595E-2</v>
      </c>
      <c r="L91" s="2">
        <f xml:space="preserve"> (4*8.85*10^-12*0.01*0.01)/0.0015</f>
        <v>2.3599999999999996E-12</v>
      </c>
      <c r="M91" s="16">
        <f t="shared" ref="M91:M97" si="38">0.5*2*PI()*C91*10^3*L91*E91^2</f>
        <v>4.9929947036854948E-4</v>
      </c>
      <c r="N91" s="8">
        <f>M91/J91</f>
        <v>1.5379707721223511E-2</v>
      </c>
      <c r="O91" s="13">
        <f>2*M91/((B91*10^-3)^2)</f>
        <v>1.5152456347929505E-2</v>
      </c>
      <c r="P91" s="1">
        <f t="shared" ref="P91:P97" si="39">2*PI()*C91*10^3*G91*10^-6/(I91-O91)</f>
        <v>9.6279474773032856</v>
      </c>
      <c r="Q91" t="str">
        <f t="shared" ref="Q91:Q97" si="40">_xlfn.CONCAT("(",B91/1000,",",P91,")")</f>
        <v>(0.256716645809166,9.62794747730329)</v>
      </c>
    </row>
    <row r="92" spans="1:17" x14ac:dyDescent="0.25">
      <c r="A92" s="12">
        <v>0.05</v>
      </c>
      <c r="B92" s="6">
        <f t="shared" si="31"/>
        <v>284.18538087682697</v>
      </c>
      <c r="C92" s="2">
        <v>2972</v>
      </c>
      <c r="D92" s="3">
        <v>0.55120000000000002</v>
      </c>
      <c r="E92" s="6">
        <v>5.266</v>
      </c>
      <c r="F92" s="6">
        <f t="shared" si="32"/>
        <v>9.5537010159651672</v>
      </c>
      <c r="G92" s="14">
        <f t="shared" si="33"/>
        <v>0.5008329599651119</v>
      </c>
      <c r="H92" s="6">
        <f t="shared" si="34"/>
        <v>9.5537010159651672</v>
      </c>
      <c r="I92" s="3">
        <f t="shared" si="35"/>
        <v>0.97892614959502366</v>
      </c>
      <c r="J92" s="3">
        <f t="shared" si="36"/>
        <v>3.9529689251171021E-2</v>
      </c>
      <c r="K92" s="16">
        <f t="shared" si="37"/>
        <v>3.0175335306237415E-2</v>
      </c>
      <c r="L92" s="2">
        <f t="shared" ref="L92:L97" si="41" xml:space="preserve"> (4*8.85*10^-12*0.01*0.01)/0.0015</f>
        <v>2.3599999999999996E-12</v>
      </c>
      <c r="M92" s="16">
        <f t="shared" si="38"/>
        <v>6.1104386814808448E-4</v>
      </c>
      <c r="N92" s="8">
        <f t="shared" ref="N92:N97" si="42">M92/J92</f>
        <v>1.5457846487624058E-2</v>
      </c>
      <c r="O92" s="13">
        <f t="shared" ref="O92:O97" si="43">2*M92/((B92*10^-3)^2)</f>
        <v>1.5132090143160779E-2</v>
      </c>
      <c r="P92" s="1">
        <f>2*PI()*C92*10^3*G92*10^-6/(I92-O92)</f>
        <v>9.7036993102653106</v>
      </c>
      <c r="Q92" t="str">
        <f t="shared" si="40"/>
        <v>(0.284185380876827,9.70369931026531)</v>
      </c>
    </row>
    <row r="93" spans="1:17" x14ac:dyDescent="0.25">
      <c r="A93" s="12">
        <v>0.15</v>
      </c>
      <c r="B93" s="6">
        <f t="shared" si="31"/>
        <v>370.96283861513643</v>
      </c>
      <c r="C93" s="2">
        <v>2972</v>
      </c>
      <c r="D93" s="3">
        <v>0.70750000000000002</v>
      </c>
      <c r="E93" s="6">
        <v>6.8739999999999997</v>
      </c>
      <c r="F93" s="6">
        <f t="shared" si="32"/>
        <v>9.7159010600706708</v>
      </c>
      <c r="G93" s="14">
        <f t="shared" si="33"/>
        <v>0.5008329599651119</v>
      </c>
      <c r="H93" s="6">
        <f t="shared" si="34"/>
        <v>9.715901060070669</v>
      </c>
      <c r="I93" s="3">
        <f t="shared" si="35"/>
        <v>0.96258367516484589</v>
      </c>
      <c r="J93" s="3">
        <f t="shared" si="36"/>
        <v>6.6232219461694761E-2</v>
      </c>
      <c r="K93" s="16">
        <f t="shared" si="37"/>
        <v>5.0558946153965459E-2</v>
      </c>
      <c r="L93" s="2">
        <f t="shared" si="41"/>
        <v>2.3599999999999996E-12</v>
      </c>
      <c r="M93" s="16">
        <f t="shared" si="38"/>
        <v>1.0411893959289692E-3</v>
      </c>
      <c r="N93" s="8">
        <f t="shared" si="42"/>
        <v>1.5720285450061634E-2</v>
      </c>
      <c r="O93" s="13">
        <f t="shared" si="43"/>
        <v>1.5132090143160781E-2</v>
      </c>
      <c r="P93" s="1">
        <f t="shared" si="39"/>
        <v>9.8710772115356065</v>
      </c>
      <c r="Q93" t="str">
        <f t="shared" si="40"/>
        <v>(0.370962838615136,9.87107721153561)</v>
      </c>
    </row>
    <row r="94" spans="1:17" x14ac:dyDescent="0.25">
      <c r="A94" s="12">
        <v>0.3</v>
      </c>
      <c r="B94" s="6">
        <f t="shared" si="31"/>
        <v>586.61129702451751</v>
      </c>
      <c r="C94" s="2">
        <v>2972</v>
      </c>
      <c r="D94" s="3">
        <v>1.1200000000000001</v>
      </c>
      <c r="E94" s="6">
        <v>10.87</v>
      </c>
      <c r="F94" s="6">
        <f t="shared" si="32"/>
        <v>9.7053571428571406</v>
      </c>
      <c r="G94" s="14">
        <f t="shared" si="33"/>
        <v>0.5008329599651119</v>
      </c>
      <c r="H94" s="6">
        <f t="shared" si="34"/>
        <v>9.7053571428571406</v>
      </c>
      <c r="I94" s="3">
        <f t="shared" si="35"/>
        <v>0.96362942777679395</v>
      </c>
      <c r="J94" s="3">
        <f t="shared" si="36"/>
        <v>0.16579861692483</v>
      </c>
      <c r="K94" s="16">
        <f t="shared" si="37"/>
        <v>0.12656382971361066</v>
      </c>
      <c r="L94" s="2">
        <f t="shared" si="41"/>
        <v>2.3599999999999996E-12</v>
      </c>
      <c r="M94" s="16">
        <f t="shared" si="38"/>
        <v>2.6035730588948387E-3</v>
      </c>
      <c r="N94" s="8">
        <f t="shared" si="42"/>
        <v>1.5703225438094277E-2</v>
      </c>
      <c r="O94" s="13">
        <f t="shared" si="43"/>
        <v>1.5132090143160781E-2</v>
      </c>
      <c r="P94" s="1">
        <f t="shared" si="39"/>
        <v>9.8601939919764892</v>
      </c>
      <c r="Q94" t="str">
        <f t="shared" si="40"/>
        <v>(0.586611297024518,9.86019399197649)</v>
      </c>
    </row>
    <row r="95" spans="1:17" x14ac:dyDescent="0.25">
      <c r="A95" s="12">
        <v>0.4</v>
      </c>
      <c r="B95" s="6">
        <f t="shared" si="31"/>
        <v>827.83967767765398</v>
      </c>
      <c r="C95" s="2">
        <v>2972</v>
      </c>
      <c r="D95" s="3">
        <v>1.5720000000000001</v>
      </c>
      <c r="E95" s="6">
        <v>15.34</v>
      </c>
      <c r="F95" s="6">
        <f t="shared" si="32"/>
        <v>9.7582697201017812</v>
      </c>
      <c r="G95" s="14">
        <f t="shared" si="33"/>
        <v>0.5008329599651119</v>
      </c>
      <c r="H95" s="6">
        <f t="shared" si="34"/>
        <v>9.7582697201017794</v>
      </c>
      <c r="I95" s="3">
        <f t="shared" si="35"/>
        <v>0.95840430918559405</v>
      </c>
      <c r="J95" s="3">
        <f t="shared" si="36"/>
        <v>0.32840611708679485</v>
      </c>
      <c r="K95" s="16">
        <f t="shared" si="37"/>
        <v>0.25069169243266776</v>
      </c>
      <c r="L95" s="2">
        <f t="shared" si="41"/>
        <v>2.3599999999999996E-12</v>
      </c>
      <c r="M95" s="16">
        <f t="shared" si="38"/>
        <v>5.1851509010279921E-3</v>
      </c>
      <c r="N95" s="8">
        <f t="shared" si="42"/>
        <v>1.578883775681195E-2</v>
      </c>
      <c r="O95" s="13">
        <f t="shared" si="43"/>
        <v>1.5132090143160781E-2</v>
      </c>
      <c r="P95" s="1">
        <f t="shared" si="39"/>
        <v>9.9148130954550329</v>
      </c>
      <c r="Q95" t="str">
        <f t="shared" si="40"/>
        <v>(0.827839677677654,9.91481309545503)</v>
      </c>
    </row>
    <row r="96" spans="1:17" x14ac:dyDescent="0.25">
      <c r="A96" s="12">
        <v>0.5</v>
      </c>
      <c r="B96" s="6">
        <f t="shared" si="31"/>
        <v>1063.6714502624877</v>
      </c>
      <c r="C96" s="2">
        <v>2972</v>
      </c>
      <c r="D96" s="3">
        <v>2.3420000000000001</v>
      </c>
      <c r="E96" s="6">
        <v>19.71</v>
      </c>
      <c r="F96" s="6">
        <f t="shared" si="32"/>
        <v>8.415883859948762</v>
      </c>
      <c r="G96" s="14">
        <f t="shared" si="33"/>
        <v>0.5008329599651119</v>
      </c>
      <c r="H96" s="6">
        <f t="shared" si="34"/>
        <v>8.415883859948762</v>
      </c>
      <c r="I96" s="3">
        <f t="shared" si="35"/>
        <v>1.11127576206806</v>
      </c>
      <c r="J96" s="3">
        <f t="shared" si="36"/>
        <v>0.62864700618642666</v>
      </c>
      <c r="K96" s="16">
        <f t="shared" si="37"/>
        <v>0.47988321082933322</v>
      </c>
      <c r="L96" s="2">
        <f t="shared" si="41"/>
        <v>2.3599999999999996E-12</v>
      </c>
      <c r="M96" s="16">
        <f t="shared" si="38"/>
        <v>8.56020034859588E-3</v>
      </c>
      <c r="N96" s="8">
        <f t="shared" si="42"/>
        <v>1.3616863302228681E-2</v>
      </c>
      <c r="O96" s="13">
        <f t="shared" si="43"/>
        <v>1.5132090143160777E-2</v>
      </c>
      <c r="P96" s="1">
        <f t="shared" si="39"/>
        <v>8.5320638064875975</v>
      </c>
      <c r="Q96" t="str">
        <f t="shared" si="40"/>
        <v>(1.06367145026249,8.5320638064876)</v>
      </c>
    </row>
    <row r="97" spans="1:21" x14ac:dyDescent="0.25">
      <c r="A97" s="75">
        <v>0.6</v>
      </c>
      <c r="B97" s="6">
        <f t="shared" si="31"/>
        <v>1424.7045300319467</v>
      </c>
      <c r="C97" s="2">
        <v>2972</v>
      </c>
      <c r="D97" s="3">
        <v>2.9319999999999999</v>
      </c>
      <c r="E97" s="6">
        <v>26.4</v>
      </c>
      <c r="F97" s="6">
        <f t="shared" si="32"/>
        <v>9.0040927694406552</v>
      </c>
      <c r="G97" s="14">
        <f t="shared" si="33"/>
        <v>0.5008329599651119</v>
      </c>
      <c r="H97" s="6">
        <f t="shared" si="34"/>
        <v>9.0040927694406534</v>
      </c>
      <c r="I97" s="3">
        <f t="shared" si="35"/>
        <v>1.0386796304100971</v>
      </c>
      <c r="J97" s="3">
        <f t="shared" si="36"/>
        <v>1.0541471270323859</v>
      </c>
      <c r="K97" s="16">
        <f t="shared" si="37"/>
        <v>0.80469246338350053</v>
      </c>
      <c r="L97" s="2">
        <f t="shared" si="41"/>
        <v>2.3599999999999996E-12</v>
      </c>
      <c r="M97" s="16">
        <f t="shared" si="38"/>
        <v>1.5357429647590168E-2</v>
      </c>
      <c r="N97" s="8">
        <f t="shared" si="42"/>
        <v>1.4568582746911335E-2</v>
      </c>
      <c r="O97" s="13">
        <f t="shared" si="43"/>
        <v>1.5132090143160781E-2</v>
      </c>
      <c r="P97" s="1">
        <f t="shared" si="39"/>
        <v>9.1372089541652297</v>
      </c>
      <c r="Q97" t="str">
        <f t="shared" si="40"/>
        <v>(1.42470453003195,9.13720895416523)</v>
      </c>
    </row>
    <row r="98" spans="1:21" x14ac:dyDescent="0.25">
      <c r="A98" s="104"/>
      <c r="B98" s="105"/>
      <c r="C98" s="107"/>
      <c r="D98" s="104"/>
      <c r="E98" s="105"/>
      <c r="F98" s="110"/>
      <c r="G98" s="109"/>
      <c r="H98" s="110"/>
      <c r="I98" s="107"/>
      <c r="J98" s="106"/>
      <c r="K98" s="100"/>
      <c r="L98" s="101"/>
      <c r="M98" s="108"/>
      <c r="N98" s="109"/>
      <c r="O98" s="66"/>
      <c r="P98" s="53"/>
      <c r="Q98" s="53"/>
      <c r="R98" s="53"/>
      <c r="S98" s="53"/>
      <c r="T98" s="53"/>
      <c r="U98" s="53"/>
    </row>
    <row r="99" spans="1:21" x14ac:dyDescent="0.25">
      <c r="A99" s="104"/>
      <c r="B99" s="105"/>
      <c r="C99" s="103"/>
      <c r="D99" s="104"/>
      <c r="E99" s="105"/>
      <c r="F99" s="103"/>
      <c r="G99" s="103"/>
      <c r="H99" s="103"/>
      <c r="I99" s="103"/>
      <c r="J99" s="103"/>
      <c r="K99" s="103"/>
      <c r="L99" s="103"/>
      <c r="M99" s="103"/>
      <c r="N99" s="103"/>
      <c r="O99" s="53"/>
      <c r="P99" s="53"/>
      <c r="Q99" s="53"/>
      <c r="R99" s="53"/>
      <c r="S99" s="53"/>
      <c r="T99" s="53"/>
      <c r="U99" s="53"/>
    </row>
    <row r="100" spans="1:21" x14ac:dyDescent="0.25">
      <c r="A100" s="102"/>
      <c r="B100" s="102"/>
      <c r="C100" s="100"/>
      <c r="D100" s="100"/>
      <c r="E100" s="100"/>
      <c r="F100" s="100"/>
      <c r="G100" s="100"/>
      <c r="H100" s="103"/>
      <c r="I100" s="100"/>
      <c r="J100" s="103"/>
      <c r="K100" s="103"/>
      <c r="L100" s="103"/>
      <c r="M100" s="103"/>
      <c r="N100" s="103"/>
      <c r="O100" s="53"/>
      <c r="P100" s="53"/>
      <c r="Q100" s="53"/>
      <c r="R100" s="53"/>
      <c r="S100" s="53"/>
      <c r="T100" s="53"/>
      <c r="U100" s="53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</row>
    <row r="108" spans="1:21" ht="15.75" customHeight="1" x14ac:dyDescent="0.25">
      <c r="A108" s="10" t="s">
        <v>0</v>
      </c>
      <c r="B108" s="10">
        <v>1000</v>
      </c>
      <c r="C108" s="10" t="s">
        <v>15</v>
      </c>
      <c r="D108" s="10"/>
      <c r="E108" s="10"/>
      <c r="F108" s="169" t="s">
        <v>123</v>
      </c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13"/>
      <c r="S108" s="113"/>
      <c r="T108" s="113"/>
      <c r="U108" s="113"/>
    </row>
    <row r="109" spans="1:21" x14ac:dyDescent="0.25">
      <c r="A109" s="2" t="s">
        <v>2</v>
      </c>
      <c r="B109" s="2" t="s">
        <v>38</v>
      </c>
      <c r="C109" s="2"/>
      <c r="D109" s="2"/>
      <c r="E109" s="2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13"/>
      <c r="S109" s="113"/>
      <c r="T109" s="113"/>
      <c r="U109" s="113"/>
    </row>
    <row r="110" spans="1:21" x14ac:dyDescent="0.25">
      <c r="A110" t="s">
        <v>67</v>
      </c>
      <c r="B110" s="6">
        <v>3.52</v>
      </c>
      <c r="C110" s="2" t="s">
        <v>14</v>
      </c>
      <c r="D110" s="2"/>
      <c r="E110" s="2"/>
      <c r="F110" s="112" t="s">
        <v>124</v>
      </c>
      <c r="G110" s="2"/>
      <c r="H110" s="3"/>
      <c r="I110" s="2"/>
      <c r="J110" s="2"/>
      <c r="K110" s="2"/>
      <c r="L110" s="2"/>
      <c r="N110" s="2"/>
    </row>
    <row r="111" spans="1:21" x14ac:dyDescent="0.25">
      <c r="A111" t="s">
        <v>68</v>
      </c>
      <c r="B111" s="6">
        <f>B110*10^-6*B108*2*PI()*10^3</f>
        <v>22.116812281272139</v>
      </c>
      <c r="C111" s="2"/>
      <c r="D111" s="2"/>
      <c r="F111" s="2"/>
      <c r="G111" s="2"/>
      <c r="H111" s="2"/>
      <c r="I111" s="2"/>
      <c r="J111" s="2"/>
      <c r="K111" s="2"/>
      <c r="L111" s="2"/>
      <c r="N111" s="2"/>
    </row>
    <row r="112" spans="1:21" ht="18" x14ac:dyDescent="0.25">
      <c r="A112" s="2" t="s">
        <v>19</v>
      </c>
      <c r="B112" s="3">
        <f>1/((2*PI()*B108*10^3)^2*B110*10^-6*10^-9)</f>
        <v>7.1961067927796725</v>
      </c>
      <c r="C112" s="2" t="s">
        <v>16</v>
      </c>
      <c r="D112" s="2" t="s">
        <v>24</v>
      </c>
      <c r="E112" s="16">
        <f>B112*10</f>
        <v>71.961067927796719</v>
      </c>
      <c r="F112" s="2" t="s">
        <v>16</v>
      </c>
      <c r="G112" s="19"/>
      <c r="H112" s="16"/>
      <c r="I112" s="2"/>
      <c r="J112" s="2"/>
      <c r="K112" s="2"/>
      <c r="L112" s="2"/>
      <c r="N112" s="2"/>
    </row>
    <row r="113" spans="1:21" x14ac:dyDescent="0.25">
      <c r="A113" s="2" t="s">
        <v>20</v>
      </c>
      <c r="B113" s="1">
        <f>1/(2*PI()*$B$108*10^3*B112*10^-9)</f>
        <v>22.116812281272143</v>
      </c>
      <c r="C113" s="2"/>
      <c r="D113" s="2" t="s">
        <v>25</v>
      </c>
      <c r="E113" s="14">
        <f>1/(2*PI()*$B$108*10^3*E112*10^-9)</f>
        <v>2.211681228127214</v>
      </c>
      <c r="F113" s="2"/>
      <c r="G113" s="2"/>
      <c r="H113" s="2"/>
      <c r="I113" s="2"/>
      <c r="J113" s="2"/>
      <c r="K113" s="2"/>
      <c r="L113" s="2"/>
      <c r="N113" s="2"/>
    </row>
    <row r="114" spans="1:21" x14ac:dyDescent="0.25">
      <c r="A114" s="2" t="s">
        <v>29</v>
      </c>
      <c r="B114" s="3">
        <f>(1/(2*PI()*SQRT(B112*10^-9*B110*10^-6)))/10^3</f>
        <v>1000</v>
      </c>
      <c r="C114" s="2" t="s">
        <v>15</v>
      </c>
      <c r="D114" s="2"/>
      <c r="E114" s="2"/>
      <c r="F114" s="2"/>
      <c r="G114" s="2"/>
      <c r="H114" s="2"/>
      <c r="I114" s="2"/>
      <c r="J114" s="2"/>
      <c r="K114" s="2"/>
      <c r="L114" s="2"/>
      <c r="N114" s="2"/>
    </row>
    <row r="115" spans="1:21" x14ac:dyDescent="0.25">
      <c r="A115" s="2" t="s">
        <v>30</v>
      </c>
      <c r="B115" s="3">
        <f>1310*0.1^3</f>
        <v>1.3100000000000003</v>
      </c>
      <c r="C115" s="15" t="s">
        <v>32</v>
      </c>
      <c r="D115" s="2"/>
      <c r="E115" s="2"/>
      <c r="F115" s="2"/>
      <c r="G115" s="2"/>
      <c r="H115" s="2"/>
      <c r="I115" s="2"/>
      <c r="J115" s="2"/>
      <c r="K115" s="2"/>
      <c r="L115" s="2"/>
      <c r="N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5"/>
    </row>
    <row r="117" spans="1:21" x14ac:dyDescent="0.25">
      <c r="A117" s="5" t="s">
        <v>13</v>
      </c>
      <c r="B117" s="5" t="s">
        <v>4</v>
      </c>
      <c r="C117" s="5" t="s">
        <v>27</v>
      </c>
      <c r="D117" s="5" t="s">
        <v>26</v>
      </c>
      <c r="E117" s="5" t="s">
        <v>5</v>
      </c>
      <c r="F117" s="5" t="s">
        <v>6</v>
      </c>
      <c r="G117" s="5" t="s">
        <v>7</v>
      </c>
      <c r="H117" s="5" t="s">
        <v>8</v>
      </c>
      <c r="I117" s="5" t="s">
        <v>9</v>
      </c>
      <c r="J117" s="5" t="s">
        <v>28</v>
      </c>
      <c r="K117" s="5" t="s">
        <v>31</v>
      </c>
      <c r="L117" s="5" t="s">
        <v>35</v>
      </c>
      <c r="M117" s="5" t="s">
        <v>33</v>
      </c>
      <c r="N117" s="5" t="s">
        <v>34</v>
      </c>
      <c r="O117" s="5" t="s">
        <v>36</v>
      </c>
      <c r="P117" s="5" t="s">
        <v>10</v>
      </c>
      <c r="Q117" s="5" t="s">
        <v>37</v>
      </c>
    </row>
    <row r="118" spans="1:21" x14ac:dyDescent="0.25">
      <c r="A118" s="12">
        <v>0</v>
      </c>
      <c r="B118" s="6">
        <f t="shared" ref="B118:B123" si="44">0.5*E118/($B$113*10^-3)</f>
        <v>378.21906220559788</v>
      </c>
      <c r="C118" s="2">
        <v>992.4</v>
      </c>
      <c r="D118" s="3">
        <v>0.48699999999999999</v>
      </c>
      <c r="E118" s="6">
        <v>16.73</v>
      </c>
      <c r="F118" s="6">
        <f t="shared" ref="F118:F123" si="45">E118/D118</f>
        <v>34.353182751540039</v>
      </c>
      <c r="G118" s="14">
        <f t="shared" ref="G118:G123" si="46">1/($B$112*10^-9*(2*PI()*C118*10^3)^2*10^-6)</f>
        <v>3.5741201856398019</v>
      </c>
      <c r="H118" s="6">
        <f t="shared" ref="H118:H123" si="47">(2*PI()*C118*10^3*G118*10^-6)/((D118/E118)*(1/(2*PI()*C118*10^3*$B$112*10^-9)))</f>
        <v>34.353182751540039</v>
      </c>
      <c r="I118" s="3">
        <f t="shared" ref="I118:I123" si="48">(2*PI()*C118*10^3*G118*10^-6)/H118</f>
        <v>0.64873719171739475</v>
      </c>
      <c r="J118" s="3">
        <f t="shared" ref="J118:J123" si="49">I118*(B118*10^-3)^2/2</f>
        <v>4.6400817032982183E-2</v>
      </c>
      <c r="K118" s="16">
        <f t="shared" ref="K118:K123" si="50">J118/(B$115)</f>
        <v>3.5420471017543642E-2</v>
      </c>
      <c r="L118" s="2">
        <f t="shared" ref="L118:L123" si="51" xml:space="preserve"> (4*8.85*10^-12*0.01*0.01)/0.0015</f>
        <v>2.3599999999999996E-12</v>
      </c>
      <c r="M118" s="16">
        <f t="shared" ref="M118:M123" si="52">0.5*2*PI()*C118*10^3*L118*E118^2</f>
        <v>2.0593990742942287E-3</v>
      </c>
      <c r="N118" s="8">
        <f t="shared" ref="N118:N123" si="53">M118/J118</f>
        <v>4.4382819225583604E-2</v>
      </c>
      <c r="O118" s="13">
        <f>2*M118/((B118*10^-3)^2)</f>
        <v>2.87927855049059E-2</v>
      </c>
      <c r="P118" s="1">
        <f t="shared" ref="P118:P123" si="54">2*PI()*C118*10^3*G118*10^-6/(I118-O118)</f>
        <v>35.948686820072439</v>
      </c>
      <c r="Q118" t="str">
        <f t="shared" ref="Q118:Q123" si="55">_xlfn.CONCAT("(",B118/1000,",",P118,")")</f>
        <v>(0.378219062205598,35.9486868200724)</v>
      </c>
    </row>
    <row r="119" spans="1:21" x14ac:dyDescent="0.25">
      <c r="A119" s="12">
        <v>0.05</v>
      </c>
      <c r="B119" s="6">
        <f t="shared" si="44"/>
        <v>425.69425829835069</v>
      </c>
      <c r="C119" s="2">
        <v>992.4</v>
      </c>
      <c r="D119" s="3">
        <v>0.53400000000000003</v>
      </c>
      <c r="E119" s="6">
        <v>18.829999999999998</v>
      </c>
      <c r="F119" s="6">
        <f t="shared" si="45"/>
        <v>35.262172284644187</v>
      </c>
      <c r="G119" s="14">
        <f t="shared" si="46"/>
        <v>3.5741201856398019</v>
      </c>
      <c r="H119" s="6">
        <f t="shared" si="47"/>
        <v>35.262172284644187</v>
      </c>
      <c r="I119" s="3">
        <f t="shared" si="48"/>
        <v>0.63201402128290374</v>
      </c>
      <c r="J119" s="3">
        <f t="shared" si="49"/>
        <v>5.7265400526833751E-2</v>
      </c>
      <c r="K119" s="16">
        <f t="shared" si="50"/>
        <v>4.3714046203689877E-2</v>
      </c>
      <c r="L119" s="2">
        <f t="shared" si="51"/>
        <v>2.3599999999999996E-12</v>
      </c>
      <c r="M119" s="16">
        <f t="shared" si="52"/>
        <v>2.6088509727596621E-3</v>
      </c>
      <c r="N119" s="8">
        <f t="shared" si="53"/>
        <v>4.5557194200312838E-2</v>
      </c>
      <c r="O119" s="13">
        <f t="shared" ref="O119:O123" si="56">2*M119/((B119*10^-3)^2)</f>
        <v>2.8792785504905896E-2</v>
      </c>
      <c r="P119" s="1">
        <f t="shared" si="54"/>
        <v>36.945296324067854</v>
      </c>
      <c r="Q119" t="str">
        <f t="shared" si="55"/>
        <v>(0.425694258298351,36.9452963240679)</v>
      </c>
    </row>
    <row r="120" spans="1:21" x14ac:dyDescent="0.25">
      <c r="A120" s="12">
        <v>0.15</v>
      </c>
      <c r="B120" s="6">
        <f t="shared" si="44"/>
        <v>554.10336011112997</v>
      </c>
      <c r="C120" s="2">
        <v>992.4</v>
      </c>
      <c r="D120" s="3">
        <v>0.68140000000000001</v>
      </c>
      <c r="E120" s="6">
        <v>24.51</v>
      </c>
      <c r="F120" s="6">
        <f t="shared" si="45"/>
        <v>35.97006163780452</v>
      </c>
      <c r="G120" s="14">
        <f t="shared" si="46"/>
        <v>3.5741201856398019</v>
      </c>
      <c r="H120" s="6">
        <f t="shared" si="47"/>
        <v>35.970061637804513</v>
      </c>
      <c r="I120" s="3">
        <f t="shared" si="48"/>
        <v>0.61957601099481463</v>
      </c>
      <c r="J120" s="3">
        <f t="shared" si="49"/>
        <v>9.5114376657528227E-2</v>
      </c>
      <c r="K120" s="16">
        <f t="shared" si="50"/>
        <v>7.2606394395059698E-2</v>
      </c>
      <c r="L120" s="2">
        <f t="shared" si="51"/>
        <v>2.3599999999999996E-12</v>
      </c>
      <c r="M120" s="16">
        <f t="shared" si="52"/>
        <v>4.4201321499452917E-3</v>
      </c>
      <c r="N120" s="8">
        <f t="shared" si="53"/>
        <v>4.6471756481783574E-2</v>
      </c>
      <c r="O120" s="13">
        <f t="shared" si="56"/>
        <v>2.8792785504905889E-2</v>
      </c>
      <c r="P120" s="1">
        <f t="shared" si="54"/>
        <v>37.72312134676411</v>
      </c>
      <c r="Q120" t="str">
        <f t="shared" si="55"/>
        <v>(0.55410336011113,37.7231213467641)</v>
      </c>
    </row>
    <row r="121" spans="1:21" x14ac:dyDescent="0.25">
      <c r="A121" s="12">
        <v>0.3</v>
      </c>
      <c r="B121" s="6">
        <f t="shared" si="44"/>
        <v>887.10794984743939</v>
      </c>
      <c r="C121" s="2">
        <v>992.4</v>
      </c>
      <c r="D121" s="3">
        <v>1.127</v>
      </c>
      <c r="E121" s="6">
        <v>39.24</v>
      </c>
      <c r="F121" s="6">
        <f t="shared" si="45"/>
        <v>34.818101153504884</v>
      </c>
      <c r="G121" s="14">
        <f t="shared" si="46"/>
        <v>3.5741201856398019</v>
      </c>
      <c r="H121" s="6">
        <f t="shared" si="47"/>
        <v>34.818101153504877</v>
      </c>
      <c r="I121" s="3">
        <f t="shared" si="48"/>
        <v>0.64007474751520577</v>
      </c>
      <c r="J121" s="3">
        <f t="shared" si="49"/>
        <v>0.25185677636992748</v>
      </c>
      <c r="K121" s="16">
        <f t="shared" si="50"/>
        <v>0.19225708119841789</v>
      </c>
      <c r="L121" s="2">
        <f t="shared" si="51"/>
        <v>2.3599999999999996E-12</v>
      </c>
      <c r="M121" s="16">
        <f t="shared" si="52"/>
        <v>1.1329392650042175E-2</v>
      </c>
      <c r="N121" s="8">
        <f t="shared" si="53"/>
        <v>4.4983473596920627E-2</v>
      </c>
      <c r="O121" s="13">
        <f t="shared" si="56"/>
        <v>2.8792785504905896E-2</v>
      </c>
      <c r="P121" s="1">
        <f t="shared" si="54"/>
        <v>36.458113750807875</v>
      </c>
      <c r="Q121" t="str">
        <f t="shared" si="55"/>
        <v>(0.887107949847439,36.4581137508079)</v>
      </c>
    </row>
    <row r="122" spans="1:21" x14ac:dyDescent="0.25">
      <c r="A122" s="12">
        <v>0.4</v>
      </c>
      <c r="B122" s="6">
        <f t="shared" si="44"/>
        <v>1237.7461838467714</v>
      </c>
      <c r="C122" s="2">
        <v>992.4</v>
      </c>
      <c r="D122" s="3">
        <v>1.532</v>
      </c>
      <c r="E122" s="6">
        <v>54.75</v>
      </c>
      <c r="F122" s="6">
        <f t="shared" si="45"/>
        <v>35.737597911227155</v>
      </c>
      <c r="G122" s="14">
        <f t="shared" si="46"/>
        <v>3.5741201856398019</v>
      </c>
      <c r="H122" s="6">
        <f t="shared" si="47"/>
        <v>35.737597911227148</v>
      </c>
      <c r="I122" s="3">
        <f t="shared" si="48"/>
        <v>0.62360619088467639</v>
      </c>
      <c r="J122" s="3">
        <f t="shared" si="49"/>
        <v>0.47768721121857455</v>
      </c>
      <c r="K122" s="16">
        <f t="shared" si="50"/>
        <v>0.3646467261210492</v>
      </c>
      <c r="L122" s="2">
        <f t="shared" si="51"/>
        <v>2.3599999999999996E-12</v>
      </c>
      <c r="M122" s="16">
        <f t="shared" si="52"/>
        <v>2.2055498505460815E-2</v>
      </c>
      <c r="N122" s="8">
        <f t="shared" si="53"/>
        <v>4.6171423449243063E-2</v>
      </c>
      <c r="O122" s="13">
        <f t="shared" si="56"/>
        <v>2.8792785504905893E-2</v>
      </c>
      <c r="P122" s="1">
        <f t="shared" si="54"/>
        <v>37.46752696429138</v>
      </c>
      <c r="Q122" t="str">
        <f t="shared" si="55"/>
        <v>(1.23774618384677,37.4675269642914)</v>
      </c>
    </row>
    <row r="123" spans="1:21" x14ac:dyDescent="0.25">
      <c r="A123" s="12">
        <v>0.45</v>
      </c>
      <c r="B123" s="6">
        <f t="shared" si="44"/>
        <v>1458.6188818592452</v>
      </c>
      <c r="C123" s="2">
        <v>992.4</v>
      </c>
      <c r="D123" s="3">
        <v>1.732</v>
      </c>
      <c r="E123" s="6">
        <v>64.52</v>
      </c>
      <c r="F123" s="6">
        <f t="shared" si="45"/>
        <v>37.251732101616625</v>
      </c>
      <c r="G123" s="14">
        <f t="shared" si="46"/>
        <v>3.5741201856398019</v>
      </c>
      <c r="H123" s="6">
        <f t="shared" si="47"/>
        <v>37.251732101616618</v>
      </c>
      <c r="I123" s="3">
        <f t="shared" si="48"/>
        <v>0.59825908883902268</v>
      </c>
      <c r="J123" s="3">
        <f t="shared" si="49"/>
        <v>0.63641875840896123</v>
      </c>
      <c r="K123" s="16">
        <f t="shared" si="50"/>
        <v>0.48581584611371076</v>
      </c>
      <c r="L123" s="2">
        <f t="shared" si="51"/>
        <v>2.3599999999999996E-12</v>
      </c>
      <c r="M123" s="16">
        <f t="shared" si="52"/>
        <v>3.0629319544025136E-2</v>
      </c>
      <c r="N123" s="8">
        <f t="shared" si="53"/>
        <v>4.8127619023358215E-2</v>
      </c>
      <c r="O123" s="13">
        <f t="shared" si="56"/>
        <v>2.87927855049059E-2</v>
      </c>
      <c r="P123" s="1">
        <f t="shared" si="54"/>
        <v>39.135216911531288</v>
      </c>
      <c r="Q123" t="str">
        <f t="shared" si="55"/>
        <v>(1.45861888185925,39.1352169115313)</v>
      </c>
    </row>
    <row r="124" spans="1:21" x14ac:dyDescent="0.25">
      <c r="A124" s="12"/>
      <c r="B124" s="6"/>
      <c r="C124" s="2"/>
      <c r="D124" s="3"/>
      <c r="E124" s="6"/>
      <c r="F124" s="6"/>
      <c r="G124" s="14"/>
      <c r="H124" s="6"/>
      <c r="I124" s="3"/>
      <c r="J124" s="3"/>
      <c r="K124" s="16"/>
      <c r="L124" s="2"/>
      <c r="M124" s="16"/>
      <c r="N124" s="8"/>
      <c r="O124" s="13"/>
      <c r="P124" s="1"/>
    </row>
    <row r="126" spans="1:21" x14ac:dyDescent="0.25">
      <c r="A126" s="148" t="s">
        <v>99</v>
      </c>
      <c r="B126" s="148"/>
      <c r="C126" s="148"/>
      <c r="D126" s="53"/>
      <c r="E126" s="53"/>
      <c r="F126" s="53"/>
      <c r="G126" s="53"/>
      <c r="H126" s="53"/>
      <c r="I126" s="53"/>
      <c r="J126" s="84"/>
      <c r="K126" s="84"/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 spans="1:21" x14ac:dyDescent="0.25">
      <c r="A127" s="77"/>
      <c r="B127" s="77"/>
      <c r="C127" s="77"/>
      <c r="D127" s="78"/>
      <c r="E127" s="78"/>
      <c r="F127" s="78"/>
      <c r="G127" s="78"/>
      <c r="H127" s="78"/>
      <c r="I127" s="78"/>
      <c r="J127" s="79"/>
      <c r="K127" s="79"/>
      <c r="L127" s="78"/>
      <c r="M127" s="78"/>
      <c r="N127" s="78"/>
      <c r="O127" s="78"/>
      <c r="P127" s="78"/>
      <c r="Q127" s="78"/>
      <c r="R127" s="78"/>
      <c r="S127" s="78"/>
      <c r="T127" s="78"/>
      <c r="U127" s="78"/>
    </row>
    <row r="128" spans="1:21" ht="31.5" x14ac:dyDescent="0.25">
      <c r="A128" s="82" t="s">
        <v>129</v>
      </c>
      <c r="B128" s="83" t="s">
        <v>118</v>
      </c>
      <c r="C128" s="74"/>
      <c r="D128" s="82" t="s">
        <v>110</v>
      </c>
      <c r="E128" s="83" t="s">
        <v>119</v>
      </c>
      <c r="F128" s="74"/>
      <c r="G128" s="74"/>
      <c r="H128" s="69"/>
      <c r="I128" s="69"/>
      <c r="J128" s="69"/>
      <c r="K128" s="69"/>
      <c r="L128" s="69"/>
      <c r="M128" s="69"/>
      <c r="N128" s="69"/>
      <c r="O128" s="53"/>
      <c r="P128" s="53"/>
      <c r="Q128" s="53"/>
      <c r="R128" s="53"/>
      <c r="S128" s="53"/>
      <c r="T128" s="53"/>
      <c r="U128" s="53"/>
    </row>
    <row r="129" spans="1:21" x14ac:dyDescent="0.25">
      <c r="A129" s="82"/>
      <c r="B129" s="83"/>
      <c r="C129" s="56"/>
      <c r="D129" s="82"/>
      <c r="E129" s="83"/>
      <c r="F129" s="56"/>
      <c r="G129" s="56"/>
      <c r="H129" s="53"/>
      <c r="I129" s="56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 spans="1:21" x14ac:dyDescent="0.25">
      <c r="A130" s="48" t="s">
        <v>100</v>
      </c>
      <c r="B130" s="49" t="s">
        <v>101</v>
      </c>
      <c r="C130" s="57"/>
      <c r="D130" s="48" t="s">
        <v>100</v>
      </c>
      <c r="E130" s="49" t="s">
        <v>101</v>
      </c>
      <c r="F130" s="56"/>
      <c r="G130" s="56"/>
      <c r="H130" s="53"/>
      <c r="I130" s="56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 spans="1:21" x14ac:dyDescent="0.25">
      <c r="A131" s="50">
        <v>0</v>
      </c>
      <c r="B131" s="51">
        <v>24</v>
      </c>
      <c r="C131" s="56"/>
      <c r="D131" s="50">
        <v>0</v>
      </c>
      <c r="E131" s="51">
        <v>25</v>
      </c>
      <c r="F131" s="56"/>
      <c r="G131" s="56"/>
      <c r="H131" s="53"/>
      <c r="I131" s="56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 spans="1:21" x14ac:dyDescent="0.25">
      <c r="A132" s="50">
        <v>5</v>
      </c>
      <c r="B132" s="51">
        <v>27</v>
      </c>
      <c r="C132" s="60"/>
      <c r="D132" s="50">
        <v>5</v>
      </c>
      <c r="E132" s="51">
        <v>33.700000000000003</v>
      </c>
      <c r="F132" s="56"/>
      <c r="G132" s="56"/>
      <c r="H132" s="53"/>
      <c r="I132" s="56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 spans="1:21" x14ac:dyDescent="0.25">
      <c r="A133" s="50">
        <v>10</v>
      </c>
      <c r="B133" s="51">
        <v>28</v>
      </c>
      <c r="C133" s="56"/>
      <c r="D133" s="50">
        <v>10</v>
      </c>
      <c r="E133" s="51">
        <v>38.1</v>
      </c>
      <c r="F133" s="56"/>
      <c r="G133" s="56"/>
      <c r="H133" s="53"/>
      <c r="I133" s="56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 spans="1:21" x14ac:dyDescent="0.25">
      <c r="A134" s="50">
        <v>15</v>
      </c>
      <c r="B134" s="51">
        <v>28</v>
      </c>
      <c r="C134" s="56"/>
      <c r="D134" s="50">
        <v>15</v>
      </c>
      <c r="E134" s="51">
        <v>39.4</v>
      </c>
      <c r="F134" s="56"/>
      <c r="G134" s="56"/>
      <c r="H134" s="53"/>
      <c r="I134" s="56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 spans="1:21" x14ac:dyDescent="0.25">
      <c r="A135" s="50">
        <v>20</v>
      </c>
      <c r="B135" s="51">
        <v>28</v>
      </c>
      <c r="C135" s="59"/>
      <c r="D135" s="50">
        <v>20</v>
      </c>
      <c r="E135" s="51">
        <v>40.200000000000003</v>
      </c>
      <c r="F135" s="59"/>
      <c r="G135" s="59"/>
      <c r="H135" s="59"/>
      <c r="I135" s="59"/>
      <c r="J135" s="59"/>
      <c r="K135" s="59"/>
      <c r="L135" s="59"/>
      <c r="M135" s="53"/>
      <c r="N135" s="53"/>
      <c r="O135" s="53"/>
      <c r="P135" s="53"/>
      <c r="Q135" s="53"/>
      <c r="R135" s="53"/>
      <c r="S135" s="53"/>
      <c r="T135" s="53"/>
      <c r="U135" s="53"/>
    </row>
    <row r="136" spans="1:21" x14ac:dyDescent="0.25">
      <c r="A136" s="50">
        <v>25</v>
      </c>
      <c r="B136" s="51">
        <v>28</v>
      </c>
      <c r="C136" s="63"/>
      <c r="D136" s="50">
        <v>25</v>
      </c>
      <c r="E136" s="51">
        <v>40.299999999999997</v>
      </c>
      <c r="F136" s="60"/>
      <c r="G136" s="58"/>
      <c r="H136" s="58"/>
      <c r="I136" s="64"/>
      <c r="J136" s="58"/>
      <c r="K136" s="57"/>
      <c r="L136" s="57"/>
      <c r="M136" s="53"/>
      <c r="N136" s="53"/>
      <c r="O136" s="53"/>
      <c r="P136" s="53"/>
      <c r="Q136" s="53"/>
      <c r="R136" s="53"/>
      <c r="S136" s="53"/>
      <c r="T136" s="53"/>
      <c r="U136" s="53"/>
    </row>
    <row r="137" spans="1:21" x14ac:dyDescent="0.25">
      <c r="A137" s="50">
        <v>30</v>
      </c>
      <c r="B137" s="51">
        <v>28</v>
      </c>
      <c r="C137" s="53"/>
      <c r="D137" s="50">
        <v>30</v>
      </c>
      <c r="E137" s="51">
        <v>40.799999999999997</v>
      </c>
      <c r="F137" s="53"/>
      <c r="G137" s="53"/>
      <c r="H137" s="53"/>
      <c r="I137" s="53"/>
      <c r="J137" s="53"/>
      <c r="K137" s="53"/>
      <c r="L137" s="53"/>
      <c r="M137" s="59"/>
      <c r="N137" s="59"/>
      <c r="O137" s="59"/>
      <c r="P137" s="53"/>
      <c r="Q137" s="53"/>
      <c r="R137" s="53"/>
      <c r="S137" s="53"/>
      <c r="T137" s="53"/>
      <c r="U137" s="53"/>
    </row>
    <row r="138" spans="1:21" x14ac:dyDescent="0.25">
      <c r="A138" s="50">
        <v>35</v>
      </c>
      <c r="B138" s="51">
        <v>28.1</v>
      </c>
      <c r="C138" s="53"/>
      <c r="D138" s="50">
        <v>35</v>
      </c>
      <c r="E138" s="51">
        <v>40.799999999999997</v>
      </c>
      <c r="F138" s="53"/>
      <c r="G138" s="53"/>
      <c r="H138" s="53"/>
      <c r="I138" s="53"/>
      <c r="J138" s="53"/>
      <c r="K138" s="53"/>
      <c r="L138" s="53"/>
      <c r="M138" s="65"/>
      <c r="N138" s="61"/>
      <c r="O138" s="66"/>
      <c r="P138" s="53"/>
      <c r="Q138" s="53"/>
      <c r="R138" s="53"/>
      <c r="S138" s="53"/>
      <c r="T138" s="53"/>
      <c r="U138" s="53"/>
    </row>
    <row r="139" spans="1:21" x14ac:dyDescent="0.25">
      <c r="A139" s="50">
        <v>40</v>
      </c>
      <c r="B139" s="51">
        <v>28.1</v>
      </c>
      <c r="C139" s="63"/>
      <c r="D139" s="50">
        <v>40</v>
      </c>
      <c r="E139" s="51">
        <v>41.2</v>
      </c>
      <c r="F139" s="60"/>
      <c r="G139" s="58"/>
      <c r="H139" s="58"/>
      <c r="I139" s="64"/>
      <c r="J139" s="58"/>
      <c r="K139" s="57"/>
      <c r="L139" s="57"/>
      <c r="M139" s="65"/>
      <c r="N139" s="61"/>
      <c r="O139" s="66"/>
      <c r="P139" s="53"/>
      <c r="Q139" s="53"/>
      <c r="R139" s="53"/>
      <c r="S139" s="53"/>
      <c r="T139" s="53"/>
      <c r="U139" s="53"/>
    </row>
    <row r="140" spans="1:21" x14ac:dyDescent="0.25">
      <c r="A140" s="50">
        <v>45</v>
      </c>
      <c r="B140" s="51">
        <v>28.1</v>
      </c>
      <c r="C140" s="58"/>
      <c r="D140" s="50">
        <v>45</v>
      </c>
      <c r="E140" s="51">
        <v>41.2</v>
      </c>
      <c r="F140" s="66"/>
      <c r="G140" s="61"/>
      <c r="H140" s="66"/>
      <c r="I140" s="58"/>
      <c r="J140" s="60"/>
      <c r="K140" s="72"/>
      <c r="L140" s="54"/>
      <c r="M140" s="65"/>
      <c r="N140" s="61"/>
      <c r="O140" s="66"/>
      <c r="P140" s="53"/>
      <c r="Q140" s="53"/>
      <c r="R140" s="53"/>
      <c r="S140" s="53"/>
      <c r="T140" s="53"/>
      <c r="U140" s="53"/>
    </row>
    <row r="141" spans="1:21" x14ac:dyDescent="0.25">
      <c r="A141" s="50">
        <v>50</v>
      </c>
      <c r="B141" s="51">
        <v>28.1</v>
      </c>
      <c r="C141" s="53"/>
      <c r="D141" s="50">
        <v>50</v>
      </c>
      <c r="E141" s="51">
        <v>41.4</v>
      </c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 spans="1:21" x14ac:dyDescent="0.25">
      <c r="C142" s="56"/>
      <c r="D142" s="56"/>
      <c r="E142" s="56"/>
      <c r="F142" s="56"/>
      <c r="G142" s="56"/>
      <c r="H142" s="53"/>
      <c r="I142" s="56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 spans="1:21" x14ac:dyDescent="0.25"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 spans="1:21" x14ac:dyDescent="0.25">
      <c r="R144" s="53"/>
      <c r="S144" s="53"/>
      <c r="T144" s="53"/>
      <c r="U144" s="53"/>
    </row>
    <row r="145" spans="1:21" x14ac:dyDescent="0.25">
      <c r="R145" s="53"/>
      <c r="S145" s="53"/>
      <c r="T145" s="53"/>
      <c r="U145" s="53"/>
    </row>
    <row r="146" spans="1:21" x14ac:dyDescent="0.25">
      <c r="A146" s="10" t="s">
        <v>0</v>
      </c>
      <c r="B146" s="10">
        <v>3000</v>
      </c>
      <c r="C146" s="10" t="s">
        <v>15</v>
      </c>
      <c r="D146" s="10"/>
      <c r="E146" s="10"/>
      <c r="F146" s="145" t="s">
        <v>45</v>
      </c>
      <c r="G146" s="145"/>
      <c r="H146" s="145"/>
      <c r="I146" s="145"/>
      <c r="J146" s="145"/>
      <c r="K146" s="145"/>
      <c r="L146" s="145"/>
      <c r="M146" s="145"/>
      <c r="N146" s="145"/>
      <c r="R146" s="53"/>
      <c r="S146" s="53"/>
      <c r="T146" s="53"/>
      <c r="U146" s="53"/>
    </row>
    <row r="147" spans="1:21" x14ac:dyDescent="0.25">
      <c r="A147" s="2" t="s">
        <v>2</v>
      </c>
      <c r="B147" s="2" t="s">
        <v>38</v>
      </c>
      <c r="C147" s="2"/>
      <c r="D147" s="2"/>
      <c r="E147" s="2"/>
      <c r="F147" s="28" t="s">
        <v>120</v>
      </c>
      <c r="G147" s="2"/>
      <c r="H147" s="2"/>
      <c r="I147" s="2"/>
      <c r="J147" s="2"/>
      <c r="K147" s="2"/>
      <c r="L147" s="2"/>
      <c r="N147" s="2"/>
      <c r="R147" s="53"/>
      <c r="S147" s="53"/>
      <c r="T147" s="53"/>
      <c r="U147" s="53"/>
    </row>
    <row r="148" spans="1:21" x14ac:dyDescent="0.25">
      <c r="A148" s="2" t="s">
        <v>17</v>
      </c>
      <c r="B148" s="2">
        <v>3.52</v>
      </c>
      <c r="C148" s="2" t="s">
        <v>14</v>
      </c>
      <c r="D148" s="2" t="s">
        <v>21</v>
      </c>
      <c r="E148" s="2">
        <v>128.05000000000001</v>
      </c>
      <c r="F148" s="2" t="s">
        <v>3</v>
      </c>
      <c r="G148" s="2" t="s">
        <v>41</v>
      </c>
      <c r="H148" s="3">
        <v>6.4</v>
      </c>
      <c r="I148" s="2" t="s">
        <v>1</v>
      </c>
      <c r="J148" s="2"/>
      <c r="K148" s="2"/>
      <c r="L148" s="2"/>
      <c r="N148" s="2"/>
      <c r="R148" s="53"/>
      <c r="S148" s="53"/>
      <c r="T148" s="53"/>
      <c r="U148" s="53"/>
    </row>
    <row r="149" spans="1:21" x14ac:dyDescent="0.25">
      <c r="A149" s="2" t="s">
        <v>18</v>
      </c>
      <c r="B149" s="6">
        <f>B148*10^-6*B146*2*PI()*10^3</f>
        <v>66.350436843816439</v>
      </c>
      <c r="C149" s="2"/>
      <c r="D149" s="2" t="s">
        <v>22</v>
      </c>
      <c r="E149">
        <f>1/(2*PI()*$B$1*10^3*E148*10^-12)</f>
        <v>2485.8249604356943</v>
      </c>
      <c r="F149" s="2"/>
      <c r="G149" s="2" t="s">
        <v>106</v>
      </c>
      <c r="H149" s="2">
        <f>1/(B148*10^-6*(H148*10^6*2*3.14)^2)</f>
        <v>1.7586446737766422E-10</v>
      </c>
      <c r="I149" s="2"/>
      <c r="J149" s="2"/>
      <c r="K149" s="2"/>
      <c r="L149" s="2"/>
      <c r="N149" s="2"/>
      <c r="R149" s="53"/>
      <c r="S149" s="53"/>
      <c r="T149" s="53"/>
      <c r="U149" s="53"/>
    </row>
    <row r="150" spans="1:21" ht="18.75" x14ac:dyDescent="0.3">
      <c r="A150" s="2" t="s">
        <v>19</v>
      </c>
      <c r="B150" s="16">
        <v>0.58889999999999998</v>
      </c>
      <c r="C150" s="2" t="s">
        <v>16</v>
      </c>
      <c r="D150" s="2" t="s">
        <v>24</v>
      </c>
      <c r="E150" s="16">
        <v>10</v>
      </c>
      <c r="F150" s="2" t="s">
        <v>16</v>
      </c>
      <c r="G150" s="19" t="s">
        <v>47</v>
      </c>
      <c r="H150" s="16">
        <f>((1/(2*PI())*SQRT(1/(B148*10^-6*((H149)+(B150*10^-9)))))*10^-6)</f>
        <v>3.0675026682515751</v>
      </c>
      <c r="I150" s="2" t="s">
        <v>1</v>
      </c>
      <c r="J150" s="2"/>
      <c r="K150" s="2"/>
      <c r="L150" s="2"/>
      <c r="N150" s="2"/>
      <c r="R150" s="53"/>
      <c r="S150" s="53"/>
      <c r="T150" s="53"/>
      <c r="U150" s="53"/>
    </row>
    <row r="151" spans="1:21" x14ac:dyDescent="0.25">
      <c r="A151" s="2" t="s">
        <v>20</v>
      </c>
      <c r="B151">
        <f>1/(2*PI()*$B$1*10^3*B150*10^-9)</f>
        <v>540.51602340599538</v>
      </c>
      <c r="C151" s="2"/>
      <c r="D151" s="2" t="s">
        <v>25</v>
      </c>
      <c r="E151">
        <f>1/(2*PI()*$B$146*10^3*E150*10^-9)</f>
        <v>5.3051647697298439</v>
      </c>
      <c r="F151" s="2"/>
      <c r="G151" s="20"/>
      <c r="H151" s="2" t="s">
        <v>12</v>
      </c>
      <c r="I151" s="2"/>
      <c r="J151" s="2"/>
      <c r="K151" s="2"/>
      <c r="L151" s="2"/>
      <c r="N151" s="2"/>
      <c r="R151" s="53"/>
      <c r="S151" s="53"/>
      <c r="T151" s="53"/>
      <c r="U151" s="53"/>
    </row>
    <row r="152" spans="1:21" x14ac:dyDescent="0.25">
      <c r="A152" s="2" t="s">
        <v>29</v>
      </c>
      <c r="B152" s="3">
        <f>(1/(2*PI()*SQRT(B150*10^-9*B148*10^-6)))/10^6</f>
        <v>3.4956506446940354</v>
      </c>
      <c r="C152" s="2" t="s">
        <v>1</v>
      </c>
      <c r="D152" s="2"/>
      <c r="E152" s="2"/>
      <c r="F152" s="2"/>
      <c r="G152" s="2"/>
      <c r="H152" s="2"/>
      <c r="I152" s="2"/>
      <c r="J152" s="2"/>
      <c r="K152" s="2"/>
      <c r="L152" s="2"/>
      <c r="N152" s="2"/>
    </row>
    <row r="153" spans="1:21" x14ac:dyDescent="0.25">
      <c r="A153" s="2" t="s">
        <v>30</v>
      </c>
      <c r="B153" s="3">
        <f>1310*0.1^3</f>
        <v>1.3100000000000003</v>
      </c>
      <c r="C153" s="15" t="s">
        <v>32</v>
      </c>
      <c r="D153" s="2"/>
      <c r="E153" s="2"/>
      <c r="F153" s="2"/>
      <c r="G153" s="2"/>
      <c r="H153" s="2"/>
      <c r="I153" s="2"/>
      <c r="J153" s="2"/>
      <c r="K153" s="2"/>
      <c r="L153" s="2"/>
      <c r="N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144" t="s">
        <v>11</v>
      </c>
      <c r="K154" s="144"/>
      <c r="L154" s="144"/>
      <c r="M154" s="144"/>
      <c r="N154" s="5"/>
    </row>
    <row r="155" spans="1:21" x14ac:dyDescent="0.25">
      <c r="A155" s="5" t="s">
        <v>13</v>
      </c>
      <c r="B155" s="5" t="s">
        <v>4</v>
      </c>
      <c r="C155" s="5" t="s">
        <v>27</v>
      </c>
      <c r="D155" s="5" t="s">
        <v>26</v>
      </c>
      <c r="E155" s="5" t="s">
        <v>5</v>
      </c>
      <c r="F155" s="5" t="s">
        <v>6</v>
      </c>
      <c r="G155" s="5" t="s">
        <v>7</v>
      </c>
      <c r="H155" s="5" t="s">
        <v>8</v>
      </c>
      <c r="I155" s="5" t="s">
        <v>9</v>
      </c>
      <c r="J155" s="22" t="s">
        <v>107</v>
      </c>
      <c r="K155" s="22" t="s">
        <v>108</v>
      </c>
      <c r="L155" s="21"/>
      <c r="M155" s="23"/>
      <c r="N155" s="5"/>
    </row>
    <row r="156" spans="1:21" x14ac:dyDescent="0.25">
      <c r="A156" s="12">
        <v>0</v>
      </c>
      <c r="B156" s="6">
        <f t="shared" ref="B156:B164" si="57">0.5*E156/($B$151*10^-3)</f>
        <v>29.508838423499515</v>
      </c>
      <c r="C156" s="2">
        <v>3060</v>
      </c>
      <c r="D156" s="6">
        <f>2*0.588</f>
        <v>1.1759999999999999</v>
      </c>
      <c r="E156" s="17">
        <v>31.9</v>
      </c>
      <c r="F156" s="6">
        <f>E156/D156</f>
        <v>27.125850340136054</v>
      </c>
      <c r="G156" s="14">
        <f t="shared" ref="G156:G164" si="58">1/($B$150*10^-9*(2*PI()*C156*10^3)^2*10^-6)</f>
        <v>4.5936283558374331</v>
      </c>
      <c r="H156" s="6">
        <f t="shared" ref="H156:H164" si="59">(2*PI()*C156*10^3*G156*10^-6)/((D156/E156)*(1/(2*PI()*C156*10^3*$B$150*10^-9)))</f>
        <v>27.125850340136054</v>
      </c>
      <c r="I156" s="6">
        <f>(2*PI()*C156*10^3*G156*10^-6)/H156</f>
        <v>3.2559204802868984</v>
      </c>
      <c r="J156" s="13">
        <f t="shared" ref="J156:J164" si="60">((H$149+B$150*10^-9)/(B$150*10^-9))^2</f>
        <v>1.6864454356216669</v>
      </c>
      <c r="K156" s="1">
        <f>I156/J156</f>
        <v>1.9306408683697986</v>
      </c>
      <c r="L156" s="13"/>
      <c r="M156" s="1"/>
      <c r="N156" s="6"/>
    </row>
    <row r="157" spans="1:21" x14ac:dyDescent="0.25">
      <c r="A157" s="12">
        <v>0.05</v>
      </c>
      <c r="B157" s="6">
        <f t="shared" si="57"/>
        <v>32.977745761685192</v>
      </c>
      <c r="C157" s="2">
        <v>3060</v>
      </c>
      <c r="D157" s="6">
        <f>0.658*2</f>
        <v>1.3160000000000001</v>
      </c>
      <c r="E157" s="17">
        <v>35.65</v>
      </c>
      <c r="F157" s="6">
        <f t="shared" ref="F157:F167" si="61">E157/D157</f>
        <v>27.089665653495437</v>
      </c>
      <c r="G157" s="14">
        <f t="shared" si="58"/>
        <v>4.5936283558374331</v>
      </c>
      <c r="H157" s="6">
        <f t="shared" si="59"/>
        <v>27.089665653495441</v>
      </c>
      <c r="I157" s="6">
        <f>(2*PI()*C157*10^3*G157*10^-6)/H157</f>
        <v>3.2602695358940408</v>
      </c>
      <c r="J157" s="13">
        <f t="shared" si="60"/>
        <v>1.6864454356216669</v>
      </c>
      <c r="K157" s="1">
        <f t="shared" ref="K157:K167" si="62">I157/J157</f>
        <v>1.9332196980877843</v>
      </c>
      <c r="L157" s="13"/>
      <c r="M157" s="1"/>
      <c r="N157" s="6"/>
    </row>
    <row r="158" spans="1:21" x14ac:dyDescent="0.25">
      <c r="A158" s="12">
        <v>0.1</v>
      </c>
      <c r="B158" s="6">
        <f t="shared" si="57"/>
        <v>37.103432889234028</v>
      </c>
      <c r="C158" s="2">
        <v>3060</v>
      </c>
      <c r="D158" s="6">
        <f>0.743*2</f>
        <v>1.486</v>
      </c>
      <c r="E158" s="17">
        <v>40.11</v>
      </c>
      <c r="F158" s="6">
        <f t="shared" si="61"/>
        <v>26.99192462987887</v>
      </c>
      <c r="G158" s="14">
        <f t="shared" si="58"/>
        <v>4.5936283558374331</v>
      </c>
      <c r="H158" s="6">
        <f t="shared" si="59"/>
        <v>26.99192462987887</v>
      </c>
      <c r="I158" s="6">
        <f>(2*PI()*C158*10^3*G158*10^-6)/H158</f>
        <v>3.2720753661960216</v>
      </c>
      <c r="J158" s="13">
        <f t="shared" si="60"/>
        <v>1.6864454356216669</v>
      </c>
      <c r="K158" s="1">
        <f t="shared" si="62"/>
        <v>1.9402201204273477</v>
      </c>
      <c r="L158" s="13"/>
      <c r="M158" s="1"/>
      <c r="N158" s="6"/>
    </row>
    <row r="159" spans="1:21" x14ac:dyDescent="0.25">
      <c r="A159" s="12">
        <v>0.2</v>
      </c>
      <c r="B159" s="6">
        <f t="shared" si="57"/>
        <v>48.703459028126943</v>
      </c>
      <c r="C159" s="2">
        <v>3060</v>
      </c>
      <c r="D159" s="6">
        <f>0.982*2</f>
        <v>1.964</v>
      </c>
      <c r="E159" s="17">
        <v>52.65</v>
      </c>
      <c r="F159" s="6">
        <f t="shared" si="61"/>
        <v>26.807535641547862</v>
      </c>
      <c r="G159" s="14">
        <f t="shared" si="58"/>
        <v>4.5936283558374331</v>
      </c>
      <c r="H159" s="6">
        <f t="shared" si="59"/>
        <v>26.807535641547858</v>
      </c>
      <c r="I159" s="6">
        <f>(2*PI()*C159*10^3*G159*10^-6)/H159</f>
        <v>3.2945815254559805</v>
      </c>
      <c r="J159" s="13">
        <f t="shared" si="60"/>
        <v>1.6864454356216669</v>
      </c>
      <c r="K159" s="1">
        <f t="shared" si="62"/>
        <v>1.9535654435457697</v>
      </c>
      <c r="L159" s="13"/>
      <c r="M159" s="1"/>
      <c r="N159" s="6"/>
    </row>
    <row r="160" spans="1:21" x14ac:dyDescent="0.25">
      <c r="A160" s="12">
        <v>0.3</v>
      </c>
      <c r="B160" s="6">
        <f t="shared" si="57"/>
        <v>66.88053348021991</v>
      </c>
      <c r="C160" s="2">
        <v>3060</v>
      </c>
      <c r="D160" s="6">
        <f>2*1.36</f>
        <v>2.72</v>
      </c>
      <c r="E160" s="17">
        <v>72.3</v>
      </c>
      <c r="F160" s="6">
        <f t="shared" si="61"/>
        <v>26.580882352941174</v>
      </c>
      <c r="G160" s="14">
        <f t="shared" si="58"/>
        <v>4.5936283558374331</v>
      </c>
      <c r="H160" s="6">
        <f t="shared" si="59"/>
        <v>26.580882352941174</v>
      </c>
      <c r="I160" s="6">
        <f>(2*PI()*C160*10^3*G160*10^-6)/H160</f>
        <v>3.3226741872198895</v>
      </c>
      <c r="J160" s="13">
        <f t="shared" si="60"/>
        <v>1.6864454356216669</v>
      </c>
      <c r="K160" s="1">
        <f t="shared" si="62"/>
        <v>1.9702233567936733</v>
      </c>
      <c r="L160" s="13"/>
      <c r="M160" s="1"/>
      <c r="N160" s="6"/>
    </row>
    <row r="161" spans="1:14" x14ac:dyDescent="0.25">
      <c r="A161" s="12">
        <v>0.4</v>
      </c>
      <c r="B161" s="6">
        <f t="shared" si="57"/>
        <v>93.429237641800981</v>
      </c>
      <c r="C161" s="2">
        <v>3060</v>
      </c>
      <c r="D161" s="146">
        <f>2*1.93</f>
        <v>3.86</v>
      </c>
      <c r="E161" s="146">
        <v>101</v>
      </c>
      <c r="F161" s="146">
        <f t="shared" si="61"/>
        <v>26.165803108808291</v>
      </c>
      <c r="G161" s="14">
        <f t="shared" si="58"/>
        <v>4.5936283558374331</v>
      </c>
      <c r="H161" s="6">
        <f t="shared" si="59"/>
        <v>26.165803108808291</v>
      </c>
      <c r="I161" s="6">
        <f t="shared" ref="I161:I167" si="63">(2*PI()*C161*10^3*G161*10^-6)/H161</f>
        <v>3.3753831785852948</v>
      </c>
      <c r="J161" s="13">
        <f t="shared" si="60"/>
        <v>1.6864454356216669</v>
      </c>
      <c r="K161" s="1">
        <f t="shared" si="62"/>
        <v>2.0014778464154945</v>
      </c>
      <c r="L161" s="13"/>
      <c r="M161" s="1"/>
    </row>
    <row r="162" spans="1:14" x14ac:dyDescent="0.25">
      <c r="A162" s="12">
        <v>0.5</v>
      </c>
      <c r="B162" s="6">
        <f t="shared" si="57"/>
        <v>131.91098304674077</v>
      </c>
      <c r="C162" s="2">
        <v>3060</v>
      </c>
      <c r="D162" s="146">
        <f>2*2.71</f>
        <v>5.42</v>
      </c>
      <c r="E162" s="146">
        <v>142.6</v>
      </c>
      <c r="F162" s="146">
        <f t="shared" si="61"/>
        <v>26.309963099630995</v>
      </c>
      <c r="G162" s="14">
        <f t="shared" si="58"/>
        <v>4.5936283558374331</v>
      </c>
      <c r="H162" s="6">
        <f t="shared" si="59"/>
        <v>26.309963099630995</v>
      </c>
      <c r="I162" s="6">
        <f t="shared" si="63"/>
        <v>3.3568884659091376</v>
      </c>
      <c r="J162" s="13">
        <f t="shared" si="60"/>
        <v>1.6864454356216669</v>
      </c>
      <c r="K162" s="1">
        <f t="shared" si="62"/>
        <v>1.9905111633046715</v>
      </c>
    </row>
    <row r="163" spans="1:14" x14ac:dyDescent="0.25">
      <c r="A163" s="12">
        <v>0.6</v>
      </c>
      <c r="B163" s="6">
        <f t="shared" si="57"/>
        <v>165.58251027606312</v>
      </c>
      <c r="C163" s="2">
        <v>3060</v>
      </c>
      <c r="D163" s="146">
        <f>3.46*2</f>
        <v>6.92</v>
      </c>
      <c r="E163" s="146">
        <v>179</v>
      </c>
      <c r="F163" s="146">
        <f t="shared" si="61"/>
        <v>25.867052023121389</v>
      </c>
      <c r="G163" s="14">
        <f t="shared" si="58"/>
        <v>4.5936283558374331</v>
      </c>
      <c r="H163" s="6">
        <f t="shared" si="59"/>
        <v>25.867052023121392</v>
      </c>
      <c r="I163" s="6">
        <f t="shared" si="63"/>
        <v>3.4143671102799575</v>
      </c>
      <c r="J163" s="13">
        <f t="shared" si="60"/>
        <v>1.6864454356216669</v>
      </c>
      <c r="K163" s="1">
        <f t="shared" si="62"/>
        <v>2.0245938814031859</v>
      </c>
    </row>
    <row r="164" spans="1:14" x14ac:dyDescent="0.25">
      <c r="A164" s="75">
        <v>0.7</v>
      </c>
      <c r="B164" s="6">
        <f t="shared" si="57"/>
        <v>182.23326549935439</v>
      </c>
      <c r="C164" s="2">
        <v>3060</v>
      </c>
      <c r="D164">
        <f>3.85*2</f>
        <v>7.7</v>
      </c>
      <c r="E164" s="146">
        <v>197</v>
      </c>
      <c r="F164" s="146">
        <f t="shared" si="61"/>
        <v>25.584415584415584</v>
      </c>
      <c r="G164" s="14">
        <f t="shared" si="58"/>
        <v>4.5936283558374331</v>
      </c>
      <c r="H164" s="6">
        <f t="shared" si="59"/>
        <v>25.584415584415581</v>
      </c>
      <c r="I164" s="6">
        <f t="shared" si="63"/>
        <v>3.4520863443699326</v>
      </c>
      <c r="J164" s="13">
        <f t="shared" si="60"/>
        <v>1.6864454356216669</v>
      </c>
      <c r="K164" s="1">
        <f t="shared" si="62"/>
        <v>2.0469599973137615</v>
      </c>
    </row>
    <row r="165" spans="1:14" x14ac:dyDescent="0.25">
      <c r="A165" t="s">
        <v>109</v>
      </c>
      <c r="C165" s="2"/>
    </row>
    <row r="166" spans="1:14" x14ac:dyDescent="0.25">
      <c r="B166" s="6">
        <f>0.5*E166/($B$151*10^-3)</f>
        <v>252.53645421991749</v>
      </c>
      <c r="C166" s="2">
        <v>3060</v>
      </c>
      <c r="D166">
        <f>5.59*2</f>
        <v>11.18</v>
      </c>
      <c r="E166" s="146">
        <v>273</v>
      </c>
      <c r="F166" s="146">
        <f t="shared" si="61"/>
        <v>24.418604651162791</v>
      </c>
      <c r="G166" s="14">
        <f>1/($B$150*10^-9*(2*PI()*C166*10^3)^2*10^-6)</f>
        <v>4.5936283558374331</v>
      </c>
      <c r="H166" s="6">
        <f>(2*PI()*C166*10^3*G166*10^-6)/((D166/E166)*(1/(2*PI()*C166*10^3*$B$150*10^-9)))</f>
        <v>24.418604651162791</v>
      </c>
      <c r="I166" s="6">
        <f t="shared" si="63"/>
        <v>3.6168983825798011</v>
      </c>
      <c r="J166" s="13">
        <f>((H$149+B$150*10^-9)/(B$150*10^-9))^2</f>
        <v>1.6864454356216669</v>
      </c>
      <c r="K166" s="1">
        <f t="shared" si="62"/>
        <v>2.1446874628626924</v>
      </c>
    </row>
    <row r="167" spans="1:14" x14ac:dyDescent="0.25">
      <c r="B167" s="6">
        <f>0.5*E167/($B$151*10^-3)</f>
        <v>303.69127443369564</v>
      </c>
      <c r="C167" s="2">
        <v>3060</v>
      </c>
      <c r="D167">
        <f>6.77*2</f>
        <v>13.54</v>
      </c>
      <c r="E167" s="146">
        <v>328.3</v>
      </c>
      <c r="F167" s="146">
        <f t="shared" si="61"/>
        <v>24.246676514032497</v>
      </c>
      <c r="G167" s="14">
        <f>1/($B$150*10^-9*(2*PI()*C167*10^3)^2*10^-6)</f>
        <v>4.5936283558374331</v>
      </c>
      <c r="H167" s="6">
        <f>(2*PI()*C167*10^3*G167*10^-6)/((D167/E167)*(1/(2*PI()*C167*10^3*$B$150*10^-9)))</f>
        <v>24.246676514032497</v>
      </c>
      <c r="I167" s="6">
        <f t="shared" si="63"/>
        <v>3.6425450562897685</v>
      </c>
      <c r="J167" s="13">
        <f>((H$149+B$150*10^-9)/(B$150*10^-9))^2</f>
        <v>1.6864454356216669</v>
      </c>
      <c r="K167" s="1">
        <f t="shared" si="62"/>
        <v>2.1598949953260913</v>
      </c>
    </row>
    <row r="172" spans="1:14" x14ac:dyDescent="0.25">
      <c r="A172" s="76" t="s">
        <v>0</v>
      </c>
      <c r="B172" s="76">
        <v>1000</v>
      </c>
      <c r="C172" s="76" t="s">
        <v>15</v>
      </c>
      <c r="D172" s="76"/>
      <c r="E172" s="76"/>
      <c r="F172" s="2"/>
      <c r="G172" s="2"/>
      <c r="H172" s="2"/>
      <c r="I172" s="2"/>
      <c r="J172" s="146"/>
      <c r="K172" s="146"/>
      <c r="L172" s="146"/>
      <c r="M172" s="146"/>
      <c r="N172" s="2"/>
    </row>
    <row r="173" spans="1:14" x14ac:dyDescent="0.25">
      <c r="A173" s="2" t="s">
        <v>2</v>
      </c>
      <c r="B173" s="2" t="s">
        <v>38</v>
      </c>
      <c r="C173" s="2"/>
      <c r="D173" s="2"/>
      <c r="E173" s="2"/>
      <c r="F173" s="2"/>
      <c r="G173" s="2"/>
      <c r="H173" s="2"/>
      <c r="I173" s="2"/>
      <c r="J173" s="146"/>
      <c r="K173" s="146"/>
      <c r="L173" s="146"/>
      <c r="M173" s="146"/>
      <c r="N173" s="2"/>
    </row>
    <row r="174" spans="1:14" x14ac:dyDescent="0.25">
      <c r="A174" t="s">
        <v>67</v>
      </c>
      <c r="B174" s="2">
        <v>1.0512999999999999</v>
      </c>
      <c r="C174" s="2" t="s">
        <v>14</v>
      </c>
      <c r="D174" s="26" t="s">
        <v>98</v>
      </c>
      <c r="E174" s="2"/>
      <c r="F174" s="2"/>
      <c r="G174" s="2"/>
      <c r="H174" s="3"/>
      <c r="I174" s="2"/>
      <c r="J174" s="2"/>
      <c r="K174" s="2"/>
      <c r="L174" s="2"/>
      <c r="N174" s="2"/>
    </row>
    <row r="175" spans="1:14" x14ac:dyDescent="0.25">
      <c r="A175" t="s">
        <v>68</v>
      </c>
      <c r="B175" s="6">
        <f>B174*10^-6*B172*2*PI()*10^3</f>
        <v>6.6055127134378981</v>
      </c>
      <c r="C175" s="2"/>
      <c r="D175" s="2"/>
      <c r="F175" s="2"/>
      <c r="G175" s="2"/>
      <c r="H175" s="2"/>
      <c r="I175" s="2"/>
      <c r="J175" s="2"/>
      <c r="K175" s="2"/>
      <c r="L175" s="2"/>
      <c r="N175" s="2"/>
    </row>
    <row r="176" spans="1:14" ht="18" x14ac:dyDescent="0.25">
      <c r="A176" s="2" t="s">
        <v>19</v>
      </c>
      <c r="B176" s="6">
        <v>24.09</v>
      </c>
      <c r="C176" s="2" t="s">
        <v>16</v>
      </c>
      <c r="D176" s="2" t="s">
        <v>24</v>
      </c>
      <c r="E176" s="16">
        <f>5.0302+0.38012+0.030452</f>
        <v>5.4407719999999999</v>
      </c>
      <c r="F176" s="2" t="s">
        <v>16</v>
      </c>
      <c r="G176" s="19"/>
      <c r="H176" s="16"/>
      <c r="I176" s="2"/>
      <c r="J176" s="2"/>
      <c r="K176" s="2"/>
      <c r="L176" s="2"/>
      <c r="N176" s="2"/>
    </row>
    <row r="177" spans="1:17" x14ac:dyDescent="0.25">
      <c r="A177" s="2" t="s">
        <v>20</v>
      </c>
      <c r="B177" s="13">
        <f>1/(2*PI()*$B$172*10^3*B176*10^-9)</f>
        <v>6.606680908754476</v>
      </c>
      <c r="C177" s="2"/>
      <c r="D177" s="2" t="s">
        <v>25</v>
      </c>
      <c r="E177">
        <f>1/(2*PI()*$B$172*10^3*E176*10^-9)</f>
        <v>29.252272120922424</v>
      </c>
      <c r="F177" s="2"/>
      <c r="G177" s="2"/>
      <c r="H177" s="2"/>
      <c r="I177" s="2"/>
      <c r="J177" s="2"/>
      <c r="K177" s="2"/>
      <c r="L177" s="2"/>
      <c r="N177" s="2"/>
    </row>
    <row r="178" spans="1:17" x14ac:dyDescent="0.25">
      <c r="A178" s="2" t="s">
        <v>29</v>
      </c>
      <c r="B178" s="3">
        <f>(1/(2*PI()*SQRT(B176*10^-9*B174*10^-6)))/10^3</f>
        <v>1000.0884218774929</v>
      </c>
      <c r="C178" s="2" t="s">
        <v>15</v>
      </c>
      <c r="D178" s="2"/>
      <c r="E178" s="2"/>
      <c r="F178" s="2"/>
      <c r="G178" s="2"/>
      <c r="H178" s="2"/>
      <c r="I178" s="2"/>
      <c r="J178" s="2"/>
      <c r="K178" s="2"/>
      <c r="L178" s="2"/>
      <c r="N178" s="2"/>
    </row>
    <row r="179" spans="1:17" x14ac:dyDescent="0.25">
      <c r="A179" s="2" t="s">
        <v>30</v>
      </c>
      <c r="B179" s="3">
        <f>1310*0.1^3</f>
        <v>1.3100000000000003</v>
      </c>
      <c r="C179" s="15" t="s">
        <v>32</v>
      </c>
      <c r="D179" s="2"/>
      <c r="E179" s="2"/>
      <c r="F179" s="2"/>
      <c r="G179" s="2"/>
      <c r="H179" s="2"/>
      <c r="I179" s="2"/>
      <c r="J179" s="2"/>
      <c r="K179" s="2"/>
      <c r="L179" s="2"/>
      <c r="N179" s="2"/>
    </row>
    <row r="180" spans="1:1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5"/>
    </row>
    <row r="181" spans="1:17" x14ac:dyDescent="0.25">
      <c r="A181" s="5" t="s">
        <v>13</v>
      </c>
      <c r="B181" s="5" t="s">
        <v>4</v>
      </c>
      <c r="C181" s="5" t="s">
        <v>27</v>
      </c>
      <c r="D181" s="5" t="s">
        <v>26</v>
      </c>
      <c r="E181" s="5" t="s">
        <v>5</v>
      </c>
      <c r="F181" s="5" t="s">
        <v>6</v>
      </c>
      <c r="G181" s="5" t="s">
        <v>7</v>
      </c>
      <c r="H181" s="5" t="s">
        <v>8</v>
      </c>
      <c r="I181" s="5" t="s">
        <v>9</v>
      </c>
      <c r="J181" s="5" t="s">
        <v>28</v>
      </c>
      <c r="K181" s="5" t="s">
        <v>31</v>
      </c>
      <c r="L181" s="5" t="s">
        <v>35</v>
      </c>
      <c r="M181" s="5" t="s">
        <v>33</v>
      </c>
      <c r="N181" s="5" t="s">
        <v>34</v>
      </c>
      <c r="O181" s="5" t="s">
        <v>36</v>
      </c>
      <c r="P181" s="5" t="s">
        <v>10</v>
      </c>
      <c r="Q181" s="5" t="s">
        <v>37</v>
      </c>
    </row>
    <row r="182" spans="1:17" x14ac:dyDescent="0.25">
      <c r="A182" s="12">
        <v>0</v>
      </c>
      <c r="B182" s="6">
        <f>0.5*E182/($B$177*10^-3)</f>
        <v>678.55555034595375</v>
      </c>
      <c r="C182" s="2">
        <v>545.9</v>
      </c>
      <c r="D182" s="16">
        <v>0.3785</v>
      </c>
      <c r="E182" s="6">
        <v>8.9659999999999993</v>
      </c>
      <c r="F182" s="6">
        <f>E182/D182</f>
        <v>23.688243064729193</v>
      </c>
      <c r="G182" s="14">
        <f>1/($B$176*10^-9*(2*PI()*C182*10^3)^2*10^-6)</f>
        <v>3.5283956231038149</v>
      </c>
      <c r="H182" s="6">
        <f>(2*PI()*C182*10^3*G182*10^-6)/((D182/E182)*(1/(2*PI()*C182*10^3*$B$176*10^-9)))</f>
        <v>23.688243064729189</v>
      </c>
      <c r="I182" s="6">
        <f>(2*PI()*C182*10^3*G182*10^-6)/H182</f>
        <v>0.51090174572168523</v>
      </c>
      <c r="J182" s="6">
        <f>I182*(B182*10^-3)^2/2</f>
        <v>0.1176191957345409</v>
      </c>
      <c r="K182" s="16">
        <f>J182/(B$179)</f>
        <v>8.978564559888616E-2</v>
      </c>
      <c r="L182" s="2">
        <f xml:space="preserve"> (4*8.85*10^-12*0.01*0.01)/0.0015</f>
        <v>2.3599999999999996E-12</v>
      </c>
      <c r="M182" s="16">
        <f>0.5*2*PI()*C182*10^3*L182*E182^2</f>
        <v>3.2536620290437565E-4</v>
      </c>
      <c r="N182" s="8">
        <f>M182/J182</f>
        <v>2.7662678772154389E-3</v>
      </c>
      <c r="O182" s="13">
        <f>2*M182/((B182*10^-3)^2)</f>
        <v>1.4132910876031881E-3</v>
      </c>
      <c r="P182" s="1">
        <f>2*PI()*C182*10^3*G182*10^-6/(I182-O182)</f>
        <v>23.753952861486813</v>
      </c>
      <c r="Q182" t="str">
        <f>_xlfn.CONCAT("(",B182/1000,",",P182,")")</f>
        <v>(0.678555550345954,23.7539528614868)</v>
      </c>
    </row>
    <row r="183" spans="1:17" x14ac:dyDescent="0.25">
      <c r="A183" s="12">
        <v>0.05</v>
      </c>
      <c r="B183" s="6">
        <f>0.5*E183/($B$177*10^-3)</f>
        <v>788.59567640027194</v>
      </c>
      <c r="C183" s="2">
        <v>546.70000000000005</v>
      </c>
      <c r="D183" s="16">
        <v>0.38929999999999998</v>
      </c>
      <c r="E183" s="6">
        <v>10.42</v>
      </c>
      <c r="F183" s="6">
        <f>E183/D183</f>
        <v>26.765990238890318</v>
      </c>
      <c r="G183" s="14">
        <f>1/($B$176*10^-9*(2*PI()*C183*10^3)^2*10^-6)</f>
        <v>3.5180767966099467</v>
      </c>
      <c r="H183" s="6">
        <f>(2*PI()*C183*10^3*G183*10^-6)/((D183/E183)*(1/(2*PI()*C183*10^3*$B$176*10^-9)))</f>
        <v>26.765990238890311</v>
      </c>
      <c r="I183" s="6">
        <f>(2*PI()*C183*10^3*G183*10^-6)/H183</f>
        <v>0.45149291803483921</v>
      </c>
      <c r="J183" s="6">
        <f>I183*(B183*10^-3)^2/2</f>
        <v>0.14038791696662969</v>
      </c>
      <c r="K183" s="16">
        <f>J183/(B$179)</f>
        <v>0.10716634882948829</v>
      </c>
      <c r="L183" s="2">
        <f xml:space="preserve"> (4*8.85*10^-12*0.01*0.01)/0.0015</f>
        <v>2.3599999999999996E-12</v>
      </c>
      <c r="M183" s="16">
        <f>0.5*2*PI()*C183*10^3*L183*E183^2</f>
        <v>4.400949523632283E-4</v>
      </c>
      <c r="N183" s="8">
        <f>M183/J183</f>
        <v>3.1348492225854391E-3</v>
      </c>
      <c r="O183" s="13">
        <f t="shared" ref="O183:O186" si="64">2*M183/((B183*10^-3)^2)</f>
        <v>1.4153622231043471E-3</v>
      </c>
      <c r="P183" s="1">
        <f>2*PI()*C183*10^3*G183*10^-6/(I183-O183)</f>
        <v>26.850161446627563</v>
      </c>
      <c r="Q183" t="str">
        <f>_xlfn.CONCAT("(",B183/1000,",",P183,")")</f>
        <v>(0.788595676400272,26.8501614466276)</v>
      </c>
    </row>
    <row r="184" spans="1:17" x14ac:dyDescent="0.25">
      <c r="A184" s="12">
        <v>0.15</v>
      </c>
      <c r="B184" s="6">
        <f>0.5*E184/($B$177*10^-3)</f>
        <v>1035.3156289017006</v>
      </c>
      <c r="C184" s="2">
        <v>547.4</v>
      </c>
      <c r="D184" s="16">
        <v>0.51249999999999996</v>
      </c>
      <c r="E184" s="6">
        <v>13.68</v>
      </c>
      <c r="F184" s="6">
        <f>E184/D184</f>
        <v>26.692682926829271</v>
      </c>
      <c r="G184" s="14">
        <f>1/($B$176*10^-9*(2*PI()*C184*10^3)^2*10^-6)</f>
        <v>3.509084910709964</v>
      </c>
      <c r="H184" s="6">
        <f>(2*PI()*C184*10^3*G184*10^-6)/((D184/E184)*(1/(2*PI()*C184*10^3*$B$176*10^-9)))</f>
        <v>26.692682926829267</v>
      </c>
      <c r="I184" s="6">
        <f>(2*PI()*C184*10^3*G184*10^-6)/H184</f>
        <v>0.45215393098804513</v>
      </c>
      <c r="J184" s="6">
        <f>I184*(B184*10^-3)^2/2</f>
        <v>0.2423270276818239</v>
      </c>
      <c r="K184" s="16">
        <f>J184/(B$179)</f>
        <v>0.18498246387925485</v>
      </c>
      <c r="L184" s="2">
        <f xml:space="preserve"> (4*8.85*10^-12*0.01*0.01)/0.0015</f>
        <v>2.3599999999999996E-12</v>
      </c>
      <c r="M184" s="16">
        <f>0.5*2*PI()*C184*10^3*L184*E184^2</f>
        <v>7.5951938638188369E-4</v>
      </c>
      <c r="N184" s="8">
        <f>M184/J184</f>
        <v>3.1342743467275753E-3</v>
      </c>
      <c r="O184" s="13">
        <f t="shared" si="64"/>
        <v>1.4171744666678604E-3</v>
      </c>
      <c r="P184" s="1">
        <f>2*PI()*C184*10^3*G184*10^-6/(I184-O184)</f>
        <v>26.776608162886575</v>
      </c>
      <c r="Q184" t="str">
        <f>_xlfn.CONCAT("(",B184/1000,",",P184,")")</f>
        <v>(1.0353156289017,26.7766081628866)</v>
      </c>
    </row>
    <row r="185" spans="1:17" x14ac:dyDescent="0.25">
      <c r="A185" s="12">
        <v>0.3</v>
      </c>
      <c r="B185" s="6">
        <f>0.5*E185/($B$177*10^-3)</f>
        <v>1658.9267971875206</v>
      </c>
      <c r="C185" s="2">
        <v>547.4</v>
      </c>
      <c r="D185" s="16">
        <v>0.83109999999999995</v>
      </c>
      <c r="E185" s="6">
        <v>21.92</v>
      </c>
      <c r="F185" s="6">
        <f>E185/D185</f>
        <v>26.374684153531469</v>
      </c>
      <c r="G185" s="14">
        <f>1/($B$176*10^-9*(2*PI()*C185*10^3)^2*10^-6)</f>
        <v>3.509084910709964</v>
      </c>
      <c r="H185" s="6">
        <f>(2*PI()*C185*10^3*G185*10^-6)/((D185/E185)*(1/(2*PI()*C185*10^3*$B$176*10^-9)))</f>
        <v>26.374684153531465</v>
      </c>
      <c r="I185" s="6">
        <f>(2*PI()*C185*10^3*G185*10^-6)/H185</f>
        <v>0.45760553732990628</v>
      </c>
      <c r="J185" s="6">
        <f>I185*(B185*10^-3)^2/2</f>
        <v>0.62967394096755036</v>
      </c>
      <c r="K185" s="16">
        <f>J185/(B$179)</f>
        <v>0.48066713050958032</v>
      </c>
      <c r="L185" s="2">
        <f xml:space="preserve"> (4*8.85*10^-12*0.01*0.01)/0.0015</f>
        <v>2.3599999999999996E-12</v>
      </c>
      <c r="M185" s="16">
        <f>0.5*2*PI()*C185*10^3*L185*E185^2</f>
        <v>1.9500590763655932E-3</v>
      </c>
      <c r="N185" s="8">
        <f>M185/J185</f>
        <v>3.0969346982489903E-3</v>
      </c>
      <c r="O185" s="13">
        <f t="shared" si="64"/>
        <v>1.4171744666678606E-3</v>
      </c>
      <c r="P185" s="1">
        <f>2*PI()*C185*10^3*G185*10^-6/(I185-O185)</f>
        <v>26.456618573590355</v>
      </c>
      <c r="Q185" t="str">
        <f>_xlfn.CONCAT("(",B185/1000,",",P185,")")</f>
        <v>(1.65892679718752,26.4566185735904)</v>
      </c>
    </row>
    <row r="186" spans="1:17" x14ac:dyDescent="0.25">
      <c r="A186" s="12">
        <v>0.4</v>
      </c>
      <c r="B186" s="6">
        <f>0.5*E186/($B$177*10^-3)</f>
        <v>2346.1099777743216</v>
      </c>
      <c r="C186" s="2">
        <v>547.5</v>
      </c>
      <c r="D186" s="16">
        <v>1.1759999999999999</v>
      </c>
      <c r="E186" s="6">
        <v>31</v>
      </c>
      <c r="F186" s="6">
        <f>E186/D186</f>
        <v>26.360544217687075</v>
      </c>
      <c r="G186" s="14">
        <f>1/($B$176*10^-9*(2*PI()*C186*10^3)^2*10^-6)</f>
        <v>3.5078031702729469</v>
      </c>
      <c r="H186" s="6">
        <f>(2*PI()*C186*10^3*G186*10^-6)/((D186/E186)*(1/(2*PI()*C186*10^3*$B$176*10^-9)))</f>
        <v>26.360544217687071</v>
      </c>
      <c r="I186" s="6">
        <f>(2*PI()*C186*10^3*G186*10^-6)/H186</f>
        <v>0.45776737361586473</v>
      </c>
      <c r="J186" s="6">
        <f>I186*(B186*10^-3)^2/2</f>
        <v>1.2598289195719645</v>
      </c>
      <c r="K186" s="16">
        <f>J186/(B$179)</f>
        <v>0.96170146532211009</v>
      </c>
      <c r="L186" s="2">
        <f xml:space="preserve"> (4*8.85*10^-12*0.01*0.01)/0.0015</f>
        <v>2.3599999999999996E-12</v>
      </c>
      <c r="M186" s="16">
        <f>0.5*2*PI()*C186*10^3*L186*E186^2</f>
        <v>3.90094104486294E-3</v>
      </c>
      <c r="N186" s="8">
        <f>M186/J186</f>
        <v>3.0964053803339514E-3</v>
      </c>
      <c r="O186" s="13">
        <f t="shared" si="64"/>
        <v>1.4174333586055058E-3</v>
      </c>
      <c r="P186" s="1">
        <f>2*PI()*C186*10^3*G186*10^-6/(I186-O186)</f>
        <v>26.442420671322811</v>
      </c>
      <c r="Q186" t="str">
        <f>_xlfn.CONCAT("(",B186/1000,",",P186,")")</f>
        <v>(2.34610997777432,26.4424206713228)</v>
      </c>
    </row>
  </sheetData>
  <mergeCells count="2">
    <mergeCell ref="V48:X48"/>
    <mergeCell ref="F108:Q10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6DFA-3A53-48D8-8129-EC80EA18B6BA}">
  <dimension ref="A1:M25"/>
  <sheetViews>
    <sheetView topLeftCell="A46" workbookViewId="0">
      <selection activeCell="B3" sqref="B3"/>
    </sheetView>
  </sheetViews>
  <sheetFormatPr defaultRowHeight="15.75" x14ac:dyDescent="0.25"/>
  <sheetData>
    <row r="1" spans="1:13" x14ac:dyDescent="0.25">
      <c r="A1" s="4" t="s">
        <v>74</v>
      </c>
      <c r="J1" s="4" t="s">
        <v>69</v>
      </c>
    </row>
    <row r="2" spans="1:13" x14ac:dyDescent="0.25">
      <c r="A2" t="s">
        <v>56</v>
      </c>
      <c r="B2" t="s">
        <v>57</v>
      </c>
      <c r="C2" s="24" t="s">
        <v>58</v>
      </c>
      <c r="E2" t="s">
        <v>63</v>
      </c>
      <c r="F2" t="s">
        <v>64</v>
      </c>
      <c r="G2" s="24" t="s">
        <v>58</v>
      </c>
      <c r="J2" t="s">
        <v>56</v>
      </c>
      <c r="K2" t="s">
        <v>57</v>
      </c>
      <c r="L2" s="24" t="s">
        <v>70</v>
      </c>
      <c r="M2" s="25" t="s">
        <v>72</v>
      </c>
    </row>
    <row r="3" spans="1:13" x14ac:dyDescent="0.25">
      <c r="A3" t="s">
        <v>59</v>
      </c>
      <c r="B3" s="7">
        <v>5.3350999999999998E-5</v>
      </c>
      <c r="C3" s="7">
        <v>1000000</v>
      </c>
      <c r="E3" t="s">
        <v>65</v>
      </c>
      <c r="F3" s="7">
        <v>1.1395E-10</v>
      </c>
      <c r="G3" s="7">
        <v>3000000</v>
      </c>
      <c r="J3" t="s">
        <v>71</v>
      </c>
      <c r="K3" s="7">
        <v>3.6793000000000001E-6</v>
      </c>
      <c r="L3" s="7">
        <v>1000000</v>
      </c>
      <c r="M3" s="7">
        <f>K3-B5</f>
        <v>2.5629999999999999E-7</v>
      </c>
    </row>
    <row r="4" spans="1:13" x14ac:dyDescent="0.25">
      <c r="A4" t="s">
        <v>60</v>
      </c>
      <c r="B4" s="7">
        <v>5.9981999999999998E-7</v>
      </c>
      <c r="C4" s="7">
        <v>1000000</v>
      </c>
      <c r="E4" t="s">
        <v>65</v>
      </c>
      <c r="F4" s="7">
        <v>-4.7430999999999999E-10</v>
      </c>
      <c r="G4" s="7">
        <v>1000000</v>
      </c>
      <c r="J4" t="s">
        <v>71</v>
      </c>
      <c r="K4" s="7">
        <v>4.7129999999999996E-6</v>
      </c>
      <c r="L4" s="7">
        <v>3000000</v>
      </c>
      <c r="M4" s="7"/>
    </row>
    <row r="5" spans="1:13" x14ac:dyDescent="0.25">
      <c r="A5" s="26" t="s">
        <v>62</v>
      </c>
      <c r="B5" s="27">
        <v>3.4230000000000001E-6</v>
      </c>
      <c r="C5" s="27">
        <v>1000000</v>
      </c>
      <c r="E5" t="s">
        <v>66</v>
      </c>
      <c r="F5" s="7">
        <v>3.3445000000000002E-9</v>
      </c>
      <c r="G5" s="7">
        <v>3000000</v>
      </c>
      <c r="J5" t="s">
        <v>73</v>
      </c>
      <c r="K5" s="7">
        <v>-6.8798000000000002E-9</v>
      </c>
      <c r="L5" s="7">
        <v>1000000</v>
      </c>
    </row>
    <row r="6" spans="1:13" x14ac:dyDescent="0.25">
      <c r="A6" t="s">
        <v>61</v>
      </c>
      <c r="B6" s="7">
        <v>2.4006E-8</v>
      </c>
      <c r="C6" s="7">
        <v>1000000</v>
      </c>
      <c r="E6" t="s">
        <v>66</v>
      </c>
      <c r="F6" s="7">
        <v>-4.2415E-8</v>
      </c>
      <c r="G6" s="7">
        <v>1000000</v>
      </c>
      <c r="J6" t="s">
        <v>73</v>
      </c>
      <c r="K6" s="7">
        <v>-6.0039000000000003E-10</v>
      </c>
      <c r="L6" s="7">
        <v>3000000</v>
      </c>
    </row>
    <row r="8" spans="1:13" x14ac:dyDescent="0.25">
      <c r="A8" s="4" t="s">
        <v>75</v>
      </c>
    </row>
    <row r="9" spans="1:13" x14ac:dyDescent="0.25">
      <c r="A9" t="s">
        <v>56</v>
      </c>
      <c r="B9" t="s">
        <v>57</v>
      </c>
      <c r="C9" s="24" t="s">
        <v>58</v>
      </c>
      <c r="E9" t="s">
        <v>63</v>
      </c>
      <c r="F9" t="s">
        <v>64</v>
      </c>
      <c r="G9" s="24" t="s">
        <v>58</v>
      </c>
    </row>
    <row r="10" spans="1:13" x14ac:dyDescent="0.25">
      <c r="A10" t="s">
        <v>59</v>
      </c>
      <c r="B10" s="7">
        <v>5.3350999999999998E-5</v>
      </c>
      <c r="C10" s="7">
        <v>1000000</v>
      </c>
      <c r="E10" t="s">
        <v>65</v>
      </c>
      <c r="F10" s="7">
        <v>1.1395E-10</v>
      </c>
      <c r="G10" s="7">
        <v>3000000</v>
      </c>
    </row>
    <row r="11" spans="1:13" x14ac:dyDescent="0.25">
      <c r="A11" t="s">
        <v>60</v>
      </c>
      <c r="B11" s="7">
        <v>5.9981999999999998E-7</v>
      </c>
      <c r="C11" s="7">
        <v>1000000</v>
      </c>
      <c r="E11" t="s">
        <v>65</v>
      </c>
      <c r="F11" s="7">
        <v>-4.7430999999999999E-10</v>
      </c>
      <c r="G11" s="7">
        <v>1000000</v>
      </c>
    </row>
    <row r="12" spans="1:13" x14ac:dyDescent="0.25">
      <c r="A12" s="26" t="s">
        <v>62</v>
      </c>
      <c r="B12" s="27">
        <v>1.1763000000000001E-6</v>
      </c>
      <c r="C12" s="27">
        <v>1000000</v>
      </c>
      <c r="E12" t="s">
        <v>66</v>
      </c>
      <c r="F12" s="7">
        <v>3.3445000000000002E-9</v>
      </c>
      <c r="G12" s="7">
        <v>3000000</v>
      </c>
    </row>
    <row r="13" spans="1:13" x14ac:dyDescent="0.25">
      <c r="A13" t="s">
        <v>61</v>
      </c>
      <c r="B13" s="7">
        <v>2.4006E-8</v>
      </c>
      <c r="C13" s="7">
        <v>1000000</v>
      </c>
      <c r="E13" t="s">
        <v>66</v>
      </c>
      <c r="F13" s="7">
        <v>-4.2415E-8</v>
      </c>
      <c r="G13" s="7">
        <v>1000000</v>
      </c>
    </row>
    <row r="20" spans="1:7" x14ac:dyDescent="0.25">
      <c r="A20" s="28" t="s">
        <v>76</v>
      </c>
    </row>
    <row r="21" spans="1:7" x14ac:dyDescent="0.25">
      <c r="A21" s="4" t="s">
        <v>77</v>
      </c>
      <c r="B21" t="s">
        <v>62</v>
      </c>
      <c r="C21" t="s">
        <v>78</v>
      </c>
      <c r="D21" s="29" t="s">
        <v>79</v>
      </c>
      <c r="E21" s="29" t="s">
        <v>80</v>
      </c>
      <c r="F21" s="29" t="s">
        <v>81</v>
      </c>
      <c r="G21" s="29" t="s">
        <v>82</v>
      </c>
    </row>
    <row r="22" spans="1:7" x14ac:dyDescent="0.25">
      <c r="B22" s="7">
        <v>3.4230000000000001E-6</v>
      </c>
      <c r="C22">
        <v>21.507300000000001</v>
      </c>
      <c r="D22" s="7">
        <v>7.4000000000000001E-9</v>
      </c>
      <c r="E22">
        <v>21.507000000000001</v>
      </c>
      <c r="F22" s="7">
        <v>7.4000000000000001E-8</v>
      </c>
      <c r="G22">
        <v>2.1507000000000001</v>
      </c>
    </row>
    <row r="24" spans="1:7" x14ac:dyDescent="0.25">
      <c r="A24" s="4" t="s">
        <v>83</v>
      </c>
      <c r="B24" t="s">
        <v>62</v>
      </c>
      <c r="C24" t="s">
        <v>78</v>
      </c>
      <c r="D24" s="29" t="s">
        <v>79</v>
      </c>
      <c r="E24" s="29" t="s">
        <v>80</v>
      </c>
      <c r="F24" s="29" t="s">
        <v>81</v>
      </c>
      <c r="G24" s="29" t="s">
        <v>82</v>
      </c>
    </row>
    <row r="25" spans="1:7" x14ac:dyDescent="0.25">
      <c r="B25" s="7">
        <v>1.1763000000000001E-6</v>
      </c>
      <c r="C25">
        <v>7.3909000000000002</v>
      </c>
      <c r="D25" s="7">
        <v>2.1533999999999999E-8</v>
      </c>
      <c r="E25">
        <v>7.3909000000000002</v>
      </c>
      <c r="F25" s="7">
        <v>2.1533999999999999E-7</v>
      </c>
      <c r="G25">
        <v>0.73909000000000002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105D-6737-4058-B016-A382BEA4164E}">
  <dimension ref="A1:AB93"/>
  <sheetViews>
    <sheetView topLeftCell="A64" zoomScale="90" zoomScaleNormal="90" workbookViewId="0">
      <selection activeCell="L19" sqref="L19"/>
    </sheetView>
  </sheetViews>
  <sheetFormatPr defaultColWidth="11" defaultRowHeight="15.75" x14ac:dyDescent="0.25"/>
  <cols>
    <col min="1" max="1" width="11" style="53"/>
    <col min="2" max="2" width="8.875" style="53" customWidth="1"/>
    <col min="3" max="6" width="11" style="53"/>
    <col min="7" max="7" width="9.625" style="53" customWidth="1"/>
    <col min="8" max="8" width="10.875" style="53" customWidth="1"/>
    <col min="9" max="10" width="11" style="53"/>
    <col min="11" max="11" width="10.625" style="53" customWidth="1"/>
    <col min="12" max="12" width="10.75" style="53" customWidth="1"/>
    <col min="13" max="15" width="11" style="53"/>
    <col min="16" max="16" width="10" style="53" customWidth="1"/>
    <col min="17" max="16384" width="11" style="53"/>
  </cols>
  <sheetData>
    <row r="1" spans="1:19" x14ac:dyDescent="0.25">
      <c r="A1" s="55" t="s">
        <v>0</v>
      </c>
      <c r="B1" s="55">
        <v>1000</v>
      </c>
      <c r="C1" s="55" t="s">
        <v>15</v>
      </c>
      <c r="D1" s="55"/>
      <c r="E1" s="55"/>
      <c r="F1" s="150" t="s">
        <v>171</v>
      </c>
      <c r="G1" s="113"/>
      <c r="H1" s="113"/>
      <c r="I1" s="113"/>
      <c r="J1" s="113"/>
      <c r="K1" s="113"/>
      <c r="L1" s="113"/>
      <c r="M1" s="113"/>
      <c r="N1" s="111"/>
      <c r="O1" s="113"/>
      <c r="P1" s="113"/>
    </row>
    <row r="2" spans="1:19" x14ac:dyDescent="0.25">
      <c r="A2" s="56" t="s">
        <v>2</v>
      </c>
      <c r="B2" s="56" t="s">
        <v>38</v>
      </c>
      <c r="C2" s="56"/>
      <c r="D2" s="56"/>
      <c r="E2" s="56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3" spans="1:19" x14ac:dyDescent="0.25">
      <c r="A3" s="53" t="s">
        <v>67</v>
      </c>
      <c r="B3" s="57">
        <v>0.51997000000000004</v>
      </c>
      <c r="C3" s="56" t="s">
        <v>14</v>
      </c>
      <c r="D3" s="56"/>
      <c r="E3" s="56"/>
      <c r="F3" s="112"/>
      <c r="G3" s="2"/>
      <c r="H3" s="3"/>
      <c r="I3" s="2"/>
      <c r="J3" s="2"/>
      <c r="K3" s="2"/>
      <c r="L3" s="2"/>
      <c r="M3"/>
      <c r="N3" s="2"/>
      <c r="O3"/>
      <c r="P3"/>
    </row>
    <row r="4" spans="1:19" x14ac:dyDescent="0.25">
      <c r="A4" s="53" t="s">
        <v>68</v>
      </c>
      <c r="B4" s="58">
        <f>B3*10^-6*B1*2*PI()*10^3</f>
        <v>3.2670678641741695</v>
      </c>
      <c r="C4" s="56"/>
      <c r="D4" s="59" t="s">
        <v>86</v>
      </c>
      <c r="F4" s="56"/>
      <c r="G4" s="56"/>
      <c r="H4" s="56"/>
      <c r="I4" s="56"/>
      <c r="J4" s="56"/>
      <c r="K4" s="56"/>
      <c r="L4" s="56"/>
      <c r="N4" s="56"/>
    </row>
    <row r="5" spans="1:19" x14ac:dyDescent="0.25">
      <c r="A5" s="56" t="s">
        <v>102</v>
      </c>
      <c r="B5" s="58">
        <f>1/((2*PI()*B1*10^3)^2*B3*10^-6*10^-9)</f>
        <v>48.714917996392948</v>
      </c>
      <c r="C5" s="56" t="s">
        <v>16</v>
      </c>
      <c r="D5" s="56" t="s">
        <v>103</v>
      </c>
      <c r="E5" s="58">
        <f>324.19</f>
        <v>324.19</v>
      </c>
      <c r="F5" s="56" t="s">
        <v>16</v>
      </c>
      <c r="G5" s="56" t="s">
        <v>102</v>
      </c>
      <c r="H5" s="58">
        <f>22.307+22.313+2.9663+0.96077</f>
        <v>48.547069999999991</v>
      </c>
      <c r="I5" s="56" t="s">
        <v>16</v>
      </c>
      <c r="J5" s="2" t="s">
        <v>176</v>
      </c>
      <c r="K5" s="11">
        <v>4.0000000000000002E-4</v>
      </c>
      <c r="L5" s="155" t="s">
        <v>177</v>
      </c>
      <c r="N5" s="56"/>
    </row>
    <row r="6" spans="1:19" x14ac:dyDescent="0.25">
      <c r="A6" s="56" t="s">
        <v>104</v>
      </c>
      <c r="B6" s="61">
        <f>1/(2*PI()*$B$50*10^3*B5*10^-9)</f>
        <v>3.2670678641741695</v>
      </c>
      <c r="C6" s="56"/>
      <c r="D6" s="56" t="s">
        <v>105</v>
      </c>
      <c r="E6" s="61">
        <f>1/(2*PI()*$B$50*10^3*E5*10^-9)</f>
        <v>0.49093106848420787</v>
      </c>
      <c r="F6" s="56"/>
      <c r="G6" s="56" t="s">
        <v>104</v>
      </c>
      <c r="H6" s="61">
        <f>1/(2*PI()*$B$50*10^3*H5*10^-9)</f>
        <v>3.2783635159010704</v>
      </c>
      <c r="I6" s="56"/>
      <c r="J6" s="56"/>
      <c r="K6" s="56"/>
      <c r="L6" s="56"/>
      <c r="N6" s="56"/>
    </row>
    <row r="7" spans="1:19" x14ac:dyDescent="0.25">
      <c r="A7" s="56" t="s">
        <v>29</v>
      </c>
      <c r="B7" s="57">
        <f>(1/(2*PI()*SQRT(H5*10^-9*B3*10^-6)))/10^3</f>
        <v>1001.7272223232721</v>
      </c>
      <c r="C7" s="56" t="s">
        <v>15</v>
      </c>
      <c r="D7" s="56"/>
      <c r="E7" s="56"/>
      <c r="F7" s="56"/>
      <c r="G7" s="56"/>
      <c r="H7" s="56"/>
      <c r="I7" s="56"/>
      <c r="J7" s="56"/>
      <c r="K7" s="56"/>
      <c r="L7" s="56"/>
      <c r="N7" s="56"/>
    </row>
    <row r="8" spans="1:19" x14ac:dyDescent="0.25">
      <c r="A8" s="56" t="s">
        <v>30</v>
      </c>
      <c r="B8" s="57">
        <f>1310*0.1^3</f>
        <v>1.3100000000000003</v>
      </c>
      <c r="C8" s="62" t="s">
        <v>32</v>
      </c>
      <c r="D8" s="56"/>
      <c r="E8" s="56"/>
      <c r="F8" s="56"/>
      <c r="G8" s="56"/>
      <c r="H8" s="56"/>
      <c r="I8" s="56"/>
      <c r="J8" s="56"/>
      <c r="K8" s="56"/>
      <c r="L8" s="56"/>
      <c r="N8" s="56"/>
    </row>
    <row r="9" spans="1:19" x14ac:dyDescent="0.25">
      <c r="A9" s="56"/>
      <c r="B9" s="56"/>
      <c r="C9" s="56"/>
      <c r="D9" s="56"/>
      <c r="E9" s="56"/>
      <c r="F9" s="56"/>
      <c r="G9" s="56"/>
      <c r="H9" s="56"/>
      <c r="I9" s="56"/>
      <c r="J9" s="59"/>
    </row>
    <row r="10" spans="1:19" x14ac:dyDescent="0.25">
      <c r="A10" s="59" t="s">
        <v>13</v>
      </c>
      <c r="B10" s="59" t="s">
        <v>4</v>
      </c>
      <c r="C10" s="59" t="s">
        <v>27</v>
      </c>
      <c r="D10" s="59" t="s">
        <v>26</v>
      </c>
      <c r="E10" s="59" t="s">
        <v>5</v>
      </c>
      <c r="F10" s="59" t="s">
        <v>6</v>
      </c>
      <c r="G10" s="59" t="s">
        <v>7</v>
      </c>
      <c r="H10" s="59" t="s">
        <v>8</v>
      </c>
      <c r="I10" s="59" t="s">
        <v>9</v>
      </c>
      <c r="J10" s="59" t="s">
        <v>28</v>
      </c>
      <c r="K10" s="5" t="s">
        <v>175</v>
      </c>
      <c r="L10" s="5" t="s">
        <v>178</v>
      </c>
      <c r="M10" s="59" t="s">
        <v>31</v>
      </c>
      <c r="N10" s="59" t="s">
        <v>35</v>
      </c>
      <c r="O10" s="59" t="s">
        <v>33</v>
      </c>
      <c r="P10" s="59" t="s">
        <v>34</v>
      </c>
      <c r="Q10" s="59" t="s">
        <v>36</v>
      </c>
      <c r="R10" s="59" t="s">
        <v>10</v>
      </c>
      <c r="S10" s="59" t="s">
        <v>37</v>
      </c>
    </row>
    <row r="11" spans="1:19" x14ac:dyDescent="0.25">
      <c r="A11" s="63">
        <v>0</v>
      </c>
      <c r="B11" s="58">
        <f>0.5*E11/($H$6*10^-3)</f>
        <v>318.45156735556606</v>
      </c>
      <c r="C11" s="123">
        <v>1074</v>
      </c>
      <c r="D11" s="60">
        <f>91.215*2/1000</f>
        <v>0.18243000000000001</v>
      </c>
      <c r="E11" s="57">
        <v>2.0880000000000001</v>
      </c>
      <c r="F11" s="58">
        <f>E11/D11</f>
        <v>11.445485939812531</v>
      </c>
      <c r="G11" s="64">
        <f>1/($H$5*10^-9*(2*PI()*C11*10^3)^2*10^-6)</f>
        <v>0.4523438362027305</v>
      </c>
      <c r="H11" s="58">
        <f>(2*PI()*C11*10^3*G11*10^-6)/((D11/E11)*(1/(2*PI()*C11*10^3*$H$5*10^-9)))</f>
        <v>11.445485939812531</v>
      </c>
      <c r="I11" s="57">
        <f>(2*PI()*C11*10^3*G11*10^-6)/H11</f>
        <v>0.26669728242516971</v>
      </c>
      <c r="J11" s="57">
        <f>I11*(B11*10^-3)^2/2</f>
        <v>1.3523072493639645E-2</v>
      </c>
      <c r="K11" s="7">
        <f>0.5*(7*B11*10^-3)^2*$K$5</f>
        <v>9.93831727361923E-4</v>
      </c>
      <c r="L11" s="13">
        <f>J11-K11</f>
        <v>1.2529240766277722E-2</v>
      </c>
      <c r="M11" s="60">
        <f>L11/(B$30)</f>
        <v>9.564305928456274E-3</v>
      </c>
      <c r="N11" s="56">
        <f xml:space="preserve"> (4*8.85*10^-12*0.01*0.01)/0.0015</f>
        <v>2.3599999999999996E-12</v>
      </c>
      <c r="O11" s="124">
        <f t="shared" ref="O11:O18" si="0">0.5*2*PI()*C11*10^3*N11*E11^2</f>
        <v>3.4715797440798171E-5</v>
      </c>
      <c r="P11" s="65">
        <f>O11/L11</f>
        <v>2.770782211659246E-3</v>
      </c>
      <c r="Q11" s="61">
        <f t="shared" ref="Q11:Q18" si="1">2*O11/((B11*10^-3)^2)</f>
        <v>6.8465275469300102E-4</v>
      </c>
      <c r="R11" s="66">
        <f t="shared" ref="R11:R18" si="2">2*PI()*C11*10^3*G11*10^-6/(I11-Q11)</f>
        <v>11.474943877532253</v>
      </c>
      <c r="S11" s="53" t="str">
        <f t="shared" ref="S11:S18" si="3">_xlfn.CONCAT("(",B11/1000,",",R11,")")</f>
        <v>(0.318451567355566,11.4749438775323)</v>
      </c>
    </row>
    <row r="12" spans="1:19" x14ac:dyDescent="0.25">
      <c r="A12" s="63">
        <v>0.05</v>
      </c>
      <c r="B12" s="58">
        <f t="shared" ref="B12:B18" si="4">0.5*E12/($H$6*10^-3)</f>
        <v>344.22662237620335</v>
      </c>
      <c r="C12" s="123">
        <v>1074</v>
      </c>
      <c r="D12" s="60">
        <f>102.298*2/1000</f>
        <v>0.204596</v>
      </c>
      <c r="E12" s="57">
        <v>2.2570000000000001</v>
      </c>
      <c r="F12" s="58">
        <f t="shared" ref="F12:F18" si="5">E12/D12</f>
        <v>11.031496216934839</v>
      </c>
      <c r="G12" s="64">
        <f t="shared" ref="G12:G18" si="6">1/($H$5*10^-9*(2*PI()*C12*10^3)^2*10^-6)</f>
        <v>0.4523438362027305</v>
      </c>
      <c r="H12" s="58">
        <f t="shared" ref="H12:H18" si="7">(2*PI()*C12*10^3*G12*10^-6)/((D12/E12)*(1/(2*PI()*C12*10^3*$H$5*10^-9)))</f>
        <v>11.031496216934839</v>
      </c>
      <c r="I12" s="57">
        <f t="shared" ref="I12:I18" si="8">(2*PI()*C12*10^3*G12*10^-6)/H12</f>
        <v>0.27670589158137243</v>
      </c>
      <c r="J12" s="57">
        <f t="shared" ref="J12:J18" si="9">I12*(B12*10^-3)^2/2</f>
        <v>1.639371276342684E-2</v>
      </c>
      <c r="K12" s="7">
        <f t="shared" ref="K12:K18" si="10">0.5*(7*B12*10^-3)^2*$K$5</f>
        <v>1.161221282014787E-3</v>
      </c>
      <c r="L12" s="13">
        <f t="shared" ref="L12:L17" si="11">J12-K12</f>
        <v>1.5232491481412053E-2</v>
      </c>
      <c r="M12" s="60">
        <f t="shared" ref="M12:M18" si="12">L12/(B$30)</f>
        <v>1.1627856092680954E-2</v>
      </c>
      <c r="N12" s="56">
        <f t="shared" ref="N12:N18" si="13" xml:space="preserve"> (4*8.85*10^-12*0.01*0.01)/0.0015</f>
        <v>2.3599999999999996E-12</v>
      </c>
      <c r="O12" s="124">
        <f t="shared" si="0"/>
        <v>4.056292599691645E-5</v>
      </c>
      <c r="P12" s="65">
        <f t="shared" ref="P12:P18" si="14">O12/L12</f>
        <v>2.6629212986210883E-3</v>
      </c>
      <c r="Q12" s="61">
        <f t="shared" si="1"/>
        <v>6.8465275469300113E-4</v>
      </c>
      <c r="R12" s="66">
        <f t="shared" si="2"/>
        <v>11.058859126779803</v>
      </c>
      <c r="S12" s="53" t="str">
        <f t="shared" si="3"/>
        <v>(0.344226622376203,11.0588591267798)</v>
      </c>
    </row>
    <row r="13" spans="1:19" x14ac:dyDescent="0.25">
      <c r="A13" s="63">
        <v>0.15</v>
      </c>
      <c r="B13" s="58">
        <f t="shared" si="4"/>
        <v>432.38036084915217</v>
      </c>
      <c r="C13" s="123">
        <v>1071</v>
      </c>
      <c r="D13" s="60">
        <f>129.633*2/1000</f>
        <v>0.259266</v>
      </c>
      <c r="E13" s="57">
        <v>2.835</v>
      </c>
      <c r="F13" s="58">
        <f t="shared" si="5"/>
        <v>10.934715697391868</v>
      </c>
      <c r="G13" s="64">
        <f t="shared" si="6"/>
        <v>0.45488152455560066</v>
      </c>
      <c r="H13" s="58">
        <f t="shared" si="7"/>
        <v>10.934715697391869</v>
      </c>
      <c r="I13" s="57">
        <f t="shared" si="8"/>
        <v>0.27993689502586444</v>
      </c>
      <c r="J13" s="57">
        <f t="shared" si="9"/>
        <v>2.6167489877664863E-2</v>
      </c>
      <c r="K13" s="7">
        <f t="shared" si="10"/>
        <v>1.8321372091908217E-3</v>
      </c>
      <c r="L13" s="13">
        <f t="shared" si="11"/>
        <v>2.4335352668474041E-2</v>
      </c>
      <c r="M13" s="60">
        <f t="shared" si="12"/>
        <v>1.8576605090438195E-2</v>
      </c>
      <c r="N13" s="56">
        <f t="shared" si="13"/>
        <v>2.3599999999999996E-12</v>
      </c>
      <c r="O13" s="124">
        <f t="shared" si="0"/>
        <v>6.3820098912260797E-5</v>
      </c>
      <c r="P13" s="65">
        <f t="shared" si="14"/>
        <v>2.6225261569740245E-3</v>
      </c>
      <c r="Q13" s="61">
        <f t="shared" si="1"/>
        <v>6.8274031683073031E-4</v>
      </c>
      <c r="R13" s="66">
        <f t="shared" si="2"/>
        <v>10.961449664044828</v>
      </c>
      <c r="S13" s="53" t="str">
        <f t="shared" si="3"/>
        <v>(0.432380360849152,10.9614496640448)</v>
      </c>
    </row>
    <row r="14" spans="1:19" x14ac:dyDescent="0.25">
      <c r="A14" s="63">
        <v>0.3</v>
      </c>
      <c r="B14" s="58">
        <f t="shared" si="4"/>
        <v>702.17960541428454</v>
      </c>
      <c r="C14" s="123">
        <v>1074</v>
      </c>
      <c r="D14" s="60">
        <f>212.558*2/1000</f>
        <v>0.42511599999999999</v>
      </c>
      <c r="E14" s="57">
        <v>4.6040000000000001</v>
      </c>
      <c r="F14" s="58">
        <f t="shared" si="5"/>
        <v>10.829985227561419</v>
      </c>
      <c r="G14" s="64">
        <f t="shared" si="6"/>
        <v>0.4523438362027305</v>
      </c>
      <c r="H14" s="58">
        <f t="shared" si="7"/>
        <v>10.829985227561417</v>
      </c>
      <c r="I14" s="57">
        <f t="shared" si="8"/>
        <v>0.28185449306202026</v>
      </c>
      <c r="J14" s="57">
        <f t="shared" si="9"/>
        <v>6.9485052405795861E-2</v>
      </c>
      <c r="K14" s="7">
        <f>0.5*(7*B14*10^-3)^2*$K$5</f>
        <v>4.8319507429456527E-3</v>
      </c>
      <c r="L14" s="13">
        <f t="shared" si="11"/>
        <v>6.465310166285021E-2</v>
      </c>
      <c r="M14" s="60">
        <f t="shared" si="12"/>
        <v>4.9353512719732977E-2</v>
      </c>
      <c r="N14" s="56">
        <f t="shared" si="13"/>
        <v>2.3599999999999996E-12</v>
      </c>
      <c r="O14" s="124">
        <f t="shared" si="0"/>
        <v>1.6878614217850173E-4</v>
      </c>
      <c r="P14" s="65">
        <f t="shared" si="14"/>
        <v>2.6106426116828752E-3</v>
      </c>
      <c r="Q14" s="61">
        <f t="shared" si="1"/>
        <v>6.8465275469300113E-4</v>
      </c>
      <c r="R14" s="66">
        <f t="shared" si="2"/>
        <v>10.856356403115772</v>
      </c>
      <c r="S14" s="53" t="str">
        <f t="shared" si="3"/>
        <v>(0.702179605414285,10.8563564031158)</v>
      </c>
    </row>
    <row r="15" spans="1:19" x14ac:dyDescent="0.25">
      <c r="A15" s="63">
        <v>0.4</v>
      </c>
      <c r="B15" s="58">
        <f t="shared" si="4"/>
        <v>1002.3293585540134</v>
      </c>
      <c r="C15" s="123">
        <v>1077</v>
      </c>
      <c r="D15" s="60">
        <f>331.919*2/1000</f>
        <v>0.66383799999999993</v>
      </c>
      <c r="E15" s="57">
        <v>6.5720000000000001</v>
      </c>
      <c r="F15" s="58">
        <f t="shared" si="5"/>
        <v>9.900005724288155</v>
      </c>
      <c r="G15" s="64">
        <f t="shared" si="6"/>
        <v>0.4498273246101967</v>
      </c>
      <c r="H15" s="58">
        <f t="shared" si="7"/>
        <v>9.9000057242881532</v>
      </c>
      <c r="I15" s="57">
        <f t="shared" si="8"/>
        <v>0.30747227336658756</v>
      </c>
      <c r="J15" s="57">
        <f t="shared" si="9"/>
        <v>0.1544531840120193</v>
      </c>
      <c r="K15" s="7">
        <f t="shared" si="10"/>
        <v>9.845708601589143E-3</v>
      </c>
      <c r="L15" s="13">
        <f t="shared" si="11"/>
        <v>0.14460747541043015</v>
      </c>
      <c r="M15" s="60">
        <f t="shared" si="12"/>
        <v>0.11038738580948863</v>
      </c>
      <c r="N15" s="56">
        <f t="shared" si="13"/>
        <v>2.3599999999999996E-12</v>
      </c>
      <c r="O15" s="124">
        <f t="shared" si="0"/>
        <v>3.448837154027115E-4</v>
      </c>
      <c r="P15" s="65">
        <f t="shared" si="14"/>
        <v>2.3849646390952479E-3</v>
      </c>
      <c r="Q15" s="61">
        <f t="shared" si="1"/>
        <v>6.8656519255527195E-4</v>
      </c>
      <c r="R15" s="66">
        <f t="shared" si="2"/>
        <v>9.922161252252117</v>
      </c>
      <c r="S15" s="53" t="str">
        <f t="shared" si="3"/>
        <v>(1.00232935855401,9.92216125225212)</v>
      </c>
    </row>
    <row r="16" spans="1:19" x14ac:dyDescent="0.25">
      <c r="A16" s="67">
        <v>0.5</v>
      </c>
      <c r="B16" s="58">
        <f t="shared" si="4"/>
        <v>1352.9616159057598</v>
      </c>
      <c r="C16" s="123">
        <v>1077</v>
      </c>
      <c r="D16" s="60">
        <f>459.675*2/1000</f>
        <v>0.91935</v>
      </c>
      <c r="E16" s="57">
        <v>8.8710000000000004</v>
      </c>
      <c r="F16" s="66">
        <f t="shared" si="5"/>
        <v>9.6492086800456853</v>
      </c>
      <c r="G16" s="64">
        <f t="shared" si="6"/>
        <v>0.4498273246101967</v>
      </c>
      <c r="H16" s="58">
        <f t="shared" si="7"/>
        <v>9.6492086800456818</v>
      </c>
      <c r="I16" s="57">
        <f t="shared" si="8"/>
        <v>0.31546392738753554</v>
      </c>
      <c r="J16" s="57">
        <f t="shared" si="9"/>
        <v>0.28872916935537618</v>
      </c>
      <c r="K16" s="7">
        <f t="shared" si="10"/>
        <v>1.7938950314320381E-2</v>
      </c>
      <c r="L16" s="13">
        <f t="shared" si="11"/>
        <v>0.27079021904105582</v>
      </c>
      <c r="M16" s="60">
        <f t="shared" si="12"/>
        <v>0.20671009087103492</v>
      </c>
      <c r="N16" s="56">
        <f t="shared" si="13"/>
        <v>2.3599999999999996E-12</v>
      </c>
      <c r="O16" s="124">
        <f t="shared" si="0"/>
        <v>6.2838055493830765E-4</v>
      </c>
      <c r="P16" s="65">
        <f t="shared" si="14"/>
        <v>2.3205437669188331E-3</v>
      </c>
      <c r="Q16" s="61">
        <f t="shared" si="1"/>
        <v>6.8656519255527195E-4</v>
      </c>
      <c r="R16" s="66">
        <f t="shared" si="2"/>
        <v>9.6702547005384698</v>
      </c>
      <c r="S16" s="53" t="str">
        <f t="shared" si="3"/>
        <v>(1.35296161590576,9.67025470053847)</v>
      </c>
    </row>
    <row r="17" spans="1:28" ht="15.75" customHeight="1" x14ac:dyDescent="0.25">
      <c r="A17" s="63">
        <v>0.55000000000000004</v>
      </c>
      <c r="B17" s="58">
        <f t="shared" si="4"/>
        <v>1534.3020917610127</v>
      </c>
      <c r="C17" s="123">
        <v>1077</v>
      </c>
      <c r="D17" s="60">
        <f>525.234*2/1000</f>
        <v>1.0504680000000002</v>
      </c>
      <c r="E17" s="58">
        <v>10.06</v>
      </c>
      <c r="F17" s="66">
        <f t="shared" si="5"/>
        <v>9.5766839161211941</v>
      </c>
      <c r="G17" s="64">
        <f t="shared" si="6"/>
        <v>0.4498273246101967</v>
      </c>
      <c r="H17" s="58">
        <f t="shared" si="7"/>
        <v>9.5766839161211923</v>
      </c>
      <c r="I17" s="57">
        <f t="shared" si="8"/>
        <v>0.31785295338660391</v>
      </c>
      <c r="J17" s="57">
        <f t="shared" si="9"/>
        <v>0.37412610253667777</v>
      </c>
      <c r="K17" s="7">
        <f t="shared" si="10"/>
        <v>2.3070012506065749E-2</v>
      </c>
      <c r="L17" s="13">
        <f t="shared" si="11"/>
        <v>0.351056090030612</v>
      </c>
      <c r="M17" s="60">
        <f t="shared" si="12"/>
        <v>0.26798174811497094</v>
      </c>
      <c r="N17" s="56">
        <f t="shared" si="13"/>
        <v>2.3599999999999996E-12</v>
      </c>
      <c r="O17" s="124">
        <f t="shared" si="0"/>
        <v>8.0811569277956948E-4</v>
      </c>
      <c r="P17" s="65">
        <f t="shared" si="14"/>
        <v>2.3019560569625839E-3</v>
      </c>
      <c r="Q17" s="61">
        <f t="shared" si="1"/>
        <v>6.8656519255527206E-4</v>
      </c>
      <c r="R17" s="66">
        <f t="shared" si="2"/>
        <v>9.5974144162046056</v>
      </c>
      <c r="S17" s="53" t="str">
        <f t="shared" si="3"/>
        <v>(1.53430209176101,9.59741441620461)</v>
      </c>
    </row>
    <row r="18" spans="1:28" x14ac:dyDescent="0.25">
      <c r="A18" s="63">
        <v>0.6</v>
      </c>
      <c r="B18" s="58">
        <f t="shared" si="4"/>
        <v>1685.2920590416691</v>
      </c>
      <c r="C18" s="123">
        <v>1077</v>
      </c>
      <c r="D18" s="60">
        <f>578.337*2/1000</f>
        <v>1.156674</v>
      </c>
      <c r="E18" s="58">
        <v>11.05</v>
      </c>
      <c r="F18" s="66">
        <f t="shared" si="5"/>
        <v>9.553253552859319</v>
      </c>
      <c r="G18" s="64">
        <f t="shared" si="6"/>
        <v>0.4498273246101967</v>
      </c>
      <c r="H18" s="58">
        <f t="shared" si="7"/>
        <v>9.5532535528593172</v>
      </c>
      <c r="I18" s="57">
        <f t="shared" si="8"/>
        <v>0.31863252132338066</v>
      </c>
      <c r="J18" s="57">
        <f t="shared" si="9"/>
        <v>0.45249152903898882</v>
      </c>
      <c r="K18" s="7">
        <f t="shared" si="10"/>
        <v>2.78340513778353E-2</v>
      </c>
      <c r="L18" s="13">
        <f>J18-K18</f>
        <v>0.42465747766115353</v>
      </c>
      <c r="M18" s="60">
        <f t="shared" si="12"/>
        <v>0.32416601348179652</v>
      </c>
      <c r="N18" s="56">
        <f t="shared" si="13"/>
        <v>2.3599999999999996E-12</v>
      </c>
      <c r="O18" s="124">
        <f t="shared" si="0"/>
        <v>9.749944308069811E-4</v>
      </c>
      <c r="P18" s="65">
        <f t="shared" si="14"/>
        <v>2.295954933319124E-3</v>
      </c>
      <c r="Q18" s="61">
        <f t="shared" si="1"/>
        <v>6.8656519255527195E-4</v>
      </c>
      <c r="R18" s="66">
        <f t="shared" si="2"/>
        <v>9.5738826290861887</v>
      </c>
      <c r="S18" s="53" t="str">
        <f t="shared" si="3"/>
        <v>(1.68529205904167,9.57388262908619)</v>
      </c>
    </row>
    <row r="23" spans="1:28" x14ac:dyDescent="0.25">
      <c r="A23" s="55" t="s">
        <v>0</v>
      </c>
      <c r="B23" s="55">
        <v>1000</v>
      </c>
      <c r="C23" s="55" t="s">
        <v>15</v>
      </c>
      <c r="D23" s="55"/>
      <c r="E23" s="55"/>
      <c r="F23" s="99" t="s">
        <v>121</v>
      </c>
      <c r="G23" s="113"/>
      <c r="H23" s="113"/>
      <c r="I23" s="113"/>
      <c r="J23" s="113"/>
      <c r="K23" s="113"/>
      <c r="L23" s="113"/>
      <c r="M23" s="113"/>
      <c r="N23" s="111">
        <v>44427</v>
      </c>
      <c r="O23" s="113"/>
      <c r="P23" s="113"/>
    </row>
    <row r="24" spans="1:28" x14ac:dyDescent="0.25">
      <c r="A24" s="56" t="s">
        <v>2</v>
      </c>
      <c r="B24" s="56" t="s">
        <v>38</v>
      </c>
      <c r="C24" s="56"/>
      <c r="D24" s="56"/>
      <c r="E24" s="56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</row>
    <row r="25" spans="1:28" x14ac:dyDescent="0.25">
      <c r="A25" s="53" t="s">
        <v>67</v>
      </c>
      <c r="B25" s="57">
        <v>0.51997000000000004</v>
      </c>
      <c r="C25" s="56" t="s">
        <v>14</v>
      </c>
      <c r="D25" s="56"/>
      <c r="E25" s="56"/>
      <c r="F25" s="112"/>
      <c r="G25" s="2"/>
      <c r="H25" s="3"/>
      <c r="I25" s="2"/>
      <c r="J25" s="2"/>
      <c r="K25" s="2"/>
      <c r="L25" s="2"/>
      <c r="M25"/>
      <c r="N25" s="2"/>
      <c r="O25"/>
      <c r="P25"/>
    </row>
    <row r="26" spans="1:28" x14ac:dyDescent="0.25">
      <c r="A26" s="53" t="s">
        <v>68</v>
      </c>
      <c r="B26" s="58">
        <f>B25*10^-6*B23*2*PI()*10^3</f>
        <v>3.2670678641741695</v>
      </c>
      <c r="C26" s="56"/>
      <c r="D26" s="59" t="s">
        <v>86</v>
      </c>
      <c r="F26" s="56"/>
      <c r="G26" s="56"/>
      <c r="H26" s="56"/>
      <c r="I26" s="56"/>
      <c r="J26" s="56"/>
      <c r="K26" s="56"/>
      <c r="L26" s="56"/>
      <c r="N26" s="56"/>
    </row>
    <row r="27" spans="1:28" x14ac:dyDescent="0.25">
      <c r="A27" s="56" t="s">
        <v>102</v>
      </c>
      <c r="B27" s="58">
        <f>1/((2*PI()*B23*10^3)^2*B25*10^-6*10^-9)</f>
        <v>48.714917996392948</v>
      </c>
      <c r="C27" s="56" t="s">
        <v>16</v>
      </c>
      <c r="D27" s="56" t="s">
        <v>103</v>
      </c>
      <c r="E27" s="58">
        <f>324.19</f>
        <v>324.19</v>
      </c>
      <c r="F27" s="56" t="s">
        <v>16</v>
      </c>
      <c r="G27" s="56" t="s">
        <v>102</v>
      </c>
      <c r="H27" s="58">
        <f>22.307+22.313+2.9663+0.96077</f>
        <v>48.547069999999991</v>
      </c>
      <c r="I27" s="56" t="s">
        <v>16</v>
      </c>
      <c r="J27" s="56"/>
      <c r="K27" s="56"/>
      <c r="L27" s="56"/>
      <c r="N27" s="56"/>
    </row>
    <row r="28" spans="1:28" ht="15.75" customHeight="1" x14ac:dyDescent="0.25">
      <c r="A28" s="56" t="s">
        <v>104</v>
      </c>
      <c r="B28" s="61">
        <f>1/(2*PI()*$B$50*10^3*B27*10^-9)</f>
        <v>3.2670678641741695</v>
      </c>
      <c r="C28" s="56"/>
      <c r="D28" s="56" t="s">
        <v>105</v>
      </c>
      <c r="E28" s="61">
        <f>1/(2*PI()*$B$50*10^3*E27*10^-9)</f>
        <v>0.49093106848420787</v>
      </c>
      <c r="F28" s="56"/>
      <c r="G28" s="56" t="s">
        <v>104</v>
      </c>
      <c r="H28" s="61">
        <f>1/(2*PI()*$B$50*10^3*H27*10^-9)</f>
        <v>3.2783635159010704</v>
      </c>
      <c r="I28" s="56"/>
      <c r="J28" s="56"/>
      <c r="K28" s="56"/>
      <c r="L28" s="56"/>
      <c r="N28" s="56"/>
    </row>
    <row r="29" spans="1:28" x14ac:dyDescent="0.25">
      <c r="A29" s="56" t="s">
        <v>29</v>
      </c>
      <c r="B29" s="57">
        <f>(1/(2*PI()*SQRT(H27*10^-9*B25*10^-6)))/10^3</f>
        <v>1001.7272223232721</v>
      </c>
      <c r="C29" s="56" t="s">
        <v>15</v>
      </c>
      <c r="D29" s="56"/>
      <c r="E29" s="56"/>
      <c r="F29" s="56"/>
      <c r="G29" s="56"/>
      <c r="H29" s="56"/>
      <c r="I29" s="56"/>
      <c r="J29" s="56"/>
      <c r="K29" s="56"/>
      <c r="L29" s="56"/>
      <c r="N29" s="56"/>
    </row>
    <row r="30" spans="1:28" x14ac:dyDescent="0.25">
      <c r="A30" s="56" t="s">
        <v>30</v>
      </c>
      <c r="B30" s="57">
        <f>1310*0.1^3</f>
        <v>1.3100000000000003</v>
      </c>
      <c r="C30" s="62" t="s">
        <v>32</v>
      </c>
      <c r="D30" s="56"/>
      <c r="E30" s="56"/>
      <c r="F30" s="56"/>
      <c r="G30" s="56"/>
      <c r="H30" s="56"/>
      <c r="I30" s="56"/>
      <c r="J30" s="56"/>
      <c r="K30" s="56"/>
      <c r="L30" s="56"/>
      <c r="N30" s="56"/>
    </row>
    <row r="31" spans="1:28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9"/>
      <c r="U31"/>
      <c r="V31" s="167" t="s">
        <v>136</v>
      </c>
      <c r="W31" s="167"/>
      <c r="X31" s="168"/>
      <c r="Y31" s="115" t="s">
        <v>134</v>
      </c>
      <c r="Z31" s="115"/>
      <c r="AA31" s="115"/>
      <c r="AB31" s="115"/>
    </row>
    <row r="32" spans="1:28" ht="15.75" customHeight="1" x14ac:dyDescent="0.25">
      <c r="A32" s="59" t="s">
        <v>13</v>
      </c>
      <c r="B32" s="59" t="s">
        <v>4</v>
      </c>
      <c r="C32" s="59" t="s">
        <v>27</v>
      </c>
      <c r="D32" s="59" t="s">
        <v>26</v>
      </c>
      <c r="E32" s="59" t="s">
        <v>5</v>
      </c>
      <c r="F32" s="59" t="s">
        <v>6</v>
      </c>
      <c r="G32" s="59" t="s">
        <v>7</v>
      </c>
      <c r="H32" s="59" t="s">
        <v>8</v>
      </c>
      <c r="I32" s="59" t="s">
        <v>9</v>
      </c>
      <c r="J32" s="59" t="s">
        <v>28</v>
      </c>
      <c r="K32" s="59" t="s">
        <v>31</v>
      </c>
      <c r="L32" s="59" t="s">
        <v>35</v>
      </c>
      <c r="M32" s="59" t="s">
        <v>33</v>
      </c>
      <c r="N32" s="59" t="s">
        <v>34</v>
      </c>
      <c r="O32" s="59" t="s">
        <v>36</v>
      </c>
      <c r="P32" s="59" t="s">
        <v>10</v>
      </c>
      <c r="Q32" s="59" t="s">
        <v>37</v>
      </c>
      <c r="U32" s="126" t="s">
        <v>126</v>
      </c>
      <c r="V32" s="128" t="s">
        <v>91</v>
      </c>
      <c r="W32" s="4" t="str">
        <f>I32</f>
        <v>R eff</v>
      </c>
      <c r="X32" s="4" t="str">
        <f>J32</f>
        <v>P loss Eff (W)</v>
      </c>
      <c r="Y32" s="128" t="s">
        <v>91</v>
      </c>
      <c r="Z32" s="4" t="str">
        <f>I59</f>
        <v>R eff</v>
      </c>
      <c r="AA32" s="4" t="str">
        <f>J59</f>
        <v>P loss Eff (W)</v>
      </c>
      <c r="AB32" s="4" t="s">
        <v>139</v>
      </c>
    </row>
    <row r="33" spans="1:28" x14ac:dyDescent="0.25">
      <c r="A33" s="63">
        <v>0</v>
      </c>
      <c r="B33" s="58">
        <f t="shared" ref="B33:B40" si="15">0.5*E33/($H$28*10^-3)</f>
        <v>297.25196588888804</v>
      </c>
      <c r="C33" s="123">
        <v>990</v>
      </c>
      <c r="D33" s="60">
        <v>0.26869999999999999</v>
      </c>
      <c r="E33" s="57">
        <v>1.9490000000000001</v>
      </c>
      <c r="F33" s="58">
        <f t="shared" ref="F33:F40" si="16">E33/D33</f>
        <v>7.2534425009304062</v>
      </c>
      <c r="G33" s="64">
        <f t="shared" ref="G33:G40" si="17">1/($H$27*10^-9*(2*PI()*C33*10^3)^2*10^-6)</f>
        <v>0.53236175778775718</v>
      </c>
      <c r="H33" s="58">
        <f t="shared" ref="H33:H40" si="18">(2*PI()*C33*10^3*G33*10^-6)/((D33/E33)*(1/(2*PI()*C33*10^3*$H$27*10^-9)))</f>
        <v>7.2534425009304062</v>
      </c>
      <c r="I33" s="57">
        <f t="shared" ref="I33:I40" si="19">(2*PI()*C33*10^3*G33*10^-6)/H33</f>
        <v>0.45653885013429191</v>
      </c>
      <c r="J33" s="57">
        <f t="shared" ref="J33:J40" si="20">I33*(B33*10^-3)^2/2</f>
        <v>2.0169596776349549E-2</v>
      </c>
      <c r="K33" s="60">
        <f t="shared" ref="K33:K40" si="21">J33/(B$30)</f>
        <v>1.5396638760572172E-2</v>
      </c>
      <c r="L33" s="56">
        <f xml:space="preserve"> (4*8.85*10^-12*0.01*0.01)/0.0015</f>
        <v>2.3599999999999996E-12</v>
      </c>
      <c r="M33" s="124">
        <f t="shared" ref="M33:M40" si="22">0.5*2*PI()*C33*10^3*L33*E33^2</f>
        <v>2.7881796204330219E-5</v>
      </c>
      <c r="N33" s="65">
        <f t="shared" ref="N33:N40" si="23">M33/J33</f>
        <v>1.3823675561538164E-3</v>
      </c>
      <c r="O33" s="61">
        <f>2*M33/((B33*10^-3)^2)</f>
        <v>6.311044945494145E-4</v>
      </c>
      <c r="P33" s="66">
        <f t="shared" ref="P33:P38" si="24">2*PI()*C33*10^3*G33*10^-6/(I33-O33)</f>
        <v>7.2634833045953435</v>
      </c>
      <c r="Q33" s="53" t="str">
        <f t="shared" ref="Q33:Q38" si="25">_xlfn.CONCAT("(",B33/1000,",",P33,")")</f>
        <v>(0.297251965888888,7.26348330459534)</v>
      </c>
      <c r="U33" s="127">
        <v>0.4</v>
      </c>
      <c r="V33" s="64">
        <f>B35*10^-3</f>
        <v>0.42261939326737236</v>
      </c>
      <c r="W33" s="14">
        <f>I35</f>
        <v>0.45219500502788595</v>
      </c>
      <c r="X33" s="14">
        <f>J35</f>
        <v>4.0382630900129966E-2</v>
      </c>
      <c r="Y33" s="64">
        <f>B61*10^-3</f>
        <v>0.43782103085397917</v>
      </c>
      <c r="Z33" s="114">
        <f>I61</f>
        <v>0.54331199498923521</v>
      </c>
      <c r="AA33" s="114">
        <f>J61</f>
        <v>5.2072992479797311E-2</v>
      </c>
      <c r="AB33" s="12">
        <f>ABS((X33-AA33)/AA33)</f>
        <v>0.2244995154484897</v>
      </c>
    </row>
    <row r="34" spans="1:28" x14ac:dyDescent="0.25">
      <c r="A34" s="63">
        <v>0.05</v>
      </c>
      <c r="B34" s="58">
        <f t="shared" si="15"/>
        <v>326.9924139896234</v>
      </c>
      <c r="C34" s="123">
        <v>986.1</v>
      </c>
      <c r="D34" s="60">
        <v>0.28799999999999998</v>
      </c>
      <c r="E34" s="57">
        <v>2.1440000000000001</v>
      </c>
      <c r="F34" s="58">
        <f t="shared" si="16"/>
        <v>7.4444444444444455</v>
      </c>
      <c r="G34" s="64">
        <f t="shared" si="17"/>
        <v>0.53658103886572872</v>
      </c>
      <c r="H34" s="58">
        <f t="shared" si="18"/>
        <v>7.4444444444444446</v>
      </c>
      <c r="I34" s="57">
        <f t="shared" si="19"/>
        <v>0.44658471625913065</v>
      </c>
      <c r="J34" s="57">
        <f t="shared" si="20"/>
        <v>2.3875320765898878E-2</v>
      </c>
      <c r="K34" s="60">
        <f t="shared" si="21"/>
        <v>1.8225435699159444E-2</v>
      </c>
      <c r="L34" s="56">
        <f t="shared" ref="L34:L40" si="26" xml:space="preserve"> (4*8.85*10^-12*0.01*0.01)/0.0015</f>
        <v>2.3599999999999996E-12</v>
      </c>
      <c r="M34" s="124">
        <f t="shared" si="22"/>
        <v>3.3607205106030886E-5</v>
      </c>
      <c r="N34" s="65">
        <f t="shared" si="23"/>
        <v>1.4076127158899603E-3</v>
      </c>
      <c r="O34" s="61">
        <f t="shared" ref="O34:O40" si="27">2*M34/((B34*10^-3)^2)</f>
        <v>6.2861832532846214E-4</v>
      </c>
      <c r="P34" s="66">
        <f t="shared" si="24"/>
        <v>7.4549381101244281</v>
      </c>
      <c r="Q34" s="53" t="str">
        <f t="shared" si="25"/>
        <v>(0.326992413989623,7.45493811012443)</v>
      </c>
      <c r="U34" s="127">
        <v>0.6</v>
      </c>
      <c r="V34" s="125" t="s">
        <v>135</v>
      </c>
      <c r="W34" s="125" t="s">
        <v>135</v>
      </c>
      <c r="X34" s="125" t="s">
        <v>135</v>
      </c>
      <c r="Y34" s="125" t="s">
        <v>135</v>
      </c>
      <c r="Z34" s="125" t="s">
        <v>135</v>
      </c>
      <c r="AA34" s="125" t="s">
        <v>135</v>
      </c>
      <c r="AB34" s="125" t="s">
        <v>135</v>
      </c>
    </row>
    <row r="35" spans="1:28" x14ac:dyDescent="0.25">
      <c r="A35" s="63">
        <v>0.15</v>
      </c>
      <c r="B35" s="58">
        <f t="shared" si="15"/>
        <v>422.61939326737235</v>
      </c>
      <c r="C35" s="123">
        <v>986.1</v>
      </c>
      <c r="D35" s="60">
        <v>0.37690000000000001</v>
      </c>
      <c r="E35" s="57">
        <v>2.7709999999999999</v>
      </c>
      <c r="F35" s="58">
        <f t="shared" si="16"/>
        <v>7.3520827805784021</v>
      </c>
      <c r="G35" s="64">
        <f t="shared" si="17"/>
        <v>0.53658103886572872</v>
      </c>
      <c r="H35" s="58">
        <f t="shared" si="18"/>
        <v>7.3520827805784013</v>
      </c>
      <c r="I35" s="57">
        <f t="shared" si="19"/>
        <v>0.45219500502788595</v>
      </c>
      <c r="J35" s="57">
        <f t="shared" si="20"/>
        <v>4.0382630900129966E-2</v>
      </c>
      <c r="K35" s="60">
        <f t="shared" si="21"/>
        <v>3.0826435801625921E-2</v>
      </c>
      <c r="L35" s="56">
        <f t="shared" si="26"/>
        <v>2.3599999999999996E-12</v>
      </c>
      <c r="M35" s="124">
        <f t="shared" si="22"/>
        <v>5.6137864254452904E-5</v>
      </c>
      <c r="N35" s="65">
        <f t="shared" si="23"/>
        <v>1.390148759581492E-3</v>
      </c>
      <c r="O35" s="61">
        <f t="shared" si="27"/>
        <v>6.2861832532846225E-4</v>
      </c>
      <c r="P35" s="66">
        <f t="shared" si="24"/>
        <v>7.3623174971146605</v>
      </c>
      <c r="Q35" s="53" t="str">
        <f t="shared" si="25"/>
        <v>(0.422619393267372,7.36231749711466)</v>
      </c>
      <c r="U35" s="127">
        <v>0.9</v>
      </c>
      <c r="V35" s="64">
        <f>B37*10^-3</f>
        <v>0.92698689003215051</v>
      </c>
      <c r="W35" s="14">
        <f>I37</f>
        <v>0.44737906916929876</v>
      </c>
      <c r="X35" s="14">
        <f>J37</f>
        <v>0.19221746713246518</v>
      </c>
      <c r="Y35" s="64">
        <f>B63*10^-3</f>
        <v>0.89793957839866489</v>
      </c>
      <c r="Z35" s="114">
        <f>I63</f>
        <v>0.55384178140703944</v>
      </c>
      <c r="AA35" s="114">
        <f>J63</f>
        <v>0.22328006427928321</v>
      </c>
      <c r="AB35" s="12">
        <f>ABS((X35-AA35)/AA35)</f>
        <v>0.13911943839269189</v>
      </c>
    </row>
    <row r="36" spans="1:28" x14ac:dyDescent="0.25">
      <c r="A36" s="63">
        <v>0.3</v>
      </c>
      <c r="B36" s="58">
        <f t="shared" si="15"/>
        <v>667.10112816726325</v>
      </c>
      <c r="C36" s="123">
        <v>986.1</v>
      </c>
      <c r="D36" s="60">
        <v>0.58779999999999999</v>
      </c>
      <c r="E36" s="57">
        <v>4.3739999999999997</v>
      </c>
      <c r="F36" s="58">
        <f t="shared" si="16"/>
        <v>7.4413065668594758</v>
      </c>
      <c r="G36" s="64">
        <f t="shared" si="17"/>
        <v>0.53658103886572872</v>
      </c>
      <c r="H36" s="58">
        <f t="shared" si="18"/>
        <v>7.441306566859474</v>
      </c>
      <c r="I36" s="57">
        <f t="shared" si="19"/>
        <v>0.44677303374858618</v>
      </c>
      <c r="J36" s="57">
        <f t="shared" si="20"/>
        <v>9.9412342342743459E-2</v>
      </c>
      <c r="K36" s="60">
        <f t="shared" si="21"/>
        <v>7.5887284231101859E-2</v>
      </c>
      <c r="L36" s="56">
        <f t="shared" si="26"/>
        <v>2.3599999999999996E-12</v>
      </c>
      <c r="M36" s="124">
        <f t="shared" si="22"/>
        <v>1.3987509415270955E-4</v>
      </c>
      <c r="N36" s="65">
        <f t="shared" si="23"/>
        <v>1.4070193987630113E-3</v>
      </c>
      <c r="O36" s="61">
        <f t="shared" si="27"/>
        <v>6.2861832532846225E-4</v>
      </c>
      <c r="P36" s="66">
        <f t="shared" si="24"/>
        <v>7.4517913818893273</v>
      </c>
      <c r="Q36" s="53" t="str">
        <f t="shared" si="25"/>
        <v>(0.667101128167263,7.45179138188933)</v>
      </c>
      <c r="U36" s="127">
        <v>1.3</v>
      </c>
      <c r="V36" s="64">
        <f>B39*10^-3</f>
        <v>1.2835672370040441</v>
      </c>
      <c r="W36" s="14">
        <f>I39</f>
        <v>0.44893794042042362</v>
      </c>
      <c r="X36" s="14">
        <f>J39</f>
        <v>0.36982269628341757</v>
      </c>
      <c r="Y36" s="64">
        <f>B64*10^-3</f>
        <v>1.2616678194158166</v>
      </c>
      <c r="Z36" s="114">
        <f>I64</f>
        <v>0.56224552746066647</v>
      </c>
      <c r="AA36" s="114">
        <f>J64</f>
        <v>0.44749281392444518</v>
      </c>
      <c r="AB36" s="12">
        <f>ABS((X36-AA36)/AA36)</f>
        <v>0.17356729588542946</v>
      </c>
    </row>
    <row r="37" spans="1:28" x14ac:dyDescent="0.25">
      <c r="A37" s="63">
        <v>0.4</v>
      </c>
      <c r="B37" s="58">
        <f t="shared" si="15"/>
        <v>926.98689003215054</v>
      </c>
      <c r="C37" s="123">
        <v>986.1</v>
      </c>
      <c r="D37" s="60">
        <v>0.81789999999999996</v>
      </c>
      <c r="E37" s="57">
        <v>6.0780000000000003</v>
      </c>
      <c r="F37" s="58">
        <f t="shared" si="16"/>
        <v>7.4312263112849992</v>
      </c>
      <c r="G37" s="64">
        <f t="shared" si="17"/>
        <v>0.53658103886572872</v>
      </c>
      <c r="H37" s="58">
        <f t="shared" si="18"/>
        <v>7.4312263112849974</v>
      </c>
      <c r="I37" s="57">
        <f t="shared" si="19"/>
        <v>0.44737906916929876</v>
      </c>
      <c r="J37" s="57">
        <f t="shared" si="20"/>
        <v>0.19221746713246518</v>
      </c>
      <c r="K37" s="60">
        <f t="shared" si="21"/>
        <v>0.1467308909408131</v>
      </c>
      <c r="L37" s="56">
        <f t="shared" si="26"/>
        <v>2.3599999999999996E-12</v>
      </c>
      <c r="M37" s="124">
        <f t="shared" si="22"/>
        <v>2.700873389361977E-4</v>
      </c>
      <c r="N37" s="65">
        <f t="shared" si="23"/>
        <v>1.4051134008027954E-3</v>
      </c>
      <c r="O37" s="61">
        <f t="shared" si="27"/>
        <v>6.2861832532846236E-4</v>
      </c>
      <c r="P37" s="66">
        <f t="shared" si="24"/>
        <v>7.4416827193985471</v>
      </c>
      <c r="Q37" s="53" t="str">
        <f t="shared" si="25"/>
        <v>(0.926986890032151,7.44168271939855)</v>
      </c>
      <c r="U37" s="129"/>
      <c r="V37" s="78"/>
      <c r="W37" s="130"/>
      <c r="X37" s="130"/>
      <c r="Y37" s="78"/>
      <c r="Z37" s="131"/>
      <c r="AA37" s="131"/>
      <c r="AB37" s="132"/>
    </row>
    <row r="38" spans="1:28" x14ac:dyDescent="0.25">
      <c r="A38" s="67">
        <v>0.45</v>
      </c>
      <c r="B38" s="58">
        <f t="shared" si="15"/>
        <v>1100.0915494902767</v>
      </c>
      <c r="C38" s="123">
        <v>987.3</v>
      </c>
      <c r="D38" s="60">
        <v>0.97230000000000005</v>
      </c>
      <c r="E38" s="57">
        <v>7.2130000000000001</v>
      </c>
      <c r="F38" s="66">
        <f t="shared" si="16"/>
        <v>7.4184922349069211</v>
      </c>
      <c r="G38" s="64">
        <f t="shared" si="17"/>
        <v>0.53527747168517614</v>
      </c>
      <c r="H38" s="58">
        <f t="shared" si="18"/>
        <v>7.4184922349069193</v>
      </c>
      <c r="I38" s="57">
        <f t="shared" si="19"/>
        <v>0.4476023154551661</v>
      </c>
      <c r="J38" s="57">
        <f t="shared" si="20"/>
        <v>0.27084447826633146</v>
      </c>
      <c r="K38" s="60">
        <f t="shared" si="21"/>
        <v>0.20675151012697054</v>
      </c>
      <c r="L38" s="56">
        <f t="shared" si="26"/>
        <v>2.3599999999999996E-12</v>
      </c>
      <c r="M38" s="124">
        <f t="shared" si="22"/>
        <v>3.8084028111629899E-4</v>
      </c>
      <c r="N38" s="65">
        <f t="shared" si="23"/>
        <v>1.4061216368672083E-3</v>
      </c>
      <c r="O38" s="61">
        <f t="shared" si="27"/>
        <v>6.2938330047337065E-4</v>
      </c>
      <c r="P38" s="66">
        <f t="shared" si="24"/>
        <v>7.4289382256850045</v>
      </c>
      <c r="Q38" s="53" t="str">
        <f t="shared" si="25"/>
        <v>(1.10009154949028,7.428938225685)</v>
      </c>
    </row>
    <row r="39" spans="1:28" x14ac:dyDescent="0.25">
      <c r="A39" s="63">
        <v>0.5</v>
      </c>
      <c r="B39" s="58">
        <f t="shared" si="15"/>
        <v>1283.567237004044</v>
      </c>
      <c r="C39" s="123">
        <v>988.3</v>
      </c>
      <c r="D39" s="60">
        <v>1.139</v>
      </c>
      <c r="E39" s="57">
        <v>8.4160000000000004</v>
      </c>
      <c r="F39" s="66">
        <f t="shared" si="16"/>
        <v>7.3889376646180862</v>
      </c>
      <c r="G39" s="64">
        <f t="shared" si="17"/>
        <v>0.53419479099205613</v>
      </c>
      <c r="H39" s="58">
        <f t="shared" si="18"/>
        <v>7.388937664618088</v>
      </c>
      <c r="I39" s="57">
        <f t="shared" si="19"/>
        <v>0.44893794042042362</v>
      </c>
      <c r="J39" s="57">
        <f t="shared" si="20"/>
        <v>0.36982269628341757</v>
      </c>
      <c r="K39" s="60">
        <f t="shared" si="21"/>
        <v>0.28230740174306679</v>
      </c>
      <c r="L39" s="56">
        <f t="shared" si="26"/>
        <v>2.3599999999999996E-12</v>
      </c>
      <c r="M39" s="124">
        <f t="shared" si="22"/>
        <v>5.1899374614567187E-4</v>
      </c>
      <c r="N39" s="65">
        <f t="shared" si="23"/>
        <v>1.4033582886106468E-3</v>
      </c>
      <c r="O39" s="61">
        <f t="shared" si="27"/>
        <v>6.3002077976079414E-4</v>
      </c>
      <c r="P39" s="66">
        <f>2*PI()*C39*10^3*G39*10^-6/(I39-O39)</f>
        <v>7.3993215638648335</v>
      </c>
      <c r="Q39" s="53" t="str">
        <f>_xlfn.CONCAT("(",B39/1000,",",P39,")")</f>
        <v>(1.28356723700404,7.39932156386483)</v>
      </c>
    </row>
    <row r="40" spans="1:28" x14ac:dyDescent="0.25">
      <c r="A40" s="63">
        <v>0.6</v>
      </c>
      <c r="B40" s="58">
        <f t="shared" si="15"/>
        <v>1609.0344998090143</v>
      </c>
      <c r="C40" s="123">
        <v>990.1</v>
      </c>
      <c r="D40" s="60">
        <v>1.4379999999999999</v>
      </c>
      <c r="E40" s="58">
        <v>10.55</v>
      </c>
      <c r="F40" s="66">
        <f t="shared" si="16"/>
        <v>7.3365785813630051</v>
      </c>
      <c r="G40" s="64">
        <f t="shared" si="17"/>
        <v>0.53225422625083241</v>
      </c>
      <c r="H40" s="58">
        <f t="shared" si="18"/>
        <v>7.336578581363006</v>
      </c>
      <c r="I40" s="57">
        <f t="shared" si="19"/>
        <v>0.45131989021796715</v>
      </c>
      <c r="J40" s="57">
        <f t="shared" si="20"/>
        <v>0.58423179747635634</v>
      </c>
      <c r="K40" s="60">
        <f t="shared" si="21"/>
        <v>0.44597847135599711</v>
      </c>
      <c r="L40" s="56">
        <f t="shared" si="26"/>
        <v>2.3599999999999996E-12</v>
      </c>
      <c r="M40" s="124">
        <f t="shared" si="22"/>
        <v>8.1704477202393508E-4</v>
      </c>
      <c r="N40" s="65">
        <f t="shared" si="23"/>
        <v>1.3984941859604973E-3</v>
      </c>
      <c r="O40" s="61">
        <f t="shared" si="27"/>
        <v>6.311682424781569E-4</v>
      </c>
      <c r="P40" s="66">
        <f>2*PI()*C40*10^3*G40*10^-6/(I40-O40)</f>
        <v>7.3468531127262597</v>
      </c>
      <c r="Q40" s="53" t="str">
        <f>_xlfn.CONCAT("(",B40/1000,",",P40,")")</f>
        <v>(1.60903449980901,7.34685311272626)</v>
      </c>
    </row>
    <row r="50" spans="1:17" ht="14.25" customHeight="1" x14ac:dyDescent="0.25">
      <c r="A50" s="55" t="s">
        <v>0</v>
      </c>
      <c r="B50" s="55">
        <v>1000</v>
      </c>
      <c r="C50" s="55" t="s">
        <v>15</v>
      </c>
      <c r="D50" s="55"/>
      <c r="E50" s="55"/>
      <c r="F50" s="169" t="s">
        <v>123</v>
      </c>
      <c r="G50" s="169"/>
      <c r="H50" s="169"/>
      <c r="I50" s="169"/>
      <c r="J50" s="169"/>
      <c r="K50" s="169"/>
      <c r="L50" s="169"/>
      <c r="M50" s="169"/>
      <c r="N50" s="169"/>
      <c r="O50" s="147"/>
      <c r="P50" s="147"/>
    </row>
    <row r="51" spans="1:17" x14ac:dyDescent="0.25">
      <c r="A51" s="56" t="s">
        <v>2</v>
      </c>
      <c r="B51" s="56" t="s">
        <v>38</v>
      </c>
      <c r="C51" s="56"/>
      <c r="D51" s="56"/>
      <c r="E51" s="56"/>
      <c r="F51" s="169"/>
      <c r="G51" s="169"/>
      <c r="H51" s="169"/>
      <c r="I51" s="169"/>
      <c r="J51" s="169"/>
      <c r="K51" s="169"/>
      <c r="L51" s="169"/>
      <c r="M51" s="169"/>
      <c r="N51" s="169"/>
      <c r="O51" s="147"/>
      <c r="P51" s="147"/>
    </row>
    <row r="52" spans="1:17" x14ac:dyDescent="0.25">
      <c r="A52" s="53" t="s">
        <v>67</v>
      </c>
      <c r="B52" s="56">
        <v>3.423</v>
      </c>
      <c r="C52" s="56" t="s">
        <v>14</v>
      </c>
      <c r="D52" s="56"/>
      <c r="E52" s="56"/>
      <c r="F52" s="169"/>
      <c r="G52" s="169"/>
      <c r="H52" s="169"/>
      <c r="I52" s="169"/>
      <c r="J52" s="169"/>
      <c r="K52" s="169"/>
      <c r="L52" s="169"/>
      <c r="M52" s="169"/>
      <c r="N52" s="169"/>
      <c r="O52"/>
      <c r="P52"/>
    </row>
    <row r="53" spans="1:17" x14ac:dyDescent="0.25">
      <c r="A53" s="53" t="s">
        <v>68</v>
      </c>
      <c r="B53" s="58">
        <f>B52*10^-6*B50*2*PI()*10^3</f>
        <v>21.507343306475725</v>
      </c>
      <c r="C53" s="56"/>
      <c r="D53" s="59" t="s">
        <v>86</v>
      </c>
      <c r="F53" s="56"/>
      <c r="G53" s="56"/>
      <c r="H53" s="56"/>
      <c r="I53" s="56"/>
      <c r="J53" s="56"/>
      <c r="K53" s="56"/>
      <c r="L53" s="56"/>
      <c r="N53" s="56"/>
    </row>
    <row r="54" spans="1:17" x14ac:dyDescent="0.25">
      <c r="A54" s="56" t="s">
        <v>102</v>
      </c>
      <c r="B54" s="58">
        <f>1/((2*PI()*B50*10^3)^2*B52*10^-6*10^-9)</f>
        <v>7.4000280194520718</v>
      </c>
      <c r="C54" s="56" t="s">
        <v>16</v>
      </c>
      <c r="D54" s="56" t="s">
        <v>103</v>
      </c>
      <c r="E54" s="60">
        <f>12.445+9.8965+9.9922+9.8718+5.034+5.034+5.0583+5.1898+5.033+5.0477+1.1792+0.20799</f>
        <v>73.989489999999989</v>
      </c>
      <c r="F54" s="56" t="s">
        <v>16</v>
      </c>
      <c r="G54" s="56" t="s">
        <v>102</v>
      </c>
      <c r="H54" s="58">
        <f>5.0191+2.1902+0.18395</f>
        <v>7.3932500000000001</v>
      </c>
      <c r="I54" s="56" t="s">
        <v>16</v>
      </c>
      <c r="J54" s="56"/>
      <c r="K54" s="56"/>
      <c r="L54" s="56"/>
      <c r="N54" s="56"/>
    </row>
    <row r="55" spans="1:17" x14ac:dyDescent="0.25">
      <c r="A55" s="56" t="s">
        <v>104</v>
      </c>
      <c r="B55" s="61">
        <f>1/(2*PI()*$B$50*10^3*B54*10^-9)</f>
        <v>21.507343306475725</v>
      </c>
      <c r="C55" s="56"/>
      <c r="D55" s="56" t="s">
        <v>105</v>
      </c>
      <c r="E55" s="61">
        <f>1/(2*PI()*$B$50*10^3*E54*10^-9)</f>
        <v>2.1510479811645595</v>
      </c>
      <c r="F55" s="56"/>
      <c r="G55" s="56" t="s">
        <v>104</v>
      </c>
      <c r="H55" s="61">
        <f>1/(2*PI()*$B$50*10^3*H54*10^-9)</f>
        <v>21.527060912575031</v>
      </c>
      <c r="I55" s="56"/>
      <c r="J55" s="56"/>
      <c r="K55" s="56"/>
      <c r="L55" s="56"/>
      <c r="N55" s="56"/>
    </row>
    <row r="56" spans="1:17" x14ac:dyDescent="0.25">
      <c r="A56" s="56" t="s">
        <v>29</v>
      </c>
      <c r="B56" s="57">
        <f>(1/(2*PI()*SQRT(H54*10^-9*B52*10^-6)))/10^3</f>
        <v>1000.4582874018477</v>
      </c>
      <c r="C56" s="56" t="s">
        <v>15</v>
      </c>
      <c r="D56" s="56"/>
      <c r="E56" s="56"/>
      <c r="F56" s="56"/>
      <c r="G56" s="56"/>
      <c r="H56" s="56"/>
      <c r="I56" s="56"/>
      <c r="J56" s="56"/>
      <c r="K56" s="56"/>
      <c r="L56" s="56"/>
      <c r="N56" s="56"/>
    </row>
    <row r="57" spans="1:17" x14ac:dyDescent="0.25">
      <c r="A57" s="56" t="s">
        <v>30</v>
      </c>
      <c r="B57" s="57">
        <f>1310*0.1^3</f>
        <v>1.3100000000000003</v>
      </c>
      <c r="C57" s="62" t="s">
        <v>32</v>
      </c>
      <c r="D57" s="56"/>
      <c r="E57" s="56"/>
      <c r="F57" s="56"/>
      <c r="G57" s="56"/>
      <c r="H57" s="56"/>
      <c r="I57" s="56"/>
      <c r="J57" s="56"/>
      <c r="K57" s="56"/>
      <c r="L57" s="56"/>
      <c r="N57" s="56"/>
    </row>
    <row r="58" spans="1:17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9"/>
    </row>
    <row r="59" spans="1:17" x14ac:dyDescent="0.25">
      <c r="A59" s="59" t="s">
        <v>13</v>
      </c>
      <c r="B59" s="59" t="s">
        <v>4</v>
      </c>
      <c r="C59" s="59" t="s">
        <v>27</v>
      </c>
      <c r="D59" s="59" t="s">
        <v>26</v>
      </c>
      <c r="E59" s="59" t="s">
        <v>5</v>
      </c>
      <c r="F59" s="59" t="s">
        <v>6</v>
      </c>
      <c r="G59" s="59" t="s">
        <v>7</v>
      </c>
      <c r="H59" s="59" t="s">
        <v>8</v>
      </c>
      <c r="I59" s="59" t="s">
        <v>9</v>
      </c>
      <c r="J59" s="59" t="s">
        <v>28</v>
      </c>
      <c r="K59" s="59" t="s">
        <v>31</v>
      </c>
      <c r="L59" s="59" t="s">
        <v>35</v>
      </c>
      <c r="M59" s="59" t="s">
        <v>33</v>
      </c>
      <c r="N59" s="59" t="s">
        <v>34</v>
      </c>
      <c r="O59" s="59" t="s">
        <v>36</v>
      </c>
      <c r="P59" s="59" t="s">
        <v>10</v>
      </c>
      <c r="Q59" s="59" t="s">
        <v>37</v>
      </c>
    </row>
    <row r="60" spans="1:17" x14ac:dyDescent="0.25">
      <c r="A60" s="63">
        <v>0</v>
      </c>
      <c r="B60" s="58">
        <f t="shared" ref="B60:B65" si="28">0.5*E60/($H$55*10^-3)</f>
        <v>389.74201048964295</v>
      </c>
      <c r="C60" s="56">
        <v>987.5</v>
      </c>
      <c r="D60" s="60">
        <v>0.41930000000000001</v>
      </c>
      <c r="E60" s="58">
        <v>16.78</v>
      </c>
      <c r="F60" s="58">
        <f t="shared" ref="F60:F65" si="29">E60/D60</f>
        <v>40.019079418077752</v>
      </c>
      <c r="G60" s="64">
        <f t="shared" ref="G60:G65" si="30">1/($H$54*10^-9*(2*PI()*C60*10^3)^2*10^-6)</f>
        <v>3.5134248018988163</v>
      </c>
      <c r="H60" s="58">
        <f t="shared" ref="H60:H65" si="31">(2*PI()*C60*10^3*G60*10^-6)/((D60/E60)*(1/(2*PI()*C60*10^3*$H$54*10^-9)))</f>
        <v>40.019079418077744</v>
      </c>
      <c r="I60" s="57">
        <f t="shared" ref="I60:I65" si="32">(2*PI()*C60*10^3*G60*10^-6)/H60</f>
        <v>0.54472905602768262</v>
      </c>
      <c r="J60" s="57">
        <f t="shared" ref="J60:J65" si="33">I60*(B60*10^-3)^2/2</f>
        <v>4.1371854429951206E-2</v>
      </c>
      <c r="K60" s="60">
        <f t="shared" ref="K60:K65" si="34">J60/(B$57)</f>
        <v>3.1581568267138316E-2</v>
      </c>
      <c r="L60" s="56">
        <f t="shared" ref="L60:L65" si="35" xml:space="preserve"> (4*8.85*10^-12*0.01*0.01)/0.0015</f>
        <v>2.3599999999999996E-12</v>
      </c>
      <c r="M60" s="60">
        <f t="shared" ref="M60:M65" si="36">0.5*2*PI()*C60*10^3*L60*E60^2</f>
        <v>2.0614978820391269E-3</v>
      </c>
      <c r="N60" s="65">
        <f t="shared" ref="N60:N65" si="37">M60/J60</f>
        <v>4.9828510479982324E-2</v>
      </c>
      <c r="O60" s="61">
        <f>2*M60/((B60*10^-3)^2)</f>
        <v>2.7143037477026261E-2</v>
      </c>
      <c r="P60" s="66">
        <f t="shared" ref="P60:P65" si="38">2*PI()*C60*10^3*G60*10^-6/(I60-O60)</f>
        <v>42.117743859367451</v>
      </c>
      <c r="Q60" s="53" t="str">
        <f t="shared" ref="Q60:Q65" si="39">_xlfn.CONCAT("(",B60/1000,",",P60,")")</f>
        <v>(0.389742010489643,42.1177438593675)</v>
      </c>
    </row>
    <row r="61" spans="1:17" x14ac:dyDescent="0.25">
      <c r="A61" s="63">
        <v>0.05</v>
      </c>
      <c r="B61" s="58">
        <f t="shared" si="28"/>
        <v>437.82103085397915</v>
      </c>
      <c r="C61" s="56">
        <v>987.5</v>
      </c>
      <c r="D61" s="60">
        <v>0.4698</v>
      </c>
      <c r="E61" s="58">
        <v>18.850000000000001</v>
      </c>
      <c r="F61" s="58">
        <f t="shared" si="29"/>
        <v>40.123456790123463</v>
      </c>
      <c r="G61" s="64">
        <f t="shared" si="30"/>
        <v>3.5134248018988163</v>
      </c>
      <c r="H61" s="58">
        <f t="shared" si="31"/>
        <v>40.123456790123463</v>
      </c>
      <c r="I61" s="57">
        <f t="shared" si="32"/>
        <v>0.54331199498923521</v>
      </c>
      <c r="J61" s="57">
        <f t="shared" si="33"/>
        <v>5.2072992479797311E-2</v>
      </c>
      <c r="K61" s="60">
        <f t="shared" si="34"/>
        <v>3.9750375938776568E-2</v>
      </c>
      <c r="L61" s="56">
        <f t="shared" si="35"/>
        <v>2.3599999999999996E-12</v>
      </c>
      <c r="M61" s="60">
        <f t="shared" si="36"/>
        <v>2.6014871739543487E-3</v>
      </c>
      <c r="N61" s="65">
        <f t="shared" si="37"/>
        <v>4.9958472714308561E-2</v>
      </c>
      <c r="O61" s="61">
        <f t="shared" ref="O61:O65" si="40">2*M61/((B61*10^-3)^2)</f>
        <v>2.7143037477026257E-2</v>
      </c>
      <c r="P61" s="66">
        <f t="shared" si="38"/>
        <v>42.233371529303426</v>
      </c>
      <c r="Q61" s="53" t="str">
        <f t="shared" si="39"/>
        <v>(0.437821030853979,42.2333715293034)</v>
      </c>
    </row>
    <row r="62" spans="1:17" x14ac:dyDescent="0.25">
      <c r="A62" s="63">
        <v>0.15</v>
      </c>
      <c r="B62" s="58">
        <f t="shared" si="28"/>
        <v>564.17362543465003</v>
      </c>
      <c r="C62" s="56">
        <v>987.5</v>
      </c>
      <c r="D62" s="60">
        <v>0.60250000000000004</v>
      </c>
      <c r="E62" s="58">
        <v>24.29</v>
      </c>
      <c r="F62" s="58">
        <f t="shared" si="29"/>
        <v>40.315352697095435</v>
      </c>
      <c r="G62" s="64">
        <f t="shared" si="30"/>
        <v>3.5134248018988163</v>
      </c>
      <c r="H62" s="58">
        <f t="shared" si="31"/>
        <v>40.31535269709542</v>
      </c>
      <c r="I62" s="57">
        <f t="shared" si="32"/>
        <v>0.54072589959201656</v>
      </c>
      <c r="J62" s="57">
        <f t="shared" si="33"/>
        <v>8.6054331474525722E-2</v>
      </c>
      <c r="K62" s="60">
        <f t="shared" si="34"/>
        <v>6.5690329369866948E-2</v>
      </c>
      <c r="L62" s="56">
        <f t="shared" si="35"/>
        <v>2.3599999999999996E-12</v>
      </c>
      <c r="M62" s="60">
        <f t="shared" si="36"/>
        <v>4.3197042087975814E-3</v>
      </c>
      <c r="N62" s="65">
        <f t="shared" si="37"/>
        <v>5.0197405926932614E-2</v>
      </c>
      <c r="O62" s="61">
        <f t="shared" si="40"/>
        <v>2.7143037477026261E-2</v>
      </c>
      <c r="P62" s="66">
        <f t="shared" si="38"/>
        <v>42.446033469133695</v>
      </c>
      <c r="Q62" s="53" t="str">
        <f t="shared" si="39"/>
        <v>(0.56417362543465,42.4460334691337)</v>
      </c>
    </row>
    <row r="63" spans="1:17" x14ac:dyDescent="0.25">
      <c r="A63" s="63">
        <v>0.3</v>
      </c>
      <c r="B63" s="58">
        <f t="shared" si="28"/>
        <v>897.93957839866482</v>
      </c>
      <c r="C63" s="56">
        <v>987.5</v>
      </c>
      <c r="D63" s="60">
        <v>0.98219999999999996</v>
      </c>
      <c r="E63" s="58">
        <v>38.659999999999997</v>
      </c>
      <c r="F63" s="58">
        <f t="shared" si="29"/>
        <v>39.360619018529832</v>
      </c>
      <c r="G63" s="64">
        <f t="shared" si="30"/>
        <v>3.5134248018988163</v>
      </c>
      <c r="H63" s="58">
        <f t="shared" si="31"/>
        <v>39.360619018529825</v>
      </c>
      <c r="I63" s="57">
        <f t="shared" si="32"/>
        <v>0.55384178140703944</v>
      </c>
      <c r="J63" s="57">
        <f t="shared" si="33"/>
        <v>0.22328006427928321</v>
      </c>
      <c r="K63" s="60">
        <f t="shared" si="34"/>
        <v>0.17044279715975813</v>
      </c>
      <c r="L63" s="56">
        <f t="shared" si="35"/>
        <v>2.3599999999999996E-12</v>
      </c>
      <c r="M63" s="60">
        <f t="shared" si="36"/>
        <v>1.0942654303199496E-2</v>
      </c>
      <c r="N63" s="65">
        <f t="shared" si="37"/>
        <v>4.9008649018983635E-2</v>
      </c>
      <c r="O63" s="61">
        <f t="shared" si="40"/>
        <v>2.7143037477026254E-2</v>
      </c>
      <c r="P63" s="66">
        <f t="shared" si="38"/>
        <v>41.389039950706703</v>
      </c>
      <c r="Q63" s="53" t="str">
        <f t="shared" si="39"/>
        <v>(0.897939578398665,41.3890399507067)</v>
      </c>
    </row>
    <row r="64" spans="1:17" x14ac:dyDescent="0.25">
      <c r="A64" s="63">
        <v>0.4</v>
      </c>
      <c r="B64" s="58">
        <f t="shared" si="28"/>
        <v>1261.6678194158167</v>
      </c>
      <c r="C64" s="56">
        <v>987.5</v>
      </c>
      <c r="D64" s="60">
        <v>1.401</v>
      </c>
      <c r="E64" s="58">
        <v>54.32</v>
      </c>
      <c r="F64" s="58">
        <f t="shared" si="29"/>
        <v>38.772305496074232</v>
      </c>
      <c r="G64" s="64">
        <f t="shared" si="30"/>
        <v>3.5134248018988163</v>
      </c>
      <c r="H64" s="58">
        <f t="shared" si="31"/>
        <v>38.772305496074232</v>
      </c>
      <c r="I64" s="57">
        <f t="shared" si="32"/>
        <v>0.56224552746066647</v>
      </c>
      <c r="J64" s="57">
        <f t="shared" si="33"/>
        <v>0.44749281392444518</v>
      </c>
      <c r="K64" s="60">
        <f t="shared" si="34"/>
        <v>0.34159756788125578</v>
      </c>
      <c r="L64" s="56">
        <f t="shared" si="35"/>
        <v>2.3599999999999996E-12</v>
      </c>
      <c r="M64" s="60">
        <f t="shared" si="36"/>
        <v>2.1603220703077783E-2</v>
      </c>
      <c r="N64" s="65">
        <f t="shared" si="37"/>
        <v>4.8276128757511798E-2</v>
      </c>
      <c r="O64" s="61">
        <f t="shared" si="40"/>
        <v>2.7143037477026268E-2</v>
      </c>
      <c r="P64" s="66">
        <f t="shared" si="38"/>
        <v>40.739028060162525</v>
      </c>
      <c r="Q64" s="53" t="str">
        <f t="shared" si="39"/>
        <v>(1.26166781941582,40.7390280601625)</v>
      </c>
    </row>
    <row r="65" spans="1:17" x14ac:dyDescent="0.25">
      <c r="A65" s="67">
        <v>0.45</v>
      </c>
      <c r="B65" s="58">
        <f t="shared" si="28"/>
        <v>1479.0686071502064</v>
      </c>
      <c r="C65" s="56">
        <v>987.5</v>
      </c>
      <c r="D65" s="60">
        <v>1.661</v>
      </c>
      <c r="E65" s="58">
        <v>63.68</v>
      </c>
      <c r="F65" s="66">
        <f t="shared" si="29"/>
        <v>38.338350391330522</v>
      </c>
      <c r="G65" s="64">
        <f t="shared" si="30"/>
        <v>3.5134248018988163</v>
      </c>
      <c r="H65" s="58">
        <f t="shared" si="31"/>
        <v>38.338350391330515</v>
      </c>
      <c r="I65" s="57">
        <f t="shared" si="32"/>
        <v>0.56860963322605307</v>
      </c>
      <c r="J65" s="57">
        <f t="shared" si="33"/>
        <v>0.62195771050037785</v>
      </c>
      <c r="K65" s="68">
        <f t="shared" si="34"/>
        <v>0.47477687824456316</v>
      </c>
      <c r="L65" s="56">
        <f t="shared" si="35"/>
        <v>2.3599999999999996E-12</v>
      </c>
      <c r="M65" s="60">
        <f t="shared" si="36"/>
        <v>2.9689650788110672E-2</v>
      </c>
      <c r="N65" s="65">
        <f t="shared" si="37"/>
        <v>4.7735803072888564E-2</v>
      </c>
      <c r="O65" s="61">
        <f t="shared" si="40"/>
        <v>2.7143037477026261E-2</v>
      </c>
      <c r="P65" s="66">
        <f t="shared" si="38"/>
        <v>40.260203539149785</v>
      </c>
      <c r="Q65" s="53" t="str">
        <f t="shared" si="39"/>
        <v>(1.47906860715021,40.2602035391498)</v>
      </c>
    </row>
    <row r="66" spans="1:17" x14ac:dyDescent="0.25">
      <c r="J66" s="84"/>
      <c r="K66" s="84"/>
      <c r="L66" s="84"/>
      <c r="M66" s="84"/>
      <c r="N66" s="84"/>
    </row>
    <row r="67" spans="1:17" x14ac:dyDescent="0.25">
      <c r="A67" s="148" t="s">
        <v>99</v>
      </c>
      <c r="B67" s="148"/>
      <c r="C67" s="148"/>
      <c r="J67" s="84"/>
      <c r="K67" s="84"/>
    </row>
    <row r="68" spans="1:17" x14ac:dyDescent="0.25">
      <c r="A68" s="83"/>
      <c r="B68" s="73"/>
      <c r="C68" s="74"/>
      <c r="D68" s="74"/>
      <c r="E68" s="74"/>
      <c r="F68" s="74"/>
      <c r="G68" s="74"/>
      <c r="H68" s="69"/>
      <c r="I68" s="69"/>
      <c r="J68" s="69"/>
      <c r="K68" s="69"/>
      <c r="L68" s="69"/>
      <c r="M68" s="69"/>
      <c r="N68" s="69"/>
    </row>
    <row r="69" spans="1:17" x14ac:dyDescent="0.25">
      <c r="A69" s="48" t="s">
        <v>100</v>
      </c>
      <c r="B69" s="49" t="s">
        <v>101</v>
      </c>
      <c r="C69" s="56"/>
      <c r="D69" s="56"/>
      <c r="E69" s="56"/>
      <c r="F69" s="56"/>
      <c r="G69" s="56"/>
      <c r="I69" s="56"/>
    </row>
    <row r="70" spans="1:17" x14ac:dyDescent="0.25">
      <c r="A70" s="50">
        <v>0</v>
      </c>
      <c r="B70" s="51">
        <v>25</v>
      </c>
      <c r="C70" s="57"/>
      <c r="D70" s="70"/>
      <c r="E70" s="56"/>
      <c r="F70" s="56"/>
      <c r="G70" s="56"/>
      <c r="I70" s="56"/>
    </row>
    <row r="71" spans="1:17" x14ac:dyDescent="0.25">
      <c r="A71" s="50">
        <v>5</v>
      </c>
      <c r="B71" s="51">
        <v>25.8</v>
      </c>
      <c r="C71" s="56"/>
      <c r="D71" s="56"/>
      <c r="E71" s="56"/>
      <c r="F71" s="56"/>
      <c r="G71" s="56"/>
      <c r="I71" s="56"/>
    </row>
    <row r="72" spans="1:17" x14ac:dyDescent="0.25">
      <c r="A72" s="50">
        <v>10</v>
      </c>
      <c r="B72" s="51">
        <v>26.3</v>
      </c>
      <c r="C72" s="60"/>
      <c r="D72" s="56"/>
      <c r="E72" s="56"/>
      <c r="F72" s="56"/>
      <c r="G72" s="56"/>
      <c r="I72" s="56"/>
    </row>
    <row r="73" spans="1:17" x14ac:dyDescent="0.25">
      <c r="A73" s="50">
        <v>15</v>
      </c>
      <c r="B73" s="51">
        <v>27.1</v>
      </c>
      <c r="C73" s="56"/>
      <c r="D73" s="56"/>
      <c r="E73" s="56"/>
      <c r="F73" s="56"/>
      <c r="G73" s="56"/>
      <c r="I73" s="56"/>
    </row>
    <row r="74" spans="1:17" x14ac:dyDescent="0.25">
      <c r="A74" s="50">
        <v>20</v>
      </c>
      <c r="B74" s="51">
        <v>27.1</v>
      </c>
      <c r="C74" s="56"/>
      <c r="D74" s="58"/>
      <c r="E74" s="56"/>
      <c r="F74" s="56"/>
      <c r="G74" s="56"/>
      <c r="I74" s="56"/>
    </row>
    <row r="75" spans="1:17" x14ac:dyDescent="0.25">
      <c r="A75" s="50">
        <v>25</v>
      </c>
      <c r="B75" s="51">
        <v>27.3</v>
      </c>
      <c r="C75" s="59" t="s">
        <v>13</v>
      </c>
      <c r="D75" s="59" t="s">
        <v>4</v>
      </c>
      <c r="E75" s="59" t="s">
        <v>27</v>
      </c>
      <c r="F75" s="59" t="s">
        <v>26</v>
      </c>
      <c r="G75" s="59" t="s">
        <v>5</v>
      </c>
      <c r="H75" s="59" t="s">
        <v>6</v>
      </c>
      <c r="I75" s="59" t="s">
        <v>7</v>
      </c>
      <c r="J75" s="59" t="s">
        <v>8</v>
      </c>
      <c r="K75" s="59" t="s">
        <v>9</v>
      </c>
      <c r="L75" s="59" t="s">
        <v>28</v>
      </c>
    </row>
    <row r="76" spans="1:17" x14ac:dyDescent="0.25">
      <c r="A76" s="50">
        <v>30</v>
      </c>
      <c r="B76" s="51">
        <v>27.4</v>
      </c>
      <c r="C76" s="63">
        <v>0.05</v>
      </c>
      <c r="D76" s="58">
        <f>0.5*G76/($H$55*10^-3)</f>
        <v>453.61510517656302</v>
      </c>
      <c r="E76" s="56">
        <v>987.5</v>
      </c>
      <c r="F76" s="60">
        <v>0.50470000000000004</v>
      </c>
      <c r="G76" s="58">
        <v>19.53</v>
      </c>
      <c r="H76" s="58">
        <f>G76/F76</f>
        <v>38.696255201109572</v>
      </c>
      <c r="I76" s="64">
        <f>1/($H$54*10^-9*(2*PI()*E76*10^3)^2*10^-6)</f>
        <v>3.5134248018988163</v>
      </c>
      <c r="J76" s="58">
        <f>(2*PI()*E76*10^3*I76*10^-6)/((F76/G76)*(1/(2*PI()*E76*10^3*$H$54*10^-9)))</f>
        <v>38.696255201109558</v>
      </c>
      <c r="K76" s="57">
        <f>(2*PI()*E76*10^3*I76*10^-6)/J76</f>
        <v>0.56335051650892776</v>
      </c>
      <c r="L76" s="57">
        <f>K76*(D76*10^-3)^2/2</f>
        <v>5.7959378122180091E-2</v>
      </c>
    </row>
    <row r="77" spans="1:17" x14ac:dyDescent="0.25">
      <c r="A77" s="50">
        <v>35</v>
      </c>
      <c r="B77" s="51">
        <v>27.4</v>
      </c>
      <c r="M77" s="59"/>
      <c r="N77" s="59"/>
      <c r="O77" s="59"/>
    </row>
    <row r="78" spans="1:17" x14ac:dyDescent="0.25">
      <c r="A78" s="50">
        <v>40</v>
      </c>
      <c r="B78" s="51">
        <v>27.6</v>
      </c>
      <c r="M78" s="65"/>
      <c r="N78" s="61"/>
      <c r="O78" s="66"/>
    </row>
    <row r="79" spans="1:17" x14ac:dyDescent="0.25">
      <c r="A79" s="50">
        <v>45</v>
      </c>
      <c r="B79" s="51">
        <v>27.7</v>
      </c>
      <c r="C79" s="63">
        <v>0.05</v>
      </c>
      <c r="D79" s="58">
        <f>0.5*G79/($H$55*10^-3)</f>
        <v>454.77643417087057</v>
      </c>
      <c r="E79" s="56">
        <v>987.5</v>
      </c>
      <c r="F79" s="60">
        <v>0.5101</v>
      </c>
      <c r="G79" s="58">
        <v>19.579999999999998</v>
      </c>
      <c r="H79" s="58">
        <f>G79/F79</f>
        <v>38.38463046461478</v>
      </c>
      <c r="I79" s="64">
        <f>1/($H$54*10^-9*(2*PI()*E79*10^3)^2*10^-6)</f>
        <v>3.5134248018988163</v>
      </c>
      <c r="J79" s="58">
        <f>(2*PI()*E79*10^3*I79*10^-6)/((F79/G79)*(1/(2*PI()*E79*10^3*$H$54*10^-9)))</f>
        <v>38.384630464614773</v>
      </c>
      <c r="K79" s="57">
        <f>(2*PI()*E79*10^3*I79*10^-6)/J79</f>
        <v>0.56792406467485668</v>
      </c>
      <c r="L79" s="57">
        <f>K79*(D79*10^-3)^2/2</f>
        <v>5.8729483309002808E-2</v>
      </c>
      <c r="M79" s="65"/>
      <c r="N79" s="61"/>
      <c r="O79" s="66"/>
    </row>
    <row r="80" spans="1:17" x14ac:dyDescent="0.25">
      <c r="A80" s="50">
        <v>50</v>
      </c>
      <c r="B80" s="51">
        <v>27.7</v>
      </c>
      <c r="C80" s="58"/>
      <c r="D80" s="58"/>
      <c r="E80" s="61"/>
      <c r="F80" s="66"/>
      <c r="G80" s="61"/>
      <c r="H80" s="66"/>
      <c r="I80" s="58"/>
      <c r="J80" s="60"/>
      <c r="K80" s="72"/>
      <c r="L80" s="54" t="s">
        <v>116</v>
      </c>
      <c r="M80" s="65"/>
      <c r="N80" s="61"/>
      <c r="O80" s="66"/>
    </row>
    <row r="81" spans="1:12" x14ac:dyDescent="0.25">
      <c r="A81" s="71"/>
      <c r="B81" s="52"/>
    </row>
    <row r="82" spans="1:12" x14ac:dyDescent="0.25">
      <c r="A82" s="48" t="s">
        <v>100</v>
      </c>
      <c r="B82" s="49" t="s">
        <v>101</v>
      </c>
      <c r="C82" s="56"/>
      <c r="D82" s="56"/>
      <c r="E82" s="56"/>
      <c r="F82" s="56"/>
      <c r="G82" s="56"/>
      <c r="I82" s="56"/>
    </row>
    <row r="83" spans="1:12" x14ac:dyDescent="0.25">
      <c r="A83" s="50">
        <v>0</v>
      </c>
      <c r="B83" s="51">
        <v>25</v>
      </c>
      <c r="C83" s="57"/>
      <c r="D83" s="70"/>
      <c r="E83" s="56"/>
      <c r="F83" s="56"/>
      <c r="G83" s="56"/>
      <c r="I83" s="56"/>
    </row>
    <row r="84" spans="1:12" x14ac:dyDescent="0.25">
      <c r="A84" s="50">
        <v>5</v>
      </c>
      <c r="B84" s="51">
        <v>32.6</v>
      </c>
      <c r="C84" s="59" t="s">
        <v>13</v>
      </c>
      <c r="D84" s="59" t="s">
        <v>4</v>
      </c>
      <c r="E84" s="59" t="s">
        <v>27</v>
      </c>
      <c r="F84" s="59" t="s">
        <v>26</v>
      </c>
      <c r="G84" s="59" t="s">
        <v>5</v>
      </c>
      <c r="H84" s="59" t="s">
        <v>6</v>
      </c>
      <c r="I84" s="59" t="s">
        <v>7</v>
      </c>
      <c r="J84" s="59" t="s">
        <v>8</v>
      </c>
      <c r="K84" s="59" t="s">
        <v>9</v>
      </c>
      <c r="L84" s="59" t="s">
        <v>28</v>
      </c>
    </row>
    <row r="85" spans="1:12" x14ac:dyDescent="0.25">
      <c r="A85" s="50">
        <v>10</v>
      </c>
      <c r="B85" s="51">
        <v>35.6</v>
      </c>
      <c r="C85" s="63">
        <v>0.4</v>
      </c>
      <c r="D85" s="58">
        <f>0.5*G85/($H$55*10^-3)</f>
        <v>1221.4858362127725</v>
      </c>
      <c r="E85" s="56">
        <v>987.5</v>
      </c>
      <c r="F85" s="60">
        <v>1.41</v>
      </c>
      <c r="G85" s="58">
        <v>52.59</v>
      </c>
      <c r="H85" s="58">
        <f>G85/F85</f>
        <v>37.297872340425535</v>
      </c>
      <c r="I85" s="64">
        <f>1/($H$54*10^-9*(2*PI()*E85*10^3)^2*10^-6)</f>
        <v>3.5134248018988163</v>
      </c>
      <c r="J85" s="58">
        <f>(2*PI()*E85*10^3*I85*10^-6)/((F85/G85)*(1/(2*PI()*E85*10^3*$H$54*10^-9)))</f>
        <v>37.297872340425535</v>
      </c>
      <c r="K85" s="57">
        <f>(2*PI()*E85*10^3*I85*10^-6)/J85</f>
        <v>0.5844718206855668</v>
      </c>
      <c r="L85" s="57">
        <f>K85*(D85*10^-3)^2/2</f>
        <v>0.43602405798987559</v>
      </c>
    </row>
    <row r="86" spans="1:12" x14ac:dyDescent="0.25">
      <c r="A86" s="50">
        <v>15</v>
      </c>
      <c r="B86" s="51">
        <v>36.5</v>
      </c>
    </row>
    <row r="87" spans="1:12" x14ac:dyDescent="0.25">
      <c r="A87" s="50">
        <v>20</v>
      </c>
      <c r="B87" s="51">
        <v>37.299999999999997</v>
      </c>
      <c r="L87" s="54" t="s">
        <v>117</v>
      </c>
    </row>
    <row r="88" spans="1:12" x14ac:dyDescent="0.25">
      <c r="A88" s="50">
        <v>25</v>
      </c>
      <c r="B88" s="51"/>
    </row>
    <row r="89" spans="1:12" x14ac:dyDescent="0.25">
      <c r="A89" s="50">
        <v>30</v>
      </c>
      <c r="B89" s="51">
        <v>37.700000000000003</v>
      </c>
    </row>
    <row r="90" spans="1:12" x14ac:dyDescent="0.25">
      <c r="A90" s="50">
        <v>35</v>
      </c>
      <c r="B90" s="51">
        <v>38.1</v>
      </c>
    </row>
    <row r="91" spans="1:12" x14ac:dyDescent="0.25">
      <c r="A91" s="50">
        <v>40</v>
      </c>
      <c r="B91" s="51">
        <v>38.1</v>
      </c>
    </row>
    <row r="92" spans="1:12" x14ac:dyDescent="0.25">
      <c r="A92" s="50">
        <v>45</v>
      </c>
      <c r="B92" s="51">
        <v>38.1</v>
      </c>
      <c r="C92" s="63"/>
      <c r="D92" s="58"/>
      <c r="E92" s="56"/>
      <c r="F92" s="60"/>
      <c r="G92" s="58"/>
      <c r="H92" s="58"/>
      <c r="I92" s="64"/>
      <c r="J92" s="58"/>
      <c r="K92" s="57"/>
      <c r="L92" s="57"/>
    </row>
    <row r="93" spans="1:12" x14ac:dyDescent="0.25">
      <c r="A93" s="50">
        <v>50</v>
      </c>
      <c r="B93" s="51">
        <v>38.1</v>
      </c>
      <c r="C93" s="58"/>
      <c r="D93" s="58"/>
      <c r="E93" s="61"/>
      <c r="F93" s="66"/>
      <c r="G93" s="61"/>
      <c r="H93" s="66"/>
      <c r="I93" s="58"/>
      <c r="J93" s="60"/>
      <c r="K93" s="72"/>
    </row>
  </sheetData>
  <mergeCells count="2">
    <mergeCell ref="V31:X31"/>
    <mergeCell ref="F50:N5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93C3F-FF7D-4E3F-9024-D582F5DB055C}">
  <dimension ref="B4:L30"/>
  <sheetViews>
    <sheetView workbookViewId="0">
      <selection activeCell="I31" sqref="I31"/>
    </sheetView>
  </sheetViews>
  <sheetFormatPr defaultRowHeight="15" x14ac:dyDescent="0.25"/>
  <cols>
    <col min="1" max="1" width="9" style="85"/>
    <col min="2" max="2" width="11.625" style="85" customWidth="1"/>
    <col min="3" max="3" width="9" style="85"/>
    <col min="4" max="4" width="9.75" style="85" customWidth="1"/>
    <col min="5" max="5" width="12.25" style="85" customWidth="1"/>
    <col min="6" max="6" width="9.25" style="85" customWidth="1"/>
    <col min="7" max="7" width="8.875" style="85" customWidth="1"/>
    <col min="8" max="8" width="11" style="85" customWidth="1"/>
    <col min="9" max="9" width="10" style="85" customWidth="1"/>
    <col min="10" max="10" width="9" style="85"/>
    <col min="11" max="11" width="8.75" style="85" customWidth="1"/>
    <col min="12" max="12" width="8.625" style="85" customWidth="1"/>
    <col min="13" max="16384" width="9" style="85"/>
  </cols>
  <sheetData>
    <row r="4" spans="2:12" ht="15.75" x14ac:dyDescent="0.25">
      <c r="C4" s="174" t="s">
        <v>111</v>
      </c>
      <c r="D4" s="174"/>
      <c r="E4" s="174"/>
      <c r="F4" s="174"/>
      <c r="G4" s="175"/>
      <c r="H4" s="174" t="s">
        <v>112</v>
      </c>
      <c r="I4" s="174"/>
      <c r="J4" s="174"/>
      <c r="K4" s="174"/>
      <c r="L4" s="174"/>
    </row>
    <row r="5" spans="2:12" x14ac:dyDescent="0.25">
      <c r="B5" s="86" t="s">
        <v>13</v>
      </c>
      <c r="C5" s="87" t="s">
        <v>91</v>
      </c>
      <c r="D5" s="87" t="s">
        <v>27</v>
      </c>
      <c r="E5" s="87" t="s">
        <v>113</v>
      </c>
      <c r="F5" s="87" t="s">
        <v>114</v>
      </c>
      <c r="G5" s="86" t="s">
        <v>115</v>
      </c>
      <c r="H5" s="87" t="s">
        <v>91</v>
      </c>
      <c r="I5" s="87" t="s">
        <v>27</v>
      </c>
      <c r="J5" s="87" t="s">
        <v>113</v>
      </c>
      <c r="K5" s="87" t="s">
        <v>114</v>
      </c>
      <c r="L5" s="87" t="s">
        <v>115</v>
      </c>
    </row>
    <row r="6" spans="2:12" x14ac:dyDescent="0.25">
      <c r="B6" s="88">
        <v>0</v>
      </c>
      <c r="C6" s="89">
        <v>0.37822</v>
      </c>
      <c r="D6" s="90">
        <v>992.4</v>
      </c>
      <c r="E6" s="91">
        <v>35.130000000000003</v>
      </c>
      <c r="F6" s="92">
        <v>0.64900000000000002</v>
      </c>
      <c r="G6" s="97">
        <v>4.5999999999999999E-2</v>
      </c>
      <c r="H6" s="93">
        <v>0.38973999999999998</v>
      </c>
      <c r="I6" s="94">
        <v>987.5</v>
      </c>
      <c r="J6" s="95">
        <v>41.04</v>
      </c>
      <c r="K6" s="96">
        <v>0.54500000000000004</v>
      </c>
      <c r="L6" s="96">
        <v>4.1000000000000002E-2</v>
      </c>
    </row>
    <row r="7" spans="2:12" x14ac:dyDescent="0.25">
      <c r="B7" s="88">
        <v>0.05</v>
      </c>
      <c r="C7" s="89">
        <v>0.42569000000000001</v>
      </c>
      <c r="D7" s="90">
        <v>992.4</v>
      </c>
      <c r="E7" s="91">
        <v>36.08</v>
      </c>
      <c r="F7" s="92">
        <v>0.63200000000000001</v>
      </c>
      <c r="G7" s="97">
        <v>5.7000000000000002E-2</v>
      </c>
      <c r="H7" s="93">
        <v>0.43781999999999999</v>
      </c>
      <c r="I7" s="94">
        <v>987.5</v>
      </c>
      <c r="J7" s="95">
        <v>41.15</v>
      </c>
      <c r="K7" s="96">
        <v>0.54300000000000004</v>
      </c>
      <c r="L7" s="96">
        <v>5.1999999999999998E-2</v>
      </c>
    </row>
    <row r="8" spans="2:12" x14ac:dyDescent="0.25">
      <c r="B8" s="88">
        <v>0.15</v>
      </c>
      <c r="C8" s="89">
        <v>0.55410000000000004</v>
      </c>
      <c r="D8" s="90">
        <v>992.4</v>
      </c>
      <c r="E8" s="91">
        <v>36.83</v>
      </c>
      <c r="F8" s="92">
        <v>0.62</v>
      </c>
      <c r="G8" s="97">
        <v>9.5000000000000001E-2</v>
      </c>
      <c r="H8" s="93">
        <v>0.56416999999999995</v>
      </c>
      <c r="I8" s="94">
        <v>987.5</v>
      </c>
      <c r="J8" s="95">
        <v>41.35</v>
      </c>
      <c r="K8" s="96">
        <v>0.54100000000000004</v>
      </c>
      <c r="L8" s="96">
        <v>8.5999999999999993E-2</v>
      </c>
    </row>
    <row r="9" spans="2:12" x14ac:dyDescent="0.25">
      <c r="B9" s="88">
        <v>0.3</v>
      </c>
      <c r="C9" s="89">
        <v>0.88710999999999995</v>
      </c>
      <c r="D9" s="90">
        <v>992.4</v>
      </c>
      <c r="E9" s="91">
        <v>35.619999999999997</v>
      </c>
      <c r="F9" s="92">
        <v>0.64</v>
      </c>
      <c r="G9" s="97">
        <v>0.252</v>
      </c>
      <c r="H9" s="93">
        <v>0.89793999999999996</v>
      </c>
      <c r="I9" s="94">
        <v>987.5</v>
      </c>
      <c r="J9" s="95">
        <v>40.35</v>
      </c>
      <c r="K9" s="96">
        <v>0.55400000000000005</v>
      </c>
      <c r="L9" s="96">
        <v>0.223</v>
      </c>
    </row>
    <row r="10" spans="2:12" x14ac:dyDescent="0.25">
      <c r="B10" s="88">
        <v>0.4</v>
      </c>
      <c r="C10" s="89">
        <v>1.2377499999999999</v>
      </c>
      <c r="D10" s="90">
        <v>992.4</v>
      </c>
      <c r="E10" s="91">
        <v>36.58</v>
      </c>
      <c r="F10" s="92">
        <v>0.624</v>
      </c>
      <c r="G10" s="97">
        <v>0.47799999999999998</v>
      </c>
      <c r="H10" s="93">
        <v>1.2616700000000001</v>
      </c>
      <c r="I10" s="94">
        <v>987.5</v>
      </c>
      <c r="J10" s="95">
        <v>39.729999999999997</v>
      </c>
      <c r="K10" s="96">
        <v>0.56200000000000006</v>
      </c>
      <c r="L10" s="96">
        <v>0.44700000000000001</v>
      </c>
    </row>
    <row r="11" spans="2:12" x14ac:dyDescent="0.25">
      <c r="B11" s="88">
        <v>0.45</v>
      </c>
      <c r="C11" s="89">
        <v>1.45862</v>
      </c>
      <c r="D11" s="90">
        <v>992.4</v>
      </c>
      <c r="E11" s="91">
        <v>38.17</v>
      </c>
      <c r="F11" s="92">
        <v>0.59799999999999998</v>
      </c>
      <c r="G11" s="97">
        <v>0.63600000000000001</v>
      </c>
      <c r="H11" s="93">
        <v>1.4790700000000001</v>
      </c>
      <c r="I11" s="94">
        <v>987.5</v>
      </c>
      <c r="J11" s="95">
        <v>39.28</v>
      </c>
      <c r="K11" s="96">
        <v>0.56899999999999995</v>
      </c>
      <c r="L11" s="96">
        <v>0.622</v>
      </c>
    </row>
    <row r="15" spans="2:12" x14ac:dyDescent="0.25">
      <c r="C15" s="170" t="s">
        <v>138</v>
      </c>
      <c r="D15" s="170"/>
      <c r="E15" s="170"/>
      <c r="F15" s="133" t="s">
        <v>173</v>
      </c>
    </row>
    <row r="16" spans="2:12" ht="15.75" x14ac:dyDescent="0.25">
      <c r="B16"/>
      <c r="C16" s="171" t="s">
        <v>140</v>
      </c>
      <c r="D16" s="171"/>
      <c r="E16" s="172"/>
      <c r="F16" s="173" t="s">
        <v>141</v>
      </c>
      <c r="G16" s="173"/>
      <c r="H16" s="173"/>
      <c r="I16" s="173"/>
    </row>
    <row r="17" spans="2:9" ht="15.75" x14ac:dyDescent="0.25">
      <c r="B17" s="137" t="s">
        <v>126</v>
      </c>
      <c r="C17" s="134" t="s">
        <v>91</v>
      </c>
      <c r="D17" s="135" t="s">
        <v>142</v>
      </c>
      <c r="E17" s="135" t="s">
        <v>143</v>
      </c>
      <c r="F17" s="134" t="s">
        <v>91</v>
      </c>
      <c r="G17" s="135" t="s">
        <v>142</v>
      </c>
      <c r="H17" s="135" t="s">
        <v>143</v>
      </c>
      <c r="I17" s="138" t="s">
        <v>139</v>
      </c>
    </row>
    <row r="18" spans="2:9" ht="15.75" x14ac:dyDescent="0.25">
      <c r="B18" s="136">
        <v>0.4</v>
      </c>
      <c r="C18" s="64">
        <f>SsC_N49_ShortCkt!V33</f>
        <v>0.42261939326737236</v>
      </c>
      <c r="D18" s="64">
        <f>SsC_N49_ShortCkt!W33</f>
        <v>0.45219500502788595</v>
      </c>
      <c r="E18" s="64">
        <f>SsC_N49_ShortCkt!X33</f>
        <v>4.0382630900129966E-2</v>
      </c>
      <c r="F18" s="64">
        <f>DsC_N49_Sec_ShortCkt!V50</f>
        <v>0.37250115798017586</v>
      </c>
      <c r="G18" s="64">
        <f>DsC_N49_Sec_ShortCkt!W50</f>
        <v>0.40799175485524675</v>
      </c>
      <c r="H18" s="64">
        <f>DsC_N49_Sec_ShortCkt!X50</f>
        <v>2.8305878953860809E-2</v>
      </c>
      <c r="I18" s="139">
        <f>ABS((H18-E18)/E18)</f>
        <v>0.2990580771256855</v>
      </c>
    </row>
    <row r="19" spans="2:9" ht="15.75" x14ac:dyDescent="0.25">
      <c r="B19" s="136">
        <v>1.1000000000000001</v>
      </c>
      <c r="C19" s="64">
        <f>SsC_N49_ShortCkt!B38*10^-3</f>
        <v>1.1000915494902768</v>
      </c>
      <c r="D19" s="64">
        <f>SsC_N49_ShortCkt!I38</f>
        <v>0.4476023154551661</v>
      </c>
      <c r="E19" s="64">
        <f>SsC_N49_ShortCkt!J38</f>
        <v>0.27084447826633146</v>
      </c>
      <c r="F19" s="64">
        <f>DsC_N49_Sec_ShortCkt!B55*10^-3</f>
        <v>1.1375725245018775</v>
      </c>
      <c r="G19" s="64">
        <f>DsC_N49_Sec_ShortCkt!I55</f>
        <v>0.40334040096770191</v>
      </c>
      <c r="H19" s="64">
        <f>DsC_N49_Sec_ShortCkt!J55</f>
        <v>0.26097560812569986</v>
      </c>
      <c r="I19" s="139">
        <f>ABS((H19-E19)/E19)</f>
        <v>3.6437405716380024E-2</v>
      </c>
    </row>
    <row r="20" spans="2:9" ht="15.75" x14ac:dyDescent="0.25">
      <c r="B20" s="136">
        <v>1.3</v>
      </c>
      <c r="C20" s="64">
        <f>SsC_N49_ShortCkt!V36</f>
        <v>1.2835672370040441</v>
      </c>
      <c r="D20" s="64">
        <f>SsC_N49_ShortCkt!W36</f>
        <v>0.44893794042042362</v>
      </c>
      <c r="E20" s="64">
        <f>SsC_N49_ShortCkt!X36</f>
        <v>0.36982269628341757</v>
      </c>
      <c r="F20" s="64">
        <f>DsC_N49_Sec_ShortCkt!V52</f>
        <v>1.3080778727670037</v>
      </c>
      <c r="G20" s="64">
        <f>DsC_N49_Sec_ShortCkt!W52</f>
        <v>0.39673090481611073</v>
      </c>
      <c r="H20" s="64">
        <f>DsC_N49_Sec_ShortCkt!X52</f>
        <v>0.33941672262115125</v>
      </c>
      <c r="I20" s="139">
        <f>ABS((H20-E20)/E20)</f>
        <v>8.2217705856982848E-2</v>
      </c>
    </row>
    <row r="23" spans="2:9" x14ac:dyDescent="0.25">
      <c r="C23" s="170" t="s">
        <v>138</v>
      </c>
      <c r="D23" s="170"/>
      <c r="E23" s="170"/>
      <c r="F23" s="133" t="s">
        <v>172</v>
      </c>
    </row>
    <row r="24" spans="2:9" ht="15.75" x14ac:dyDescent="0.25">
      <c r="B24"/>
      <c r="C24" s="171" t="s">
        <v>140</v>
      </c>
      <c r="D24" s="171"/>
      <c r="E24" s="172"/>
      <c r="F24" s="173" t="s">
        <v>141</v>
      </c>
      <c r="G24" s="173"/>
      <c r="H24" s="173"/>
      <c r="I24" s="173"/>
    </row>
    <row r="25" spans="2:9" ht="15.75" x14ac:dyDescent="0.25">
      <c r="B25" s="137" t="s">
        <v>126</v>
      </c>
      <c r="C25" s="134" t="s">
        <v>91</v>
      </c>
      <c r="D25" s="135" t="s">
        <v>142</v>
      </c>
      <c r="E25" s="135" t="s">
        <v>143</v>
      </c>
      <c r="F25" s="134" t="s">
        <v>91</v>
      </c>
      <c r="G25" s="135" t="s">
        <v>142</v>
      </c>
      <c r="H25" s="135" t="s">
        <v>143</v>
      </c>
      <c r="I25" s="138" t="s">
        <v>139</v>
      </c>
    </row>
    <row r="26" spans="2:9" ht="15.75" x14ac:dyDescent="0.25">
      <c r="B26" s="136">
        <v>0.4</v>
      </c>
      <c r="C26" s="64">
        <f>SsC_N49_ShortCkt!B13/1000</f>
        <v>0.43238036084915216</v>
      </c>
      <c r="D26" s="64">
        <f>SsC_N49_ShortCkt!I13</f>
        <v>0.27993689502586444</v>
      </c>
      <c r="E26" s="64">
        <f>SsC_N49_ShortCkt!L13</f>
        <v>2.4335352668474041E-2</v>
      </c>
      <c r="F26" s="64">
        <f>DsC_N49_Sec_ShortCkt!B30/1000</f>
        <v>0.38147512367834041</v>
      </c>
      <c r="G26" s="64">
        <f>DsC_N49_Sec_ShortCkt!I30</f>
        <v>0.25125407539810579</v>
      </c>
      <c r="H26" s="64">
        <f>DsC_N49_Sec_ShortCkt!L30</f>
        <v>1.6855529278688969E-2</v>
      </c>
      <c r="I26" s="154">
        <f>ABS((H26-E26)/E26)</f>
        <v>0.30736449525447118</v>
      </c>
    </row>
    <row r="27" spans="2:9" ht="15.75" x14ac:dyDescent="0.25">
      <c r="B27" s="136">
        <v>1</v>
      </c>
      <c r="C27" s="64">
        <f>SsC_N49_ShortCkt!B15/1000</f>
        <v>1.0023293585540134</v>
      </c>
      <c r="D27" s="64">
        <f>SsC_N49_ShortCkt!I15</f>
        <v>0.30747227336658756</v>
      </c>
      <c r="E27" s="64">
        <f>SsC_N49_ShortCkt!L15</f>
        <v>0.14460747541043015</v>
      </c>
      <c r="F27" s="64">
        <f>DsC_N49_Sec_ShortCkt!B33/1000</f>
        <v>0.99790498563589813</v>
      </c>
      <c r="G27" s="64">
        <f>DsC_N49_Sec_ShortCkt!I33</f>
        <v>0.27574281335991513</v>
      </c>
      <c r="H27" s="64">
        <f>DsC_N49_Sec_ShortCkt!L33</f>
        <v>0.12753534592302085</v>
      </c>
      <c r="I27" s="154">
        <f>ABS((H27-E27)/E27)</f>
        <v>0.11805841599097533</v>
      </c>
    </row>
    <row r="28" spans="2:9" ht="15.75" x14ac:dyDescent="0.25">
      <c r="B28" s="136">
        <v>1.35</v>
      </c>
      <c r="C28" s="64">
        <f>SsC_N49_ShortCkt!B16/1000</f>
        <v>1.3529616159057598</v>
      </c>
      <c r="D28" s="64">
        <f>SsC_N49_ShortCkt!I16</f>
        <v>0.31546392738753554</v>
      </c>
      <c r="E28" s="64">
        <f>SsC_N49_ShortCkt!L16</f>
        <v>0.27079021904105582</v>
      </c>
      <c r="F28" s="64">
        <f>DsC_N49_Sec_ShortCkt!B34/1000</f>
        <v>1.3470738328008462</v>
      </c>
      <c r="G28" s="64">
        <f>DsC_N49_Sec_ShortCkt!I34</f>
        <v>0.28353042049839622</v>
      </c>
      <c r="H28" s="64">
        <f>DsC_N49_Sec_ShortCkt!L34</f>
        <v>0.23946511449718522</v>
      </c>
      <c r="I28" s="154">
        <f>ABS((H28-E28)/E28)</f>
        <v>0.11568033976560009</v>
      </c>
    </row>
    <row r="29" spans="2:9" ht="15.75" x14ac:dyDescent="0.25">
      <c r="B29" s="136">
        <v>1.5</v>
      </c>
      <c r="C29" s="64">
        <f>SsC_N49_ShortCkt!B17/1000</f>
        <v>1.5343020917610126</v>
      </c>
      <c r="D29" s="64">
        <f>SsC_N49_ShortCkt!I17</f>
        <v>0.31785295338660391</v>
      </c>
      <c r="E29" s="64">
        <f>SsC_N49_ShortCkt!L17</f>
        <v>0.351056090030612</v>
      </c>
      <c r="F29" s="64">
        <f>DsC_N49_Sec_ShortCkt!B35/1000</f>
        <v>1.5249215166371983</v>
      </c>
      <c r="G29" s="64">
        <f>DsC_N49_Sec_ShortCkt!I35</f>
        <v>0.28558880445263263</v>
      </c>
      <c r="H29" s="64">
        <f>DsC_N49_Sec_ShortCkt!L35</f>
        <v>0.30926327206061671</v>
      </c>
      <c r="I29" s="154">
        <f t="shared" ref="I29" si="0">ABS((H29-E29)/E29)</f>
        <v>0.11904883338258272</v>
      </c>
    </row>
    <row r="30" spans="2:9" ht="15.75" x14ac:dyDescent="0.25">
      <c r="B30" s="136">
        <v>1.7</v>
      </c>
      <c r="C30" s="64">
        <f>SsC_N49_ShortCkt!B18/1000</f>
        <v>1.6852920590416691</v>
      </c>
      <c r="D30" s="64">
        <f>SsC_N49_ShortCkt!I18</f>
        <v>0.31863252132338066</v>
      </c>
      <c r="E30" s="64">
        <f>SsC_N49_ShortCkt!L18</f>
        <v>0.42465747766115353</v>
      </c>
      <c r="F30" s="64">
        <f>DsC_N49_Sec_ShortCkt!B36/1000</f>
        <v>1.6822106608741187</v>
      </c>
      <c r="G30" s="64">
        <f>DsC_N49_Sec_ShortCkt!I36</f>
        <v>0.28568634509478824</v>
      </c>
      <c r="H30" s="64">
        <f>DsC_N49_Sec_ShortCkt!L36</f>
        <v>0.37648992119197022</v>
      </c>
      <c r="I30" s="154">
        <f>ABS((H30-E30)/E30)</f>
        <v>0.11342684163828051</v>
      </c>
    </row>
  </sheetData>
  <mergeCells count="8">
    <mergeCell ref="C23:E23"/>
    <mergeCell ref="C24:E24"/>
    <mergeCell ref="F24:I24"/>
    <mergeCell ref="C4:G4"/>
    <mergeCell ref="H4:L4"/>
    <mergeCell ref="C16:E16"/>
    <mergeCell ref="F16:I16"/>
    <mergeCell ref="C15:E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031B-4525-4A7D-A5FC-E009D0AEEF42}">
  <dimension ref="A1:H31"/>
  <sheetViews>
    <sheetView zoomScale="80" zoomScaleNormal="80" workbookViewId="0">
      <selection activeCell="G34" sqref="G34"/>
    </sheetView>
  </sheetViews>
  <sheetFormatPr defaultRowHeight="15.75" x14ac:dyDescent="0.25"/>
  <cols>
    <col min="4" max="4" width="9.25" bestFit="1" customWidth="1"/>
    <col min="5" max="6" width="9.25" customWidth="1"/>
  </cols>
  <sheetData>
    <row r="1" spans="1:8" ht="20.25" x14ac:dyDescent="0.3">
      <c r="A1" s="142" t="s">
        <v>154</v>
      </c>
    </row>
    <row r="8" spans="1:8" x14ac:dyDescent="0.25">
      <c r="B8" t="s">
        <v>155</v>
      </c>
      <c r="D8" t="s">
        <v>144</v>
      </c>
      <c r="F8" t="s">
        <v>156</v>
      </c>
      <c r="H8" t="s">
        <v>145</v>
      </c>
    </row>
    <row r="9" spans="1:8" x14ac:dyDescent="0.25">
      <c r="A9" t="s">
        <v>146</v>
      </c>
      <c r="B9" s="7">
        <v>0.2</v>
      </c>
      <c r="C9" t="s">
        <v>146</v>
      </c>
      <c r="D9" s="7">
        <v>0.1</v>
      </c>
      <c r="E9" t="s">
        <v>146</v>
      </c>
      <c r="F9" s="7">
        <v>0.05</v>
      </c>
      <c r="G9" t="s">
        <v>146</v>
      </c>
      <c r="H9" s="7">
        <v>2.5000000000000001E-2</v>
      </c>
    </row>
    <row r="10" spans="1:8" x14ac:dyDescent="0.25">
      <c r="A10" t="s">
        <v>147</v>
      </c>
      <c r="B10" t="s">
        <v>148</v>
      </c>
      <c r="C10" t="s">
        <v>147</v>
      </c>
      <c r="D10" t="s">
        <v>148</v>
      </c>
      <c r="E10" t="s">
        <v>147</v>
      </c>
      <c r="F10" t="s">
        <v>148</v>
      </c>
      <c r="G10" t="s">
        <v>147</v>
      </c>
      <c r="H10" t="s">
        <v>148</v>
      </c>
    </row>
    <row r="11" spans="1:8" x14ac:dyDescent="0.25">
      <c r="A11" s="140">
        <v>10000</v>
      </c>
      <c r="B11" s="140">
        <f>$B$18*(A11^$B$19)*($B$9^$B$20)</f>
        <v>30.54770524000018</v>
      </c>
      <c r="C11" s="140">
        <v>10000</v>
      </c>
      <c r="D11" s="140">
        <f>$B$18*(C11^$B$19)*($D$9^$B$20)</f>
        <v>4.9081253775874245</v>
      </c>
      <c r="E11" s="140">
        <v>10000</v>
      </c>
      <c r="F11" s="140">
        <f>$B$18*(E11^$B$19)*($F$9^$B$20)</f>
        <v>0.78859261384301549</v>
      </c>
      <c r="G11" s="140">
        <v>10000</v>
      </c>
      <c r="H11" s="140">
        <f>$B$18*(G11^$B$19)*($H$9^$B$20)</f>
        <v>0.12670383553108025</v>
      </c>
    </row>
    <row r="12" spans="1:8" x14ac:dyDescent="0.25">
      <c r="A12" s="140">
        <v>50000</v>
      </c>
      <c r="B12" s="140">
        <f>$B$18*(A12^$B$19)*($B$9^$B$20)</f>
        <v>248.33877054182327</v>
      </c>
      <c r="C12" s="140">
        <v>50000</v>
      </c>
      <c r="D12" s="140">
        <f>$B$18*(C12^$B$19)*($D$9^$B$20)</f>
        <v>39.900798189552518</v>
      </c>
      <c r="E12" s="140">
        <v>50000</v>
      </c>
      <c r="F12" s="140">
        <f>$B$18*(E12^$B$19)*($F$9^$B$20)</f>
        <v>6.4108946528559647</v>
      </c>
      <c r="G12" s="140">
        <v>50000</v>
      </c>
      <c r="H12" s="140">
        <f>$B$18*(G12^$B$19)*($H$9^$B$20)</f>
        <v>1.0300438115240131</v>
      </c>
    </row>
    <row r="13" spans="1:8" x14ac:dyDescent="0.25">
      <c r="A13" s="140">
        <v>100000</v>
      </c>
      <c r="B13" s="140">
        <f>$B$18*(A13^$B$19)*($B$9^$B$20)</f>
        <v>612.33430589388581</v>
      </c>
      <c r="C13" s="140">
        <v>100000</v>
      </c>
      <c r="D13" s="140">
        <f>$B$18*(C13^$B$19)*($D$9^$B$20)</f>
        <v>98.384265617103495</v>
      </c>
      <c r="E13" s="140">
        <v>100000</v>
      </c>
      <c r="F13" s="140">
        <f>$B$18*(E13^$B$19)*($F$9^$B$20)</f>
        <v>15.80748233089227</v>
      </c>
      <c r="G13" s="140">
        <v>100000</v>
      </c>
      <c r="H13" s="140">
        <f>$B$18*(G13^$B$19)*($H$9^$B$20)</f>
        <v>2.5398014212348947</v>
      </c>
    </row>
    <row r="14" spans="1:8" x14ac:dyDescent="0.25">
      <c r="A14" s="140">
        <v>500000</v>
      </c>
      <c r="B14" s="140">
        <f>$B$18*(A14^$B$19)*($B$9^$B$20)</f>
        <v>4977.9958098832021</v>
      </c>
      <c r="C14" s="140">
        <v>500000</v>
      </c>
      <c r="D14" s="140">
        <f>$B$18*(C14^$B$19)*($D$9^$B$20)</f>
        <v>799.8187547003929</v>
      </c>
      <c r="E14" s="140">
        <v>500000</v>
      </c>
      <c r="F14" s="140">
        <f>$B$18*(E14^$B$19)*($F$9^$B$20)</f>
        <v>128.50754898194606</v>
      </c>
      <c r="G14" s="140">
        <v>500000</v>
      </c>
      <c r="H14" s="140">
        <f>$B$18*(G14^$B$19)*($H$9^$B$20)</f>
        <v>20.647415490442391</v>
      </c>
    </row>
    <row r="15" spans="1:8" x14ac:dyDescent="0.25">
      <c r="A15" s="140">
        <v>1000000</v>
      </c>
      <c r="B15" s="140">
        <f>$B$18*(A15^$B$19)*($B$9^$B$20)</f>
        <v>12274.3524997606</v>
      </c>
      <c r="C15" s="140">
        <v>1000000</v>
      </c>
      <c r="D15" s="140">
        <f>$B$18*(C15^$B$19)*($D$9^$B$20)</f>
        <v>1972.130493083424</v>
      </c>
      <c r="E15" s="140">
        <v>1000000</v>
      </c>
      <c r="F15" s="140">
        <f>$B$18*(E15^$B$19)*($F$9^$B$20)</f>
        <v>316.86385752937514</v>
      </c>
      <c r="G15" s="140">
        <v>1000000</v>
      </c>
      <c r="H15" s="140">
        <f>$B$18*(G15^$B$19)*($H$9^$B$20)</f>
        <v>50.910781289840735</v>
      </c>
    </row>
    <row r="17" spans="1:6" x14ac:dyDescent="0.25">
      <c r="A17" t="s">
        <v>149</v>
      </c>
    </row>
    <row r="18" spans="1:6" x14ac:dyDescent="0.25">
      <c r="A18" t="s">
        <v>150</v>
      </c>
      <c r="B18" s="141">
        <v>1.3203700000000001E-2</v>
      </c>
      <c r="C18" t="s">
        <v>151</v>
      </c>
    </row>
    <row r="19" spans="1:6" x14ac:dyDescent="0.25">
      <c r="A19" t="s">
        <v>152</v>
      </c>
      <c r="B19">
        <v>1.3020099999999999</v>
      </c>
    </row>
    <row r="20" spans="1:6" x14ac:dyDescent="0.25">
      <c r="A20" t="s">
        <v>153</v>
      </c>
      <c r="B20">
        <v>2.6378200000000001</v>
      </c>
    </row>
    <row r="22" spans="1:6" x14ac:dyDescent="0.25">
      <c r="A22" t="s">
        <v>157</v>
      </c>
      <c r="B22" s="140">
        <v>1000000</v>
      </c>
      <c r="C22" t="s">
        <v>158</v>
      </c>
      <c r="D22" t="s">
        <v>165</v>
      </c>
      <c r="E22">
        <v>1.3</v>
      </c>
      <c r="F22" t="s">
        <v>164</v>
      </c>
    </row>
    <row r="23" spans="1:6" x14ac:dyDescent="0.25">
      <c r="A23" t="s">
        <v>160</v>
      </c>
      <c r="B23" s="141">
        <v>3.7288E-3</v>
      </c>
      <c r="C23" t="s">
        <v>161</v>
      </c>
      <c r="D23" t="s">
        <v>163</v>
      </c>
      <c r="E23">
        <v>8.4010999999999996</v>
      </c>
      <c r="F23" t="s">
        <v>166</v>
      </c>
    </row>
    <row r="24" spans="1:6" x14ac:dyDescent="0.25">
      <c r="A24" t="s">
        <v>159</v>
      </c>
      <c r="B24" s="140">
        <f>$B$18*(B22^$B$19)*(B23^$B$20)</f>
        <v>0.33650539002490104</v>
      </c>
      <c r="C24" t="s">
        <v>162</v>
      </c>
      <c r="D24" t="s">
        <v>167</v>
      </c>
      <c r="E24" s="14">
        <f>DsC_N49_Sec_ShortCkt!B8</f>
        <v>1.3100000000000003</v>
      </c>
      <c r="F24" t="str">
        <f>DsC_N49_Sec_ShortCkt!C8</f>
        <v>cm^3</v>
      </c>
    </row>
    <row r="25" spans="1:6" x14ac:dyDescent="0.25">
      <c r="A25" s="4" t="s">
        <v>168</v>
      </c>
      <c r="B25" s="4">
        <f>B24*10^3*E24/(100^3)</f>
        <v>4.4082206093262044E-4</v>
      </c>
      <c r="C25" s="4" t="s">
        <v>169</v>
      </c>
    </row>
    <row r="28" spans="1:6" x14ac:dyDescent="0.25">
      <c r="A28" t="s">
        <v>157</v>
      </c>
      <c r="B28" s="140">
        <v>10000</v>
      </c>
      <c r="C28" t="s">
        <v>158</v>
      </c>
      <c r="D28" t="s">
        <v>165</v>
      </c>
      <c r="E28">
        <v>1.3</v>
      </c>
      <c r="F28" t="s">
        <v>164</v>
      </c>
    </row>
    <row r="29" spans="1:6" x14ac:dyDescent="0.25">
      <c r="A29" t="s">
        <v>160</v>
      </c>
      <c r="B29" s="141">
        <v>3.7288E-3</v>
      </c>
      <c r="C29" t="s">
        <v>161</v>
      </c>
      <c r="D29" t="s">
        <v>163</v>
      </c>
      <c r="E29">
        <v>8.4010999999999996</v>
      </c>
      <c r="F29" t="s">
        <v>166</v>
      </c>
    </row>
    <row r="30" spans="1:6" x14ac:dyDescent="0.25">
      <c r="A30" t="s">
        <v>159</v>
      </c>
      <c r="B30" s="140">
        <f>$B$18*(B28^$B$19)*(B29^$B$20)</f>
        <v>8.3747533455247151E-4</v>
      </c>
      <c r="C30" t="s">
        <v>162</v>
      </c>
      <c r="D30" t="s">
        <v>167</v>
      </c>
      <c r="E30" s="14">
        <f>E24</f>
        <v>1.3100000000000003</v>
      </c>
      <c r="F30" s="14" t="str">
        <f>F24</f>
        <v>cm^3</v>
      </c>
    </row>
    <row r="31" spans="1:6" x14ac:dyDescent="0.25">
      <c r="A31" s="4" t="s">
        <v>168</v>
      </c>
      <c r="B31" s="143">
        <f>B30*10^3*E30/(100^3)</f>
        <v>1.0970926882637379E-6</v>
      </c>
      <c r="C31" s="4" t="s">
        <v>169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Losses_SimResults</vt:lpstr>
      <vt:lpstr>DsC_N49_Xfmr_Chrac</vt:lpstr>
      <vt:lpstr>DsC_N49_Sec_OpenCkt</vt:lpstr>
      <vt:lpstr>DsC_N49_Sec_ShortCkt</vt:lpstr>
      <vt:lpstr>SsC_N49_Xfmr_Chrac</vt:lpstr>
      <vt:lpstr>SsC_N49_ShortCkt</vt:lpstr>
      <vt:lpstr>Q_SetUp Summary</vt:lpstr>
      <vt:lpstr>N49_Steinmetz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Solomentsev, Michael Y</dc:creator>
  <cp:lastModifiedBy>Solomentsev, Michael Y</cp:lastModifiedBy>
  <dcterms:created xsi:type="dcterms:W3CDTF">2021-05-28T14:26:33Z</dcterms:created>
  <dcterms:modified xsi:type="dcterms:W3CDTF">2021-11-08T19:02:51Z</dcterms:modified>
</cp:coreProperties>
</file>