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0"/>
  <workbookPr filterPrivacy="1" codeName="ThisWorkbook"/>
  <xr:revisionPtr revIDLastSave="0" documentId="13_ncr:1_{1BF18657-DA70-43FD-94FE-039269FF611D}" xr6:coauthVersionLast="36" xr6:coauthVersionMax="36" xr10:uidLastSave="{00000000-0000-0000-0000-000000000000}"/>
  <bookViews>
    <workbookView xWindow="0" yWindow="0" windowWidth="16170" windowHeight="12195" xr2:uid="{00000000-000D-0000-FFFF-FFFF00000000}"/>
  </bookViews>
  <sheets>
    <sheet name="DC Measurements" sheetId="1" r:id="rId1"/>
    <sheet name="AC Analysis" sheetId="4" r:id="rId2"/>
    <sheet name="RM7_N49_Geo Calc" sheetId="3" r:id="rId3"/>
    <sheet name="DC Meas Data Temp" sheetId="5" r:id="rId4"/>
  </sheets>
  <externalReferences>
    <externalReference r:id="rId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56" i="1" l="1"/>
  <c r="Z55" i="1"/>
  <c r="P3" i="3" l="1"/>
  <c r="P4" i="3"/>
  <c r="P7" i="3" s="1"/>
  <c r="R2" i="1"/>
  <c r="P5" i="3" l="1"/>
  <c r="P9" i="3" l="1"/>
  <c r="P10" i="3" s="1"/>
  <c r="P6" i="3"/>
  <c r="R5" i="1" l="1"/>
  <c r="R4" i="1"/>
  <c r="R3" i="1"/>
  <c r="M49" i="1"/>
  <c r="M48" i="1"/>
  <c r="M47" i="1"/>
  <c r="M46" i="1"/>
  <c r="M65" i="1"/>
  <c r="M64" i="1"/>
  <c r="M63" i="1"/>
  <c r="M62" i="1"/>
  <c r="M35" i="1"/>
  <c r="M34" i="1"/>
  <c r="M33" i="1"/>
  <c r="M32" i="1"/>
  <c r="R22" i="1" l="1"/>
  <c r="S22" i="1"/>
  <c r="R21" i="1"/>
  <c r="S21" i="1"/>
  <c r="R20" i="1"/>
  <c r="S20" i="1"/>
  <c r="R19" i="1"/>
  <c r="S19" i="1"/>
  <c r="R18" i="1"/>
  <c r="S18" i="1"/>
  <c r="X22" i="1"/>
  <c r="Y22" i="1"/>
  <c r="X21" i="1"/>
  <c r="Y21" i="1"/>
  <c r="X20" i="1"/>
  <c r="Y20" i="1"/>
  <c r="X19" i="1"/>
  <c r="Y19" i="1"/>
  <c r="X18" i="1"/>
  <c r="Y18" i="1"/>
  <c r="X17" i="1"/>
  <c r="Y17" i="1"/>
  <c r="X16" i="1"/>
  <c r="Y16" i="1"/>
  <c r="X15" i="1"/>
  <c r="Y15" i="1"/>
  <c r="L22" i="1"/>
  <c r="M22" i="1"/>
  <c r="L21" i="1"/>
  <c r="M21" i="1"/>
  <c r="L20" i="1"/>
  <c r="M20" i="1"/>
  <c r="L19" i="1"/>
  <c r="M19" i="1"/>
  <c r="L18" i="1"/>
  <c r="M18" i="1"/>
  <c r="L17" i="1"/>
  <c r="G18" i="1" l="1"/>
  <c r="G19" i="1"/>
  <c r="G20" i="1"/>
  <c r="G21" i="1"/>
  <c r="G22" i="1"/>
  <c r="F22" i="1"/>
  <c r="F18" i="1"/>
  <c r="F19" i="1"/>
  <c r="F20" i="1"/>
  <c r="F21" i="1"/>
  <c r="R9" i="1"/>
  <c r="S9" i="1"/>
  <c r="X9" i="1"/>
  <c r="Y9" i="1"/>
  <c r="R10" i="1"/>
  <c r="S10" i="1"/>
  <c r="X10" i="1"/>
  <c r="Y10" i="1"/>
  <c r="L11" i="1"/>
  <c r="M11" i="1"/>
  <c r="R11" i="1"/>
  <c r="S11" i="1"/>
  <c r="X11" i="1"/>
  <c r="Y11" i="1"/>
  <c r="L12" i="1"/>
  <c r="M12" i="1"/>
  <c r="R12" i="1"/>
  <c r="S12" i="1"/>
  <c r="X12" i="1"/>
  <c r="Y12" i="1"/>
  <c r="L13" i="1"/>
  <c r="M13" i="1"/>
  <c r="R13" i="1"/>
  <c r="S13" i="1"/>
  <c r="X13" i="1"/>
  <c r="Y13" i="1"/>
  <c r="L14" i="1"/>
  <c r="M14" i="1"/>
  <c r="R14" i="1"/>
  <c r="S14" i="1"/>
  <c r="X14" i="1"/>
  <c r="Y14" i="1"/>
  <c r="L15" i="1"/>
  <c r="M15" i="1"/>
  <c r="R15" i="1"/>
  <c r="S15" i="1"/>
  <c r="R16" i="1"/>
  <c r="S16" i="1"/>
  <c r="M17" i="1"/>
  <c r="R17" i="1"/>
  <c r="S17" i="1"/>
  <c r="F9" i="1"/>
  <c r="G9" i="1"/>
  <c r="F11" i="1"/>
  <c r="G11" i="1"/>
  <c r="F13" i="1"/>
  <c r="G13" i="1"/>
  <c r="F15" i="1"/>
  <c r="G15" i="1"/>
  <c r="F17" i="1"/>
  <c r="G17" i="1"/>
  <c r="G24" i="1" l="1"/>
  <c r="F24" i="1" s="1"/>
  <c r="Y24" i="1"/>
  <c r="X24" i="1" s="1"/>
  <c r="S24" i="1"/>
  <c r="R24" i="1" s="1"/>
  <c r="J20" i="4"/>
  <c r="J29" i="4" s="1"/>
  <c r="Q11" i="4"/>
  <c r="Q12" i="4" s="1"/>
  <c r="P11" i="4"/>
  <c r="J11" i="4"/>
  <c r="AD6" i="4"/>
  <c r="J6" i="4"/>
  <c r="L6" i="4" s="1"/>
  <c r="R6" i="4" s="1"/>
  <c r="AD5" i="4"/>
  <c r="P5" i="4" s="1"/>
  <c r="J5" i="4"/>
  <c r="L5" i="4" s="1"/>
  <c r="R5" i="4" s="1"/>
  <c r="D45" i="3"/>
  <c r="B41" i="3"/>
  <c r="B22" i="3"/>
  <c r="D15" i="3"/>
  <c r="W8" i="3"/>
  <c r="V8" i="3"/>
  <c r="V7" i="3"/>
  <c r="W7" i="3" s="1"/>
  <c r="W6" i="3"/>
  <c r="V6" i="3"/>
  <c r="W5" i="3"/>
  <c r="B4" i="3"/>
  <c r="C4" i="3" s="1"/>
  <c r="V3" i="3"/>
  <c r="O3" i="3"/>
  <c r="N3" i="3"/>
  <c r="M3" i="3"/>
  <c r="L3" i="3"/>
  <c r="K3" i="3"/>
  <c r="J3" i="3"/>
  <c r="I3" i="3"/>
  <c r="H3" i="3"/>
  <c r="G3" i="3"/>
  <c r="F3" i="3"/>
  <c r="E3" i="3"/>
  <c r="D3" i="3"/>
  <c r="C3" i="3"/>
  <c r="B3" i="3"/>
  <c r="P12" i="4" l="1"/>
  <c r="J24" i="4"/>
  <c r="L20" i="4"/>
  <c r="R20" i="4" s="1"/>
  <c r="P20" i="4"/>
  <c r="J26" i="4"/>
  <c r="P6" i="4"/>
  <c r="J25" i="4"/>
  <c r="Q5" i="4"/>
  <c r="S5" i="4" s="1"/>
  <c r="T5" i="4" s="1"/>
  <c r="U5" i="4" s="1"/>
  <c r="J27" i="4"/>
  <c r="J28" i="4"/>
  <c r="C7" i="3"/>
  <c r="C26" i="3" s="1"/>
  <c r="C27" i="3" s="1"/>
  <c r="C30" i="3"/>
  <c r="C29" i="3"/>
  <c r="C31" i="3" s="1"/>
  <c r="C32" i="3" s="1"/>
  <c r="C33" i="3" s="1"/>
  <c r="C34" i="3" s="1"/>
  <c r="C5" i="3"/>
  <c r="D4" i="3"/>
  <c r="B7" i="3"/>
  <c r="B26" i="3" s="1"/>
  <c r="B27" i="3" s="1"/>
  <c r="B29" i="3"/>
  <c r="B31" i="3" s="1"/>
  <c r="B32" i="3" s="1"/>
  <c r="B33" i="3" s="1"/>
  <c r="B34" i="3" s="1"/>
  <c r="B5" i="3"/>
  <c r="B9" i="3" s="1"/>
  <c r="B30" i="3"/>
  <c r="C9" i="3"/>
  <c r="K28" i="4" l="1"/>
  <c r="K27" i="4"/>
  <c r="K26" i="4"/>
  <c r="K25" i="4"/>
  <c r="K29" i="4"/>
  <c r="K24" i="4"/>
  <c r="P22" i="4"/>
  <c r="Q20" i="4"/>
  <c r="Q22" i="4" s="1"/>
  <c r="Q6" i="4"/>
  <c r="S6" i="4" s="1"/>
  <c r="T6" i="4" s="1"/>
  <c r="U6" i="4" s="1"/>
  <c r="B10" i="3"/>
  <c r="C10" i="3"/>
  <c r="E4" i="3"/>
  <c r="D30" i="3"/>
  <c r="D5" i="3"/>
  <c r="D29" i="3"/>
  <c r="D31" i="3" s="1"/>
  <c r="D32" i="3" s="1"/>
  <c r="D33" i="3" s="1"/>
  <c r="D34" i="3" s="1"/>
  <c r="D7" i="3"/>
  <c r="D26" i="3" s="1"/>
  <c r="D27" i="3" s="1"/>
  <c r="B19" i="3"/>
  <c r="B20" i="3" s="1"/>
  <c r="B6" i="3"/>
  <c r="C6" i="3"/>
  <c r="C19" i="3"/>
  <c r="C20" i="3" s="1"/>
  <c r="S20" i="4" l="1"/>
  <c r="T20" i="4" s="1"/>
  <c r="U20" i="4" s="1"/>
  <c r="B39" i="3"/>
  <c r="B48" i="3"/>
  <c r="D19" i="3"/>
  <c r="D20" i="3" s="1"/>
  <c r="D6" i="3"/>
  <c r="D48" i="3" s="1"/>
  <c r="D9" i="3"/>
  <c r="E5" i="3"/>
  <c r="E30" i="3"/>
  <c r="E29" i="3"/>
  <c r="E31" i="3" s="1"/>
  <c r="E32" i="3" s="1"/>
  <c r="E33" i="3" s="1"/>
  <c r="E34" i="3" s="1"/>
  <c r="E7" i="3"/>
  <c r="E26" i="3" s="1"/>
  <c r="E27" i="3" s="1"/>
  <c r="F4" i="3"/>
  <c r="D39" i="3" l="1"/>
  <c r="C40" i="3"/>
  <c r="E6" i="3"/>
  <c r="E19" i="3"/>
  <c r="E20" i="3" s="1"/>
  <c r="E9" i="3"/>
  <c r="F30" i="3"/>
  <c r="F5" i="3"/>
  <c r="F29" i="3"/>
  <c r="G4" i="3"/>
  <c r="F7" i="3"/>
  <c r="F26" i="3" s="1"/>
  <c r="F27" i="3" s="1"/>
  <c r="D10" i="3"/>
  <c r="E40" i="3" l="1"/>
  <c r="G30" i="3"/>
  <c r="G5" i="3"/>
  <c r="H4" i="3"/>
  <c r="G29" i="3"/>
  <c r="G31" i="3" s="1"/>
  <c r="G32" i="3" s="1"/>
  <c r="G33" i="3" s="1"/>
  <c r="G34" i="3" s="1"/>
  <c r="G7" i="3"/>
  <c r="G26" i="3" s="1"/>
  <c r="G27" i="3" s="1"/>
  <c r="F31" i="3"/>
  <c r="F32" i="3" s="1"/>
  <c r="F33" i="3" s="1"/>
  <c r="F34" i="3" s="1"/>
  <c r="F19" i="3"/>
  <c r="F20" i="3" s="1"/>
  <c r="F6" i="3"/>
  <c r="F9" i="3"/>
  <c r="E10" i="3"/>
  <c r="H29" i="3" l="1"/>
  <c r="H5" i="3"/>
  <c r="I4" i="3"/>
  <c r="H7" i="3"/>
  <c r="H26" i="3" s="1"/>
  <c r="H27" i="3" s="1"/>
  <c r="H30" i="3"/>
  <c r="G19" i="3"/>
  <c r="G20" i="3" s="1"/>
  <c r="G6" i="3"/>
  <c r="G9" i="3"/>
  <c r="F10" i="3"/>
  <c r="F48" i="3"/>
  <c r="F39" i="3"/>
  <c r="G10" i="3" l="1"/>
  <c r="G40" i="3"/>
  <c r="H39" i="3"/>
  <c r="I5" i="3"/>
  <c r="I29" i="3"/>
  <c r="I31" i="3" s="1"/>
  <c r="I32" i="3" s="1"/>
  <c r="I33" i="3" s="1"/>
  <c r="I34" i="3" s="1"/>
  <c r="J4" i="3"/>
  <c r="I7" i="3"/>
  <c r="I26" i="3" s="1"/>
  <c r="I27" i="3" s="1"/>
  <c r="I30" i="3"/>
  <c r="H6" i="3"/>
  <c r="H19" i="3"/>
  <c r="H20" i="3" s="1"/>
  <c r="H9" i="3"/>
  <c r="H31" i="3"/>
  <c r="H32" i="3" s="1"/>
  <c r="H33" i="3" s="1"/>
  <c r="H34" i="3" s="1"/>
  <c r="J29" i="3" l="1"/>
  <c r="J31" i="3" s="1"/>
  <c r="J32" i="3" s="1"/>
  <c r="J33" i="3" s="1"/>
  <c r="J34" i="3" s="1"/>
  <c r="J7" i="3"/>
  <c r="J26" i="3" s="1"/>
  <c r="J27" i="3" s="1"/>
  <c r="K4" i="3"/>
  <c r="J5" i="3"/>
  <c r="J30" i="3"/>
  <c r="I40" i="3"/>
  <c r="H10" i="3"/>
  <c r="I19" i="3"/>
  <c r="I20" i="3" s="1"/>
  <c r="I6" i="3"/>
  <c r="I9" i="3"/>
  <c r="H48" i="3"/>
  <c r="J6" i="3" l="1"/>
  <c r="J19" i="3"/>
  <c r="J20" i="3" s="1"/>
  <c r="J9" i="3"/>
  <c r="I10" i="3"/>
  <c r="L4" i="3"/>
  <c r="K7" i="3"/>
  <c r="K26" i="3" s="1"/>
  <c r="K27" i="3" s="1"/>
  <c r="K5" i="3"/>
  <c r="K30" i="3"/>
  <c r="K29" i="3"/>
  <c r="K19" i="3" l="1"/>
  <c r="K20" i="3" s="1"/>
  <c r="K6" i="3"/>
  <c r="K9" i="3"/>
  <c r="J10" i="3"/>
  <c r="L7" i="3"/>
  <c r="L26" i="3" s="1"/>
  <c r="L27" i="3" s="1"/>
  <c r="M4" i="3"/>
  <c r="L30" i="3"/>
  <c r="L5" i="3"/>
  <c r="L29" i="3"/>
  <c r="L31" i="3" s="1"/>
  <c r="L32" i="3" s="1"/>
  <c r="L33" i="3" s="1"/>
  <c r="L34" i="3" s="1"/>
  <c r="K31" i="3"/>
  <c r="K32" i="3" s="1"/>
  <c r="K33" i="3" s="1"/>
  <c r="K34" i="3" s="1"/>
  <c r="J48" i="3"/>
  <c r="J39" i="3"/>
  <c r="N4" i="3" l="1"/>
  <c r="M30" i="3"/>
  <c r="M5" i="3"/>
  <c r="M29" i="3"/>
  <c r="M31" i="3" s="1"/>
  <c r="M32" i="3" s="1"/>
  <c r="M33" i="3" s="1"/>
  <c r="M34" i="3" s="1"/>
  <c r="M7" i="3"/>
  <c r="M26" i="3" s="1"/>
  <c r="M27" i="3" s="1"/>
  <c r="L19" i="3"/>
  <c r="L20" i="3" s="1"/>
  <c r="L6" i="3"/>
  <c r="L9" i="3"/>
  <c r="K40" i="3"/>
  <c r="L39" i="3"/>
  <c r="K10" i="3"/>
  <c r="N7" i="3" l="1"/>
  <c r="N26" i="3" s="1"/>
  <c r="N27" i="3" s="1"/>
  <c r="N5" i="3"/>
  <c r="N30" i="3"/>
  <c r="O4" i="3"/>
  <c r="N29" i="3"/>
  <c r="N31" i="3" s="1"/>
  <c r="N32" i="3" s="1"/>
  <c r="N33" i="3" s="1"/>
  <c r="N34" i="3" s="1"/>
  <c r="L48" i="3"/>
  <c r="M19" i="3"/>
  <c r="M20" i="3" s="1"/>
  <c r="M6" i="3"/>
  <c r="M9" i="3"/>
  <c r="M40" i="3"/>
  <c r="L10" i="3"/>
  <c r="M10" i="3" l="1"/>
  <c r="O30" i="3"/>
  <c r="O5" i="3"/>
  <c r="O29" i="3"/>
  <c r="O31" i="3" s="1"/>
  <c r="O32" i="3" s="1"/>
  <c r="O33" i="3" s="1"/>
  <c r="O34" i="3" s="1"/>
  <c r="O7" i="3"/>
  <c r="O26" i="3" s="1"/>
  <c r="O27" i="3" s="1"/>
  <c r="N19" i="3"/>
  <c r="N20" i="3" s="1"/>
  <c r="N6" i="3"/>
  <c r="N9" i="3"/>
  <c r="P30" i="3" l="1"/>
  <c r="P29" i="3"/>
  <c r="P31" i="3" s="1"/>
  <c r="P32" i="3" s="1"/>
  <c r="P33" i="3" s="1"/>
  <c r="P34" i="3" s="1"/>
  <c r="P26" i="3"/>
  <c r="P27" i="3" s="1"/>
  <c r="N10" i="3"/>
  <c r="O19" i="3"/>
  <c r="O20" i="3" s="1"/>
  <c r="B21" i="3" s="1"/>
  <c r="B23" i="3" s="1"/>
  <c r="O6" i="3"/>
  <c r="H15" i="3" s="1"/>
  <c r="H16" i="3" s="1"/>
  <c r="C43" i="3" s="1"/>
  <c r="O9" i="3"/>
  <c r="N48" i="3"/>
  <c r="N39" i="3"/>
  <c r="O10" i="3" l="1"/>
  <c r="B15" i="3"/>
  <c r="O40" i="3"/>
  <c r="C15" i="3" l="1"/>
  <c r="P48" i="3"/>
  <c r="I15" i="3"/>
  <c r="I16" i="3" s="1"/>
  <c r="P39" i="3"/>
  <c r="Q39" i="3" s="1"/>
  <c r="E15" i="3"/>
  <c r="B13" i="3"/>
  <c r="R23" i="3"/>
  <c r="R17" i="3"/>
  <c r="K13" i="3" l="1"/>
  <c r="S23" i="3"/>
  <c r="T23" i="3" s="1"/>
  <c r="T25" i="3" s="1"/>
  <c r="C13" i="3"/>
  <c r="L13" i="3" s="1"/>
  <c r="S17" i="3"/>
  <c r="T17" i="3" s="1"/>
  <c r="T19" i="3" s="1"/>
  <c r="M13" i="3" l="1"/>
  <c r="D13" i="3"/>
  <c r="N14" i="3" s="1"/>
  <c r="N13" i="3" l="1"/>
  <c r="M9" i="1" l="1"/>
  <c r="M24" i="1" s="1"/>
  <c r="L24" i="1" s="1"/>
  <c r="L9" i="1"/>
</calcChain>
</file>

<file path=xl/sharedStrings.xml><?xml version="1.0" encoding="utf-8"?>
<sst xmlns="http://schemas.openxmlformats.org/spreadsheetml/2006/main" count="397" uniqueCount="254">
  <si>
    <r>
      <t>T (</t>
    </r>
    <r>
      <rPr>
        <sz val="12"/>
        <color theme="1"/>
        <rFont val="Symbol"/>
        <family val="1"/>
        <charset val="2"/>
      </rPr>
      <t>°</t>
    </r>
    <r>
      <rPr>
        <sz val="12"/>
        <color theme="1"/>
        <rFont val="Times New Roman"/>
        <family val="1"/>
      </rPr>
      <t>C)</t>
    </r>
  </si>
  <si>
    <r>
      <t>CV</t>
    </r>
    <r>
      <rPr>
        <sz val="8"/>
        <color theme="1"/>
        <rFont val="Times New Roman"/>
        <family val="1"/>
      </rPr>
      <t>PS</t>
    </r>
    <r>
      <rPr>
        <sz val="12"/>
        <color theme="1"/>
        <rFont val="Times New Roman"/>
        <family val="1"/>
      </rPr>
      <t xml:space="preserve"> (V)</t>
    </r>
  </si>
  <si>
    <r>
      <t>V</t>
    </r>
    <r>
      <rPr>
        <sz val="9"/>
        <color theme="1"/>
        <rFont val="Times New Roman"/>
        <family val="1"/>
      </rPr>
      <t>meas</t>
    </r>
    <r>
      <rPr>
        <sz val="12"/>
        <color theme="1"/>
        <rFont val="Times New Roman"/>
        <family val="1"/>
      </rPr>
      <t xml:space="preserve"> (V)</t>
    </r>
  </si>
  <si>
    <r>
      <t>I</t>
    </r>
    <r>
      <rPr>
        <sz val="9"/>
        <color theme="1"/>
        <rFont val="Times New Roman"/>
        <family val="1"/>
      </rPr>
      <t>meas</t>
    </r>
    <r>
      <rPr>
        <sz val="12"/>
        <color theme="1"/>
        <rFont val="Times New Roman"/>
        <family val="1"/>
      </rPr>
      <t xml:space="preserve"> (A)</t>
    </r>
  </si>
  <si>
    <r>
      <t>Abbv.</t>
    </r>
    <r>
      <rPr>
        <sz val="12"/>
        <color theme="1"/>
        <rFont val="Times New Roman"/>
        <family val="1"/>
      </rPr>
      <t>:</t>
    </r>
  </si>
  <si>
    <r>
      <rPr>
        <sz val="12"/>
        <color theme="1"/>
        <rFont val="Symbol"/>
        <family val="1"/>
        <charset val="2"/>
      </rPr>
      <t>°</t>
    </r>
    <r>
      <rPr>
        <sz val="12"/>
        <color theme="1"/>
        <rFont val="Times New Roman"/>
        <family val="1"/>
      </rPr>
      <t>C:     Readings got from Flir One Pro Thermal Camera</t>
    </r>
  </si>
  <si>
    <t>meas:  Readings got from Digital Multimeter (DMM)</t>
  </si>
  <si>
    <t>PS:     Readings got from Power Supply (PS)</t>
  </si>
  <si>
    <r>
      <t>P</t>
    </r>
    <r>
      <rPr>
        <sz val="8"/>
        <color theme="1"/>
        <rFont val="Times New Roman"/>
        <family val="1"/>
      </rPr>
      <t>calc</t>
    </r>
    <r>
      <rPr>
        <sz val="12"/>
        <color theme="1"/>
        <rFont val="Times New Roman"/>
        <family val="1"/>
      </rPr>
      <t xml:space="preserve"> (W)</t>
    </r>
  </si>
  <si>
    <t>calc:   Calculated measurements</t>
  </si>
  <si>
    <r>
      <t>I</t>
    </r>
    <r>
      <rPr>
        <sz val="8"/>
        <color theme="1"/>
        <rFont val="Times New Roman"/>
        <family val="1"/>
      </rPr>
      <t>PS</t>
    </r>
    <r>
      <rPr>
        <sz val="12"/>
        <color theme="1"/>
        <rFont val="Times New Roman"/>
        <family val="1"/>
      </rPr>
      <t xml:space="preserve"> (A)</t>
    </r>
  </si>
  <si>
    <t>t(min)</t>
  </si>
  <si>
    <t>P ≈ 0.1W</t>
  </si>
  <si>
    <t>P ≈ 0.4W</t>
  </si>
  <si>
    <t>Estrimating Power Loss in HF Xfmr using Thermal Camera</t>
  </si>
  <si>
    <r>
      <t>The </t>
    </r>
    <r>
      <rPr>
        <b/>
        <sz val="12"/>
        <color rgb="FF202124"/>
        <rFont val="Times New Roman"/>
        <family val="1"/>
      </rPr>
      <t>R</t>
    </r>
    <r>
      <rPr>
        <sz val="12"/>
        <color rgb="FF202124"/>
        <rFont val="Times New Roman"/>
        <family val="1"/>
      </rPr>
      <t>-Squared of a data set tells how well a data fits the regression line. It </t>
    </r>
    <r>
      <rPr>
        <b/>
        <sz val="12"/>
        <color rgb="FF202124"/>
        <rFont val="Times New Roman"/>
        <family val="1"/>
      </rPr>
      <t>is</t>
    </r>
    <r>
      <rPr>
        <sz val="12"/>
        <color rgb="FF202124"/>
        <rFont val="Times New Roman"/>
        <family val="1"/>
      </rPr>
      <t> used to tell the goodness of fit of data point on regression line. It </t>
    </r>
    <r>
      <rPr>
        <b/>
        <sz val="12"/>
        <color rgb="FF202124"/>
        <rFont val="Times New Roman"/>
        <family val="1"/>
      </rPr>
      <t>is</t>
    </r>
    <r>
      <rPr>
        <sz val="12"/>
        <color rgb="FF202124"/>
        <rFont val="Times New Roman"/>
        <family val="1"/>
      </rPr>
      <t> the </t>
    </r>
    <r>
      <rPr>
        <b/>
        <sz val="12"/>
        <color rgb="FF202124"/>
        <rFont val="Times New Roman"/>
        <family val="1"/>
      </rPr>
      <t>squared value</t>
    </r>
    <r>
      <rPr>
        <sz val="12"/>
        <color rgb="FF202124"/>
        <rFont val="Times New Roman"/>
        <family val="1"/>
      </rPr>
      <t> of correlation coefficient. It </t>
    </r>
    <r>
      <rPr>
        <b/>
        <sz val="12"/>
        <color rgb="FF202124"/>
        <rFont val="Times New Roman"/>
        <family val="1"/>
      </rPr>
      <t>is</t>
    </r>
    <r>
      <rPr>
        <sz val="12"/>
        <color rgb="FF202124"/>
        <rFont val="Times New Roman"/>
        <family val="1"/>
      </rPr>
      <t> also called co-efficient of determination.</t>
    </r>
  </si>
  <si>
    <r>
      <t>A </t>
    </r>
    <r>
      <rPr>
        <b/>
        <sz val="12"/>
        <color rgb="FF202124"/>
        <rFont val="Times New Roman"/>
        <family val="1"/>
      </rPr>
      <t>regression line</t>
    </r>
    <r>
      <rPr>
        <sz val="12"/>
        <color rgb="FF202124"/>
        <rFont val="Times New Roman"/>
        <family val="1"/>
      </rPr>
      <t> is a straight </t>
    </r>
    <r>
      <rPr>
        <b/>
        <sz val="12"/>
        <color rgb="FF202124"/>
        <rFont val="Times New Roman"/>
        <family val="1"/>
      </rPr>
      <t>line</t>
    </r>
    <r>
      <rPr>
        <sz val="12"/>
        <color rgb="FF202124"/>
        <rFont val="Times New Roman"/>
        <family val="1"/>
      </rPr>
      <t> that de- scribes how a response variable y changes as an explanatory variable x changes.</t>
    </r>
  </si>
  <si>
    <r>
      <t>R (m</t>
    </r>
    <r>
      <rPr>
        <sz val="12"/>
        <color theme="1"/>
        <rFont val="Symbol"/>
        <family val="1"/>
        <charset val="2"/>
      </rPr>
      <t>W</t>
    </r>
    <r>
      <rPr>
        <sz val="10.8"/>
        <color theme="1"/>
        <rFont val="Times New Roman"/>
        <family val="1"/>
      </rPr>
      <t>)</t>
    </r>
  </si>
  <si>
    <r>
      <rPr>
        <sz val="12"/>
        <color theme="1"/>
        <rFont val="Symbol"/>
        <family val="1"/>
        <charset val="2"/>
      </rPr>
      <t>DT/D</t>
    </r>
    <r>
      <rPr>
        <sz val="12"/>
        <color theme="1"/>
        <rFont val="Times New Roman"/>
        <family val="1"/>
      </rPr>
      <t>t (</t>
    </r>
    <r>
      <rPr>
        <sz val="12"/>
        <color theme="1"/>
        <rFont val="Symbol"/>
        <family val="1"/>
        <charset val="2"/>
      </rPr>
      <t>°</t>
    </r>
    <r>
      <rPr>
        <sz val="10.8"/>
        <color theme="1"/>
        <rFont val="Times New Roman"/>
        <family val="1"/>
      </rPr>
      <t>C/min)</t>
    </r>
  </si>
  <si>
    <r>
      <t>P</t>
    </r>
    <r>
      <rPr>
        <sz val="8"/>
        <color theme="1"/>
        <rFont val="Times New Roman"/>
        <family val="1"/>
      </rPr>
      <t>loss</t>
    </r>
    <r>
      <rPr>
        <sz val="12"/>
        <color theme="1"/>
        <rFont val="Times New Roman"/>
        <family val="1"/>
      </rPr>
      <t xml:space="preserve">
(W)</t>
    </r>
  </si>
  <si>
    <r>
      <t xml:space="preserve">Note: </t>
    </r>
    <r>
      <rPr>
        <i/>
        <sz val="12"/>
        <color theme="1"/>
        <rFont val="Times New Roman"/>
        <family val="1"/>
      </rPr>
      <t>Fig. 1,</t>
    </r>
    <r>
      <rPr>
        <b/>
        <i/>
        <sz val="12"/>
        <color theme="1"/>
        <rFont val="Times New Roman"/>
        <family val="1"/>
      </rPr>
      <t xml:space="preserve"> </t>
    </r>
    <r>
      <rPr>
        <sz val="12"/>
        <color theme="1"/>
        <rFont val="Times New Roman"/>
        <family val="1"/>
      </rPr>
      <t>Characteristics of the average xfmr surface temps as a funtion of time.</t>
    </r>
  </si>
  <si>
    <t>Spacing</t>
  </si>
  <si>
    <t>a</t>
  </si>
  <si>
    <t>b</t>
  </si>
  <si>
    <t>c</t>
  </si>
  <si>
    <t>d</t>
  </si>
  <si>
    <t>e</t>
  </si>
  <si>
    <t>f</t>
  </si>
  <si>
    <t>g</t>
  </si>
  <si>
    <t>h</t>
  </si>
  <si>
    <t>i</t>
  </si>
  <si>
    <t>j</t>
  </si>
  <si>
    <t>k</t>
  </si>
  <si>
    <t>l</t>
  </si>
  <si>
    <t>m</t>
  </si>
  <si>
    <t>n</t>
  </si>
  <si>
    <t>o</t>
  </si>
  <si>
    <t>Notes</t>
  </si>
  <si>
    <t xml:space="preserve">Np = </t>
  </si>
  <si>
    <t>turns</t>
  </si>
  <si>
    <t>Np : Ns</t>
  </si>
  <si>
    <t>= 7:1</t>
  </si>
  <si>
    <t>mm</t>
  </si>
  <si>
    <t>Spacing btw Cu layers</t>
  </si>
  <si>
    <t>Ns =</t>
  </si>
  <si>
    <t>t =</t>
  </si>
  <si>
    <t>2*skin depth</t>
  </si>
  <si>
    <t>D</t>
  </si>
  <si>
    <t>Diameter for each turn</t>
  </si>
  <si>
    <t xml:space="preserve">h = </t>
  </si>
  <si>
    <t>Cross-section height</t>
  </si>
  <si>
    <r>
      <t xml:space="preserve">Wire </t>
    </r>
    <r>
      <rPr>
        <b/>
        <i/>
        <sz val="11"/>
        <color theme="1"/>
        <rFont val="Times New Roman"/>
        <family val="1"/>
      </rPr>
      <t>l</t>
    </r>
  </si>
  <si>
    <t>Length of each turn</t>
  </si>
  <si>
    <t xml:space="preserve">Ip = </t>
  </si>
  <si>
    <t>A</t>
  </si>
  <si>
    <r>
      <t xml:space="preserve">l </t>
    </r>
    <r>
      <rPr>
        <b/>
        <sz val="11"/>
        <color theme="1"/>
        <rFont val="Times New Roman"/>
        <family val="1"/>
      </rPr>
      <t>(mm)</t>
    </r>
  </si>
  <si>
    <t xml:space="preserve">Is1n8 = </t>
  </si>
  <si>
    <t>r</t>
  </si>
  <si>
    <t>Radius for each turn in mm</t>
  </si>
  <si>
    <t xml:space="preserve">Is_tot = </t>
  </si>
  <si>
    <t>Cu Win.</t>
  </si>
  <si>
    <t>s1</t>
  </si>
  <si>
    <t>P1</t>
  </si>
  <si>
    <t>s2</t>
  </si>
  <si>
    <t>P2</t>
  </si>
  <si>
    <t>s3</t>
  </si>
  <si>
    <t>P3</t>
  </si>
  <si>
    <t>s4</t>
  </si>
  <si>
    <t>P4</t>
  </si>
  <si>
    <t>s5</t>
  </si>
  <si>
    <t>P5</t>
  </si>
  <si>
    <t>s6</t>
  </si>
  <si>
    <t>P6</t>
  </si>
  <si>
    <t>s7</t>
  </si>
  <si>
    <t>P7</t>
  </si>
  <si>
    <t>s8</t>
  </si>
  <si>
    <t>Is_each =</t>
  </si>
  <si>
    <t>Cu loss</t>
  </si>
  <si>
    <r>
      <rPr>
        <sz val="11"/>
        <color theme="1"/>
        <rFont val="Symbol"/>
        <family val="1"/>
        <charset val="2"/>
      </rPr>
      <t>r</t>
    </r>
    <r>
      <rPr>
        <sz val="11"/>
        <color theme="1"/>
        <rFont val="Times New Roman"/>
        <family val="1"/>
      </rPr>
      <t xml:space="preserve"> = </t>
    </r>
  </si>
  <si>
    <r>
      <rPr>
        <sz val="11"/>
        <color theme="1"/>
        <rFont val="Symbol"/>
        <family val="1"/>
        <charset val="2"/>
      </rPr>
      <t>W</t>
    </r>
    <r>
      <rPr>
        <sz val="11"/>
        <color theme="1"/>
        <rFont val="Times New Roman"/>
        <family val="1"/>
      </rPr>
      <t>-m</t>
    </r>
  </si>
  <si>
    <r>
      <t>R (m</t>
    </r>
    <r>
      <rPr>
        <b/>
        <sz val="11"/>
        <color theme="1"/>
        <rFont val="Symbol"/>
        <family val="1"/>
        <charset val="2"/>
      </rPr>
      <t>W</t>
    </r>
    <r>
      <rPr>
        <b/>
        <sz val="9.9"/>
        <color theme="1"/>
        <rFont val="Times New Roman"/>
        <family val="1"/>
      </rPr>
      <t>)</t>
    </r>
  </si>
  <si>
    <t>Dielectric constant of Polyimide film</t>
  </si>
  <si>
    <t>Total</t>
  </si>
  <si>
    <t>R_pri</t>
  </si>
  <si>
    <t>R_sec</t>
  </si>
  <si>
    <t>R_tot</t>
  </si>
  <si>
    <t>DC resistance needed to determine DC current for Calorimetric Method to estimate xfmr power losses</t>
  </si>
  <si>
    <t>Exp Ploss, W</t>
  </si>
  <si>
    <t>DC Current:</t>
  </si>
  <si>
    <t>I_pri</t>
  </si>
  <si>
    <t>I_sec</t>
  </si>
  <si>
    <t>I_tot</t>
  </si>
  <si>
    <t>Tot P Loss</t>
  </si>
  <si>
    <r>
      <t>[m</t>
    </r>
    <r>
      <rPr>
        <b/>
        <sz val="11"/>
        <color theme="1"/>
        <rFont val="Symbol"/>
        <family val="1"/>
        <charset val="2"/>
      </rPr>
      <t>W</t>
    </r>
    <r>
      <rPr>
        <b/>
        <sz val="11"/>
        <color theme="1"/>
        <rFont val="Times New Roman"/>
        <family val="1"/>
      </rPr>
      <t>]</t>
    </r>
  </si>
  <si>
    <t>[A]</t>
  </si>
  <si>
    <t>I_tot^2*R_tot</t>
  </si>
  <si>
    <t>P_pri</t>
  </si>
  <si>
    <t>P_sec</t>
  </si>
  <si>
    <t>Pcr</t>
  </si>
  <si>
    <t>P_tot</t>
  </si>
  <si>
    <t>sqrt(1/R_tot)</t>
  </si>
  <si>
    <t>Dielectric constant of adhesive</t>
  </si>
  <si>
    <t>[W]</t>
  </si>
  <si>
    <t>Pri tot length</t>
  </si>
  <si>
    <t>Sec tot length</t>
  </si>
  <si>
    <t>pF/m</t>
  </si>
  <si>
    <t>Correct the core bobbin size</t>
  </si>
  <si>
    <t>with spacing</t>
  </si>
  <si>
    <t>R_sec @pri</t>
  </si>
  <si>
    <t>dielec. Thick, d</t>
  </si>
  <si>
    <t>Area (m2)</t>
  </si>
  <si>
    <t>Exp Ploss</t>
  </si>
  <si>
    <t>DC Current</t>
  </si>
  <si>
    <t>Wind Cap</t>
  </si>
  <si>
    <t>Total (pF)</t>
  </si>
  <si>
    <t>Lm</t>
  </si>
  <si>
    <t>Correct the Lm value</t>
  </si>
  <si>
    <t>Res Freq (MHz)</t>
  </si>
  <si>
    <t>D (mm)</t>
  </si>
  <si>
    <t>cm scale</t>
  </si>
  <si>
    <t>r1 =</t>
  </si>
  <si>
    <t xml:space="preserve">r2 = </t>
  </si>
  <si>
    <t xml:space="preserve">r1 - r2 = </t>
  </si>
  <si>
    <t xml:space="preserve">pi * ^ = </t>
  </si>
  <si>
    <t xml:space="preserve">b = </t>
  </si>
  <si>
    <t>h (mm) =</t>
  </si>
  <si>
    <t>Position</t>
  </si>
  <si>
    <t>Sheet spacin</t>
  </si>
  <si>
    <t>Start X</t>
  </si>
  <si>
    <t>Start Y</t>
  </si>
  <si>
    <t>End X</t>
  </si>
  <si>
    <t>End Y</t>
  </si>
  <si>
    <t>Line thick</t>
  </si>
  <si>
    <t>0.0001mm</t>
  </si>
  <si>
    <r>
      <t xml:space="preserve">1/2 pnt of </t>
    </r>
    <r>
      <rPr>
        <b/>
        <i/>
        <sz val="11"/>
        <color theme="1"/>
        <rFont val="Times New Roman"/>
        <family val="1"/>
      </rPr>
      <t>l</t>
    </r>
  </si>
  <si>
    <t>Core</t>
  </si>
  <si>
    <t>Core Loss</t>
  </si>
  <si>
    <t>Cu Loss</t>
  </si>
  <si>
    <t>Loss Budget per Unit [Pt]</t>
  </si>
  <si>
    <t>Datasheets</t>
  </si>
  <si>
    <t>f sw =</t>
  </si>
  <si>
    <t>Hz</t>
  </si>
  <si>
    <t># / Shape</t>
  </si>
  <si>
    <t>Part # / Shape</t>
  </si>
  <si>
    <r>
      <rPr>
        <b/>
        <sz val="12"/>
        <color theme="1"/>
        <rFont val="Symbol"/>
        <family val="1"/>
        <charset val="2"/>
      </rPr>
      <t>m</t>
    </r>
    <r>
      <rPr>
        <b/>
        <i/>
        <sz val="10.199999999999999"/>
        <color theme="1"/>
        <rFont val="Times New Roman"/>
        <family val="1"/>
      </rPr>
      <t>e</t>
    </r>
  </si>
  <si>
    <t>Dimension (m)</t>
  </si>
  <si>
    <t>Al</t>
  </si>
  <si>
    <t>Zm</t>
  </si>
  <si>
    <t>Ac / Ae</t>
  </si>
  <si>
    <t>B</t>
  </si>
  <si>
    <t>Ve</t>
  </si>
  <si>
    <t>Center post D</t>
  </si>
  <si>
    <t>Wire Length (l)</t>
  </si>
  <si>
    <t>Cross-sec h  (m)</t>
  </si>
  <si>
    <t>Pcu @ Pri</t>
  </si>
  <si>
    <t>Pcu @ Sec</t>
  </si>
  <si>
    <t>Pcore</t>
  </si>
  <si>
    <t>Pcu_tot</t>
  </si>
  <si>
    <t>Pt (W)</t>
  </si>
  <si>
    <t>Target</t>
  </si>
  <si>
    <t>L</t>
  </si>
  <si>
    <t>H</t>
  </si>
  <si>
    <t>H/(turn)^2</t>
  </si>
  <si>
    <t>(m^2)</t>
  </si>
  <si>
    <t>(Tesla)</t>
  </si>
  <si>
    <t xml:space="preserve"> (cm^3)</t>
  </si>
  <si>
    <t>(W/cm^3)</t>
  </si>
  <si>
    <t>(W)</t>
  </si>
  <si>
    <t>Digikey</t>
  </si>
  <si>
    <t>Digikey-RM 3F46</t>
  </si>
  <si>
    <t xml:space="preserve">k = </t>
  </si>
  <si>
    <t>3F46 - RM</t>
  </si>
  <si>
    <t>RM7/I -3F46</t>
  </si>
  <si>
    <t>Ferroxcube | RM7/I-3F46 Datasheet</t>
  </si>
  <si>
    <t>""</t>
  </si>
  <si>
    <t>RM8/I -3F46</t>
  </si>
  <si>
    <t>Ferroxcube | RM8/I-3F46 Datasheet</t>
  </si>
  <si>
    <t xml:space="preserve">Is = </t>
  </si>
  <si>
    <t>N49</t>
  </si>
  <si>
    <t>Ferroxcube | HF Power Conversion Core Materials</t>
  </si>
  <si>
    <t>d =</t>
  </si>
  <si>
    <t>meters</t>
  </si>
  <si>
    <t>Ferroxcube | 3F46 Datasheet with Material Specs</t>
  </si>
  <si>
    <r>
      <rPr>
        <b/>
        <sz val="12"/>
        <color theme="1"/>
        <rFont val="Symbol"/>
        <family val="1"/>
        <charset val="2"/>
      </rPr>
      <t>r</t>
    </r>
    <r>
      <rPr>
        <b/>
        <sz val="12"/>
        <color theme="1"/>
        <rFont val="Times New Roman"/>
        <family val="1"/>
      </rPr>
      <t xml:space="preserve"> = </t>
    </r>
  </si>
  <si>
    <r>
      <rPr>
        <b/>
        <sz val="12"/>
        <color theme="1"/>
        <rFont val="Symbol"/>
        <family val="1"/>
        <charset val="2"/>
      </rPr>
      <t>W</t>
    </r>
    <r>
      <rPr>
        <b/>
        <sz val="12"/>
        <color theme="1"/>
        <rFont val="Times New Roman"/>
        <family val="1"/>
      </rPr>
      <t>-m</t>
    </r>
  </si>
  <si>
    <t>Ferroxcube | List of RM Core 3F46 Materials</t>
  </si>
  <si>
    <t>l =</t>
  </si>
  <si>
    <t>Length of the wire = Circumference of winding window</t>
  </si>
  <si>
    <t xml:space="preserve">t = </t>
  </si>
  <si>
    <t>Thickness of Cu foil</t>
  </si>
  <si>
    <t>Source of Info</t>
  </si>
  <si>
    <t>Incorrect for project</t>
  </si>
  <si>
    <t>PC200-RM</t>
  </si>
  <si>
    <t>RM6/I-PC200</t>
  </si>
  <si>
    <t>--</t>
  </si>
  <si>
    <t>A+</t>
  </si>
  <si>
    <t>Digikey-RM6-PC200 Order Page</t>
  </si>
  <si>
    <t xml:space="preserve">Pt_exp </t>
  </si>
  <si>
    <t>W</t>
  </si>
  <si>
    <t>Winding Resistance</t>
  </si>
  <si>
    <t>Ferroxcube | RM6 Datasheet</t>
  </si>
  <si>
    <t xml:space="preserve">Vp = </t>
  </si>
  <si>
    <t>V</t>
  </si>
  <si>
    <r>
      <t>m</t>
    </r>
    <r>
      <rPr>
        <sz val="12"/>
        <color theme="1"/>
        <rFont val="Symbol"/>
        <family val="1"/>
        <charset val="2"/>
      </rPr>
      <t>W</t>
    </r>
  </si>
  <si>
    <t>mW</t>
  </si>
  <si>
    <t>Ferroxcube | PC200 Datasheet with Material Specs</t>
  </si>
  <si>
    <t xml:space="preserve">Vs = </t>
  </si>
  <si>
    <t>DigiKey | RM6-PC200 Datasheet</t>
  </si>
  <si>
    <t xml:space="preserve">T = </t>
  </si>
  <si>
    <t>s</t>
  </si>
  <si>
    <t>1 period</t>
  </si>
  <si>
    <t>TDK | HF Power Conversion Core Materials</t>
  </si>
  <si>
    <t>N49 | TDK Electronics</t>
  </si>
  <si>
    <t>Ae =</t>
  </si>
  <si>
    <t>Steinmetz Params</t>
  </si>
  <si>
    <t>B (T)</t>
  </si>
  <si>
    <t>Pcr (mW/cm^3)</t>
  </si>
  <si>
    <t>From ANSYS, the steinetz params have a W/m^3 unit. f in Hz and B in T</t>
  </si>
  <si>
    <t>Cm</t>
  </si>
  <si>
    <t>Include pictures of the Ansys steps and measurements you took to get the params</t>
  </si>
  <si>
    <t>X</t>
  </si>
  <si>
    <t>To create a loss of 1W for RM7-N49, I will need Ip rms of 23.078A</t>
  </si>
  <si>
    <t>Y</t>
  </si>
  <si>
    <t>%diff =</t>
  </si>
  <si>
    <t>f (Hz)</t>
  </si>
  <si>
    <t>The above calculation for DC current for the calometric test won't work cuz the losses used are calculated at HF, which are very different for losses at DC.</t>
  </si>
  <si>
    <t>Compared to the EQ core choosen, since the Ae is greater, the B is less, also seen with the equation. But the core loss is higher cuz of the loss behaviour over HF</t>
  </si>
  <si>
    <t>Copper loss is less; geometry contributes to it. Larger cross sectional area</t>
  </si>
  <si>
    <t>Summary:</t>
  </si>
  <si>
    <r>
      <t>V</t>
    </r>
    <r>
      <rPr>
        <sz val="8"/>
        <color theme="1"/>
        <rFont val="Times New Roman"/>
        <family val="1"/>
      </rPr>
      <t>source</t>
    </r>
    <r>
      <rPr>
        <sz val="12"/>
        <color theme="1"/>
        <rFont val="Times New Roman"/>
        <family val="1"/>
      </rPr>
      <t xml:space="preserve"> (V)</t>
    </r>
  </si>
  <si>
    <r>
      <t>I</t>
    </r>
    <r>
      <rPr>
        <sz val="8"/>
        <color theme="1"/>
        <rFont val="Times New Roman"/>
        <family val="1"/>
      </rPr>
      <t>source</t>
    </r>
    <r>
      <rPr>
        <sz val="12"/>
        <color theme="1"/>
        <rFont val="Times New Roman"/>
        <family val="1"/>
      </rPr>
      <t xml:space="preserve"> (A)</t>
    </r>
  </si>
  <si>
    <r>
      <t>P</t>
    </r>
    <r>
      <rPr>
        <sz val="8"/>
        <color theme="1"/>
        <rFont val="Times New Roman"/>
        <family val="1"/>
      </rPr>
      <t>meas</t>
    </r>
    <r>
      <rPr>
        <sz val="12"/>
        <color theme="1"/>
        <rFont val="Times New Roman"/>
        <family val="1"/>
      </rPr>
      <t xml:space="preserve"> (W)</t>
    </r>
  </si>
  <si>
    <t>Thermal Calibration Process: Trial #</t>
  </si>
  <si>
    <t xml:space="preserve">Date:                       </t>
  </si>
  <si>
    <t>Time:</t>
  </si>
  <si>
    <t>Estrimating Power Loss in HF Transformers using Thermal Camera</t>
  </si>
  <si>
    <t>Heating Characteristic Curves of HF Transformers</t>
  </si>
  <si>
    <r>
      <t>V</t>
    </r>
    <r>
      <rPr>
        <sz val="9"/>
        <color theme="1"/>
        <rFont val="Times New Roman"/>
        <family val="1"/>
      </rPr>
      <t>meas</t>
    </r>
    <r>
      <rPr>
        <sz val="12"/>
        <color theme="1"/>
        <rFont val="Times New Roman"/>
        <family val="1"/>
      </rPr>
      <t xml:space="preserve"> (mV)</t>
    </r>
  </si>
  <si>
    <t>Rth  ≈</t>
  </si>
  <si>
    <t>(°C/W)</t>
  </si>
  <si>
    <r>
      <t xml:space="preserve">Note: </t>
    </r>
    <r>
      <rPr>
        <sz val="12"/>
        <color theme="1"/>
        <rFont val="Times New Roman"/>
        <family val="1"/>
      </rPr>
      <t xml:space="preserve">Based on </t>
    </r>
    <r>
      <rPr>
        <i/>
        <sz val="12"/>
        <color theme="1"/>
        <rFont val="Times New Roman"/>
        <family val="1"/>
      </rPr>
      <t>Fig. 1</t>
    </r>
    <r>
      <rPr>
        <sz val="12"/>
        <color theme="1"/>
        <rFont val="Times New Roman"/>
        <family val="1"/>
      </rPr>
      <t>, the xfmr temp rises are approximately a linear time function between 45-60mins.</t>
    </r>
  </si>
  <si>
    <t>P ≈ 1.0W</t>
  </si>
  <si>
    <t>P ≈ 2.0W</t>
  </si>
  <si>
    <r>
      <t xml:space="preserve">Note: </t>
    </r>
    <r>
      <rPr>
        <sz val="12"/>
        <color theme="1"/>
        <rFont val="Times New Roman"/>
        <family val="1"/>
      </rPr>
      <t xml:space="preserve">Based on </t>
    </r>
    <r>
      <rPr>
        <i/>
        <sz val="12"/>
        <color theme="1"/>
        <rFont val="Times New Roman"/>
        <family val="1"/>
      </rPr>
      <t>Fig. 1</t>
    </r>
    <r>
      <rPr>
        <sz val="12"/>
        <color theme="1"/>
        <rFont val="Times New Roman"/>
        <family val="1"/>
      </rPr>
      <t>, the xfmr temp rises are a linear time function between 0-10mins.</t>
    </r>
  </si>
  <si>
    <r>
      <t xml:space="preserve">Note: </t>
    </r>
    <r>
      <rPr>
        <sz val="12"/>
        <color theme="1"/>
        <rFont val="Times New Roman"/>
        <family val="1"/>
      </rPr>
      <t xml:space="preserve">Based on </t>
    </r>
    <r>
      <rPr>
        <i/>
        <sz val="12"/>
        <color theme="1"/>
        <rFont val="Times New Roman"/>
        <family val="1"/>
      </rPr>
      <t>Fig. 1</t>
    </r>
    <r>
      <rPr>
        <sz val="12"/>
        <color theme="1"/>
        <rFont val="Times New Roman"/>
        <family val="1"/>
      </rPr>
      <t>, the xfmr temp rises are constant between 50-60mins.</t>
    </r>
  </si>
  <si>
    <r>
      <rPr>
        <sz val="12"/>
        <color theme="1"/>
        <rFont val="Times New Roman"/>
        <family val="1"/>
      </rPr>
      <t>T</t>
    </r>
    <r>
      <rPr>
        <sz val="9"/>
        <color theme="1"/>
        <rFont val="Times New Roman"/>
        <family val="1"/>
      </rPr>
      <t xml:space="preserve">avg
</t>
    </r>
    <r>
      <rPr>
        <sz val="12"/>
        <color theme="1"/>
        <rFont val="Times New Roman"/>
        <family val="1"/>
      </rPr>
      <t>(</t>
    </r>
    <r>
      <rPr>
        <sz val="12"/>
        <color theme="1"/>
        <rFont val="Symbol"/>
        <family val="1"/>
        <charset val="2"/>
      </rPr>
      <t>°</t>
    </r>
    <r>
      <rPr>
        <sz val="10.8"/>
        <color theme="1"/>
        <rFont val="Times New Roman"/>
        <family val="1"/>
      </rPr>
      <t>C)</t>
    </r>
  </si>
  <si>
    <t>Date: 7-8th/08/2021    &amp;   Time: 11:45PM - 6:47AM CST</t>
  </si>
  <si>
    <t>Heating Characteristic Curves of HF Xfmr with DsC Capabilities</t>
  </si>
  <si>
    <t xml:space="preserve">P = </t>
  </si>
  <si>
    <t>Thermal Calibration Process: Trial 1 / T1 / #2</t>
  </si>
  <si>
    <t>Note:</t>
  </si>
  <si>
    <t>It doesn't matter if the sec is OC or SC cuz the xfmr is operating at low freq (DC), hence, the DC resistance is the resistance seen at the primary. During DC mode, no current flows through the transformer, only the Cu windings. Aspects like skin-depth don't apply.</t>
  </si>
  <si>
    <t>Temp</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</si>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</sst>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00"/>
    <numFmt numFmtId="167" formatCode="0.000000"/>
    <numFmt numFmtId="168" formatCode="0.000"/>
    <numFmt numFmtId="169" formatCode="0.0000000"/>
  </numFmts>
  <fonts count="35">
    <font>
      <sz val="11"/>
      <color theme="1"/>
      <name val="Calibri"/>
      <family val="2"/>
      <scheme val="minor"/>
    </font>
    <font>
      <sz val="12"/>
      <color theme="1"/>
      <name val="Times New Roman"/>
      <family val="1"/>
    </font>
    <font>
      <b/>
      <sz val="12"/>
      <color theme="1"/>
      <name val="Times New Roman"/>
      <family val="1"/>
    </font>
    <font>
      <sz val="9"/>
      <color theme="1"/>
      <name val="Times New Roman"/>
      <family val="1"/>
    </font>
    <font>
      <sz val="8"/>
      <color theme="1"/>
      <name val="Times New Roman"/>
      <family val="1"/>
    </font>
    <font>
      <sz val="12"/>
      <color theme="1"/>
      <name val="Symbol"/>
      <family val="1"/>
      <charset val="2"/>
    </font>
    <font>
      <b/>
      <i/>
      <sz val="12"/>
      <color theme="1"/>
      <name val="Times New Roman"/>
      <family val="1"/>
    </font>
    <font>
      <sz val="12"/>
      <color theme="1"/>
      <name val="Times New Roman"/>
      <family val="1"/>
      <charset val="2"/>
    </font>
    <font>
      <sz val="12"/>
      <color rgb="FFFF0000"/>
      <name val="Times New Roman"/>
      <family val="1"/>
    </font>
    <font>
      <sz val="12"/>
      <color rgb="FF202124"/>
      <name val="Times New Roman"/>
      <family val="1"/>
    </font>
    <font>
      <b/>
      <sz val="12"/>
      <color rgb="FF202124"/>
      <name val="Times New Roman"/>
      <family val="1"/>
    </font>
    <font>
      <sz val="10.8"/>
      <color theme="1"/>
      <name val="Times New Roman"/>
      <family val="1"/>
    </font>
    <font>
      <i/>
      <sz val="12"/>
      <color theme="1"/>
      <name val="Times New Roman"/>
      <family val="1"/>
    </font>
    <font>
      <u/>
      <sz val="11"/>
      <color theme="10"/>
      <name val="Calibri"/>
      <family val="2"/>
      <scheme val="minor"/>
    </font>
    <font>
      <b/>
      <sz val="11"/>
      <color theme="1"/>
      <name val="Times New Roman"/>
      <family val="1"/>
    </font>
    <font>
      <sz val="11"/>
      <color theme="1"/>
      <name val="Times New Roman"/>
      <family val="1"/>
    </font>
    <font>
      <b/>
      <sz val="11"/>
      <color theme="5"/>
      <name val="Times New Roman"/>
      <family val="1"/>
    </font>
    <font>
      <sz val="11"/>
      <color theme="5"/>
      <name val="Times New Roman"/>
      <family val="1"/>
    </font>
    <font>
      <b/>
      <i/>
      <sz val="11"/>
      <color theme="5"/>
      <name val="Times New Roman"/>
      <family val="1"/>
    </font>
    <font>
      <i/>
      <sz val="11"/>
      <color theme="1"/>
      <name val="Times New Roman"/>
      <family val="1"/>
    </font>
    <font>
      <b/>
      <i/>
      <sz val="11"/>
      <color theme="1"/>
      <name val="Times New Roman"/>
      <family val="1"/>
    </font>
    <font>
      <sz val="11"/>
      <color theme="1"/>
      <name val="Times New Roman"/>
      <family val="1"/>
      <charset val="2"/>
    </font>
    <font>
      <sz val="11"/>
      <color theme="1"/>
      <name val="Symbol"/>
      <family val="1"/>
      <charset val="2"/>
    </font>
    <font>
      <b/>
      <sz val="11"/>
      <color theme="1"/>
      <name val="Symbol"/>
      <family val="1"/>
      <charset val="2"/>
    </font>
    <font>
      <b/>
      <sz val="9.9"/>
      <color theme="1"/>
      <name val="Times New Roman"/>
      <family val="1"/>
    </font>
    <font>
      <u/>
      <sz val="11"/>
      <color theme="10"/>
      <name val="Times New Roman"/>
      <family val="1"/>
    </font>
    <font>
      <sz val="11"/>
      <color rgb="FFFF0000"/>
      <name val="Times New Roman"/>
      <family val="1"/>
    </font>
    <font>
      <b/>
      <i/>
      <sz val="12"/>
      <color theme="1"/>
      <name val="Times New Roman"/>
      <family val="1"/>
      <charset val="2"/>
    </font>
    <font>
      <b/>
      <sz val="12"/>
      <color theme="1"/>
      <name val="Symbol"/>
      <family val="1"/>
      <charset val="2"/>
    </font>
    <font>
      <b/>
      <i/>
      <sz val="10.199999999999999"/>
      <color theme="1"/>
      <name val="Times New Roman"/>
      <family val="1"/>
    </font>
    <font>
      <u/>
      <sz val="12"/>
      <color theme="10"/>
      <name val="Times New Roman"/>
      <family val="1"/>
    </font>
    <font>
      <b/>
      <sz val="12"/>
      <color theme="1"/>
      <name val="Times New Roman"/>
      <family val="1"/>
      <charset val="2"/>
    </font>
    <font>
      <sz val="12"/>
      <color rgb="FF00B050"/>
      <name val="Times New Roman"/>
      <family val="1"/>
    </font>
    <font>
      <sz val="12"/>
      <name val="Times New Roman"/>
      <family val="1"/>
    </font>
    <font>
      <sz val="12"/>
      <color rgb="FF0070C0"/>
      <name val="Times New Roman"/>
      <family val="1"/>
    </font>
  </fonts>
  <fills count="12">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bgColor indexed="64"/>
      </patternFill>
    </fill>
  </fills>
  <borders count="25">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
      <left style="thin">
        <color indexed="64"/>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s>
  <cellStyleXfs count="2">
    <xf numFmtId="0" fontId="0" fillId="0" borderId="0"/>
    <xf numFmtId="0" fontId="13" fillId="0" borderId="0" applyNumberFormat="0" applyFill="0" applyBorder="0" applyAlignment="0" applyProtection="0"/>
  </cellStyleXfs>
  <cellXfs count="256">
    <xf numFmtId="0" fontId="0" fillId="0" borderId="0" xfId="0"/>
    <xf numFmtId="0" fontId="1" fillId="0" borderId="0" xfId="0" applyFont="1"/>
    <xf numFmtId="0" fontId="2" fillId="0" borderId="0" xfId="0" applyFont="1" applyAlignment="1">
      <alignment vertical="center"/>
    </xf>
    <xf numFmtId="0" fontId="2" fillId="0" borderId="0" xfId="0" applyFont="1"/>
    <xf numFmtId="0" fontId="1" fillId="0" borderId="1" xfId="0" applyFont="1" applyBorder="1"/>
    <xf numFmtId="0" fontId="1" fillId="0" borderId="1" xfId="0" applyFont="1" applyBorder="1" applyAlignment="1">
      <alignment horizontal="center" vertical="center"/>
    </xf>
    <xf numFmtId="0" fontId="1" fillId="0" borderId="0" xfId="0" applyFont="1" applyBorder="1"/>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6" fillId="0" borderId="0" xfId="0" applyFont="1"/>
    <xf numFmtId="0" fontId="7" fillId="0" borderId="0" xfId="0" applyFont="1" applyBorder="1" applyAlignment="1">
      <alignment horizontal="left" vertical="center"/>
    </xf>
    <xf numFmtId="2" fontId="1" fillId="0" borderId="0" xfId="0" applyNumberFormat="1" applyFont="1" applyBorder="1" applyAlignment="1">
      <alignment horizontal="center"/>
    </xf>
    <xf numFmtId="2" fontId="1" fillId="0" borderId="1" xfId="0" applyNumberFormat="1" applyFont="1" applyBorder="1" applyAlignment="1">
      <alignment horizontal="center"/>
    </xf>
    <xf numFmtId="164" fontId="1" fillId="0" borderId="2" xfId="0" applyNumberFormat="1" applyFont="1" applyBorder="1" applyAlignment="1">
      <alignment horizontal="center"/>
    </xf>
    <xf numFmtId="164" fontId="1" fillId="0" borderId="0" xfId="0" applyNumberFormat="1" applyFont="1" applyBorder="1" applyAlignment="1">
      <alignment horizontal="center"/>
    </xf>
    <xf numFmtId="164" fontId="1" fillId="0" borderId="0" xfId="0" applyNumberFormat="1" applyFont="1" applyAlignment="1">
      <alignment horizontal="center"/>
    </xf>
    <xf numFmtId="165" fontId="1" fillId="0" borderId="0" xfId="0" applyNumberFormat="1" applyFont="1" applyBorder="1" applyAlignment="1">
      <alignment horizontal="center"/>
    </xf>
    <xf numFmtId="166" fontId="1" fillId="0" borderId="0" xfId="0" applyNumberFormat="1" applyFont="1" applyBorder="1" applyAlignment="1">
      <alignment horizontal="center"/>
    </xf>
    <xf numFmtId="167" fontId="1" fillId="0" borderId="0" xfId="0" applyNumberFormat="1" applyFont="1" applyBorder="1" applyAlignment="1">
      <alignment horizontal="center"/>
    </xf>
    <xf numFmtId="0" fontId="1" fillId="0" borderId="4" xfId="0" applyFont="1" applyBorder="1" applyAlignment="1">
      <alignment horizontal="center" vertical="center"/>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164" fontId="8" fillId="0" borderId="2"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9" fillId="0" borderId="0" xfId="0" applyFont="1"/>
    <xf numFmtId="0" fontId="1"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xf>
    <xf numFmtId="0" fontId="14"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5" fillId="0" borderId="0" xfId="0" quotePrefix="1" applyFont="1" applyAlignment="1">
      <alignment horizontal="center"/>
    </xf>
    <xf numFmtId="0" fontId="17" fillId="0" borderId="0" xfId="0" applyFont="1" applyAlignment="1">
      <alignment horizontal="left"/>
    </xf>
    <xf numFmtId="0" fontId="18" fillId="0" borderId="0" xfId="0" applyFont="1" applyAlignment="1">
      <alignment horizontal="center"/>
    </xf>
    <xf numFmtId="0" fontId="15" fillId="0" borderId="0" xfId="0" applyFont="1" applyAlignment="1">
      <alignment horizontal="left"/>
    </xf>
    <xf numFmtId="0" fontId="19" fillId="0" borderId="0" xfId="0" applyFont="1" applyAlignment="1">
      <alignment horizontal="center"/>
    </xf>
    <xf numFmtId="166" fontId="15" fillId="0" borderId="0" xfId="0" applyNumberFormat="1" applyFont="1" applyAlignment="1">
      <alignment horizontal="center"/>
    </xf>
    <xf numFmtId="0" fontId="15" fillId="0" borderId="0" xfId="0" applyFont="1" applyAlignment="1">
      <alignment horizontal="center" vertical="center"/>
    </xf>
    <xf numFmtId="0" fontId="20" fillId="0" borderId="0" xfId="0" applyFont="1" applyAlignment="1">
      <alignment horizontal="center"/>
    </xf>
    <xf numFmtId="2" fontId="15" fillId="0" borderId="0" xfId="0" applyNumberFormat="1" applyFont="1" applyAlignment="1">
      <alignment horizontal="center"/>
    </xf>
    <xf numFmtId="0" fontId="15" fillId="0" borderId="0" xfId="0" applyFont="1" applyAlignment="1">
      <alignment horizontal="left" vertical="center"/>
    </xf>
    <xf numFmtId="0" fontId="17" fillId="0" borderId="0" xfId="0" applyFont="1" applyAlignment="1">
      <alignment horizontal="center"/>
    </xf>
    <xf numFmtId="0" fontId="21" fillId="0" borderId="0" xfId="0" applyFont="1" applyAlignment="1">
      <alignment horizontal="center" vertical="center"/>
    </xf>
    <xf numFmtId="11" fontId="15" fillId="0" borderId="0" xfId="0" applyNumberFormat="1" applyFont="1" applyAlignment="1">
      <alignment horizontal="center" vertical="center"/>
    </xf>
    <xf numFmtId="0" fontId="25" fillId="0" borderId="0" xfId="1" applyFont="1" applyAlignment="1">
      <alignment horizontal="left" vertical="center"/>
    </xf>
    <xf numFmtId="166" fontId="19" fillId="2" borderId="0" xfId="0" applyNumberFormat="1" applyFont="1" applyFill="1" applyBorder="1" applyAlignment="1">
      <alignment horizontal="center"/>
    </xf>
    <xf numFmtId="166" fontId="14" fillId="0" borderId="0" xfId="0" applyNumberFormat="1" applyFont="1" applyAlignment="1">
      <alignment horizontal="center"/>
    </xf>
    <xf numFmtId="166" fontId="15" fillId="3" borderId="0" xfId="0" applyNumberFormat="1" applyFont="1" applyFill="1" applyAlignment="1">
      <alignment horizontal="center"/>
    </xf>
    <xf numFmtId="2" fontId="26" fillId="2" borderId="0" xfId="0" applyNumberFormat="1" applyFont="1" applyFill="1" applyBorder="1" applyAlignment="1">
      <alignment horizontal="center"/>
    </xf>
    <xf numFmtId="168" fontId="26" fillId="3" borderId="0" xfId="0" applyNumberFormat="1" applyFont="1" applyFill="1" applyAlignment="1">
      <alignment horizontal="center"/>
    </xf>
    <xf numFmtId="165" fontId="15" fillId="0" borderId="0" xfId="0" applyNumberFormat="1" applyFont="1" applyAlignment="1">
      <alignment horizontal="center"/>
    </xf>
    <xf numFmtId="0" fontId="19" fillId="4" borderId="0" xfId="0" applyFont="1" applyFill="1" applyAlignment="1">
      <alignment horizontal="center"/>
    </xf>
    <xf numFmtId="11" fontId="15" fillId="0" borderId="0" xfId="0" applyNumberFormat="1" applyFont="1" applyAlignment="1">
      <alignment horizontal="center"/>
    </xf>
    <xf numFmtId="165" fontId="26" fillId="4" borderId="0" xfId="0" applyNumberFormat="1" applyFont="1" applyFill="1" applyAlignment="1">
      <alignment horizontal="center"/>
    </xf>
    <xf numFmtId="2" fontId="15" fillId="0" borderId="0" xfId="0" applyNumberFormat="1" applyFont="1" applyAlignment="1">
      <alignment horizontal="center" vertical="center"/>
    </xf>
    <xf numFmtId="0" fontId="26" fillId="0" borderId="0" xfId="0" applyFont="1" applyAlignment="1">
      <alignment horizontal="left"/>
    </xf>
    <xf numFmtId="0" fontId="15" fillId="0" borderId="0" xfId="0" applyFont="1" applyAlignment="1">
      <alignment vertical="center" wrapText="1"/>
    </xf>
    <xf numFmtId="169" fontId="15" fillId="0" borderId="0" xfId="0" applyNumberFormat="1" applyFont="1" applyAlignment="1">
      <alignment horizontal="center"/>
    </xf>
    <xf numFmtId="0" fontId="20" fillId="4" borderId="0" xfId="0" applyFont="1" applyFill="1" applyAlignment="1">
      <alignment horizontal="center"/>
    </xf>
    <xf numFmtId="2" fontId="15" fillId="4" borderId="0" xfId="0" applyNumberFormat="1" applyFont="1" applyFill="1" applyAlignment="1">
      <alignment horizontal="center"/>
    </xf>
    <xf numFmtId="11" fontId="20" fillId="0" borderId="0" xfId="0" applyNumberFormat="1" applyFont="1" applyBorder="1" applyAlignment="1">
      <alignment horizontal="center" vertical="center" wrapText="1"/>
    </xf>
    <xf numFmtId="0" fontId="15"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xf>
    <xf numFmtId="11" fontId="2" fillId="0" borderId="0" xfId="0" applyNumberFormat="1" applyFont="1" applyAlignment="1">
      <alignment horizontal="center" vertical="center"/>
    </xf>
    <xf numFmtId="0" fontId="2" fillId="0" borderId="0" xfId="0" applyFont="1" applyAlignment="1">
      <alignment horizontal="center" vertical="center" wrapText="1"/>
    </xf>
    <xf numFmtId="0" fontId="6" fillId="0" borderId="0" xfId="0" applyFont="1" applyAlignment="1">
      <alignment horizontal="center" vertical="center" wrapText="1"/>
    </xf>
    <xf numFmtId="0" fontId="27" fillId="0" borderId="0" xfId="0" applyFont="1" applyAlignment="1">
      <alignment horizontal="center" vertical="center" wrapText="1"/>
    </xf>
    <xf numFmtId="11" fontId="6" fillId="0" borderId="0" xfId="0" applyNumberFormat="1" applyFont="1" applyAlignment="1">
      <alignment horizontal="center" vertical="center" wrapText="1"/>
    </xf>
    <xf numFmtId="2" fontId="6" fillId="0" borderId="1" xfId="0" applyNumberFormat="1" applyFont="1" applyBorder="1" applyAlignment="1">
      <alignment horizontal="center" vertical="center" wrapText="1"/>
    </xf>
    <xf numFmtId="11" fontId="6" fillId="0" borderId="1" xfId="0" applyNumberFormat="1" applyFont="1" applyBorder="1" applyAlignment="1">
      <alignment horizontal="center" vertical="center" wrapText="1"/>
    </xf>
    <xf numFmtId="166" fontId="6" fillId="0" borderId="0" xfId="0" applyNumberFormat="1" applyFont="1" applyAlignment="1">
      <alignment horizontal="center" vertical="center" wrapText="1"/>
    </xf>
    <xf numFmtId="165" fontId="6" fillId="0" borderId="0" xfId="0" applyNumberFormat="1" applyFont="1" applyAlignment="1">
      <alignment horizontal="center" vertical="center" wrapText="1"/>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left" vertical="center"/>
    </xf>
    <xf numFmtId="0" fontId="8" fillId="0" borderId="0" xfId="0" applyFont="1" applyAlignment="1">
      <alignment horizontal="center" vertical="center" wrapText="1"/>
    </xf>
    <xf numFmtId="165" fontId="8" fillId="0" borderId="0" xfId="0" applyNumberFormat="1" applyFont="1" applyAlignment="1">
      <alignment horizontal="center" vertical="center" wrapText="1"/>
    </xf>
    <xf numFmtId="11" fontId="8" fillId="0" borderId="0" xfId="0" applyNumberFormat="1" applyFont="1" applyAlignment="1">
      <alignment horizontal="center" vertical="center" wrapText="1"/>
    </xf>
    <xf numFmtId="2" fontId="8" fillId="0" borderId="1" xfId="0" applyNumberFormat="1" applyFont="1" applyBorder="1" applyAlignment="1">
      <alignment horizontal="center" vertical="center" wrapText="1"/>
    </xf>
    <xf numFmtId="11" fontId="8" fillId="0" borderId="1" xfId="0" applyNumberFormat="1" applyFont="1" applyBorder="1" applyAlignment="1">
      <alignment horizontal="center" vertical="center" wrapText="1"/>
    </xf>
    <xf numFmtId="166" fontId="8" fillId="0" borderId="1" xfId="0" applyNumberFormat="1" applyFont="1" applyBorder="1" applyAlignment="1">
      <alignment horizontal="center" vertical="center" wrapText="1"/>
    </xf>
    <xf numFmtId="166" fontId="8" fillId="0" borderId="0" xfId="0" applyNumberFormat="1" applyFont="1" applyAlignment="1">
      <alignment horizontal="center" vertical="center" wrapText="1"/>
    </xf>
    <xf numFmtId="0" fontId="8" fillId="0" borderId="1" xfId="0" applyFont="1" applyBorder="1" applyAlignment="1">
      <alignment horizontal="center" vertical="center" wrapText="1"/>
    </xf>
    <xf numFmtId="0" fontId="30" fillId="0" borderId="0" xfId="1" applyFont="1" applyAlignment="1">
      <alignment horizontal="left" vertical="center"/>
    </xf>
    <xf numFmtId="0" fontId="1" fillId="0" borderId="0" xfId="0" applyFont="1" applyAlignment="1">
      <alignment horizontal="center" vertical="center" wrapText="1"/>
    </xf>
    <xf numFmtId="0" fontId="1" fillId="10" borderId="0" xfId="0" applyFont="1" applyFill="1" applyAlignment="1">
      <alignment horizontal="center" vertical="center" wrapText="1"/>
    </xf>
    <xf numFmtId="165" fontId="1" fillId="10" borderId="0" xfId="0" applyNumberFormat="1" applyFont="1" applyFill="1" applyAlignment="1">
      <alignment horizontal="center" vertical="center" wrapText="1"/>
    </xf>
    <xf numFmtId="11" fontId="1" fillId="10" borderId="0" xfId="0" applyNumberFormat="1" applyFont="1" applyFill="1" applyAlignment="1">
      <alignment horizontal="center" vertical="center" wrapText="1"/>
    </xf>
    <xf numFmtId="2" fontId="1" fillId="10" borderId="1" xfId="0" applyNumberFormat="1" applyFont="1" applyFill="1" applyBorder="1" applyAlignment="1">
      <alignment horizontal="center" vertical="center" wrapText="1"/>
    </xf>
    <xf numFmtId="11" fontId="1" fillId="10" borderId="1" xfId="0" applyNumberFormat="1" applyFont="1" applyFill="1" applyBorder="1" applyAlignment="1">
      <alignment horizontal="center" vertical="center" wrapText="1"/>
    </xf>
    <xf numFmtId="165" fontId="1" fillId="10" borderId="1" xfId="0" applyNumberFormat="1" applyFont="1" applyFill="1" applyBorder="1" applyAlignment="1">
      <alignment horizontal="center" vertical="center" wrapText="1"/>
    </xf>
    <xf numFmtId="166" fontId="1" fillId="10" borderId="0" xfId="0" applyNumberFormat="1" applyFont="1" applyFill="1" applyAlignment="1">
      <alignment horizontal="center" vertical="center" wrapText="1"/>
    </xf>
    <xf numFmtId="0" fontId="1" fillId="10" borderId="1" xfId="0" applyFont="1" applyFill="1" applyBorder="1" applyAlignment="1">
      <alignment horizontal="center" vertical="center" wrapText="1"/>
    </xf>
    <xf numFmtId="0" fontId="1" fillId="0" borderId="0" xfId="0" applyFont="1" applyFill="1" applyAlignment="1">
      <alignment horizontal="center" vertical="center" wrapText="1"/>
    </xf>
    <xf numFmtId="165" fontId="1" fillId="0" borderId="0" xfId="0" applyNumberFormat="1" applyFont="1" applyFill="1" applyAlignment="1">
      <alignment horizontal="center" vertical="center" wrapText="1"/>
    </xf>
    <xf numFmtId="11" fontId="1" fillId="0" borderId="0" xfId="0" applyNumberFormat="1" applyFont="1" applyFill="1" applyAlignment="1">
      <alignment horizontal="center" vertical="center" wrapText="1"/>
    </xf>
    <xf numFmtId="2" fontId="1" fillId="0" borderId="1" xfId="0" applyNumberFormat="1" applyFont="1" applyFill="1" applyBorder="1" applyAlignment="1">
      <alignment horizontal="center" vertical="center" wrapText="1"/>
    </xf>
    <xf numFmtId="11" fontId="1" fillId="0" borderId="0" xfId="0" applyNumberFormat="1" applyFont="1" applyAlignment="1">
      <alignment horizontal="center" vertical="center" wrapText="1"/>
    </xf>
    <xf numFmtId="11" fontId="1" fillId="0" borderId="1" xfId="0" applyNumberFormat="1" applyFont="1" applyBorder="1" applyAlignment="1">
      <alignment horizontal="center" vertical="center" wrapText="1"/>
    </xf>
    <xf numFmtId="165" fontId="1" fillId="0" borderId="0" xfId="0" applyNumberFormat="1" applyFont="1" applyAlignment="1">
      <alignment horizontal="center" vertical="center" wrapText="1"/>
    </xf>
    <xf numFmtId="165" fontId="1" fillId="0" borderId="1" xfId="0" applyNumberFormat="1" applyFont="1" applyBorder="1" applyAlignment="1">
      <alignment horizontal="center" vertical="center" wrapText="1"/>
    </xf>
    <xf numFmtId="166" fontId="1" fillId="0" borderId="0" xfId="0" applyNumberFormat="1" applyFont="1" applyAlignment="1">
      <alignment horizontal="center" vertical="center" wrapText="1"/>
    </xf>
    <xf numFmtId="11" fontId="1" fillId="0" borderId="1" xfId="0" applyNumberFormat="1" applyFont="1" applyFill="1" applyBorder="1" applyAlignment="1">
      <alignment horizontal="center" vertical="center" wrapText="1"/>
    </xf>
    <xf numFmtId="166" fontId="1" fillId="0" borderId="0" xfId="0" applyNumberFormat="1" applyFont="1" applyFill="1" applyAlignment="1">
      <alignment horizontal="center" vertical="center" wrapText="1"/>
    </xf>
    <xf numFmtId="0" fontId="1" fillId="0" borderId="1" xfId="0" applyFont="1" applyFill="1" applyBorder="1" applyAlignment="1">
      <alignment horizontal="center" vertical="center" wrapText="1"/>
    </xf>
    <xf numFmtId="0" fontId="28" fillId="0" borderId="0" xfId="0" applyFont="1" applyAlignment="1">
      <alignment horizontal="center" vertical="center"/>
    </xf>
    <xf numFmtId="0" fontId="0" fillId="0" borderId="1" xfId="0" applyBorder="1"/>
    <xf numFmtId="2" fontId="1" fillId="0" borderId="0" xfId="0" applyNumberFormat="1" applyFont="1" applyAlignment="1">
      <alignment horizontal="center" vertical="center" wrapText="1"/>
    </xf>
    <xf numFmtId="0" fontId="31" fillId="0" borderId="0" xfId="0" applyFont="1" applyAlignment="1">
      <alignment horizontal="center" vertical="center"/>
    </xf>
    <xf numFmtId="0" fontId="1" fillId="0" borderId="0" xfId="0" applyFont="1" applyAlignment="1">
      <alignment horizontal="left" vertical="center"/>
    </xf>
    <xf numFmtId="0" fontId="13" fillId="0" borderId="0" xfId="1" applyAlignment="1">
      <alignment horizontal="left" vertical="center"/>
    </xf>
    <xf numFmtId="11" fontId="1" fillId="0" borderId="0" xfId="0" quotePrefix="1" applyNumberFormat="1" applyFont="1" applyAlignment="1">
      <alignment horizontal="center" vertical="center" wrapText="1"/>
    </xf>
    <xf numFmtId="0" fontId="30" fillId="0" borderId="0" xfId="1" applyFont="1" applyAlignment="1">
      <alignment horizontal="center" vertical="center" wrapText="1"/>
    </xf>
    <xf numFmtId="0" fontId="1" fillId="0" borderId="0" xfId="0" applyFont="1" applyAlignment="1">
      <alignment horizontal="center"/>
    </xf>
    <xf numFmtId="2" fontId="1" fillId="0" borderId="0" xfId="0" applyNumberFormat="1" applyFont="1" applyAlignment="1">
      <alignment horizontal="center"/>
    </xf>
    <xf numFmtId="2" fontId="1" fillId="0" borderId="1" xfId="0" applyNumberFormat="1" applyFont="1" applyBorder="1" applyAlignment="1">
      <alignment horizontal="center" vertical="center" wrapText="1"/>
    </xf>
    <xf numFmtId="0" fontId="5" fillId="0" borderId="1" xfId="0" applyFont="1" applyBorder="1" applyAlignment="1">
      <alignment horizontal="center"/>
    </xf>
    <xf numFmtId="0" fontId="1" fillId="0" borderId="0" xfId="0" applyFont="1" applyFill="1" applyAlignment="1">
      <alignment horizontal="center" vertical="center"/>
    </xf>
    <xf numFmtId="0" fontId="1" fillId="0" borderId="0" xfId="0" applyFont="1" applyFill="1" applyAlignment="1">
      <alignment horizontal="left" vertical="center"/>
    </xf>
    <xf numFmtId="0" fontId="2" fillId="0" borderId="0" xfId="0" applyFont="1" applyFill="1" applyAlignment="1">
      <alignment horizontal="center" vertical="center"/>
    </xf>
    <xf numFmtId="11" fontId="2" fillId="0" borderId="0" xfId="0" applyNumberFormat="1" applyFont="1" applyFill="1" applyAlignment="1">
      <alignment horizontal="center" vertical="center"/>
    </xf>
    <xf numFmtId="166" fontId="1" fillId="0" borderId="1" xfId="0" applyNumberFormat="1" applyFont="1" applyBorder="1" applyAlignment="1">
      <alignment horizontal="center" vertical="center" wrapText="1"/>
    </xf>
    <xf numFmtId="0" fontId="25" fillId="0" borderId="0" xfId="1" applyFont="1"/>
    <xf numFmtId="0" fontId="1" fillId="11" borderId="0" xfId="0" applyFont="1" applyFill="1" applyAlignment="1">
      <alignment horizontal="center" vertical="center" wrapText="1"/>
    </xf>
    <xf numFmtId="165" fontId="1" fillId="11" borderId="0" xfId="0" applyNumberFormat="1" applyFont="1" applyFill="1" applyAlignment="1">
      <alignment horizontal="center" vertical="center" wrapText="1"/>
    </xf>
    <xf numFmtId="11" fontId="1" fillId="11" borderId="0" xfId="0" applyNumberFormat="1" applyFont="1" applyFill="1" applyAlignment="1">
      <alignment horizontal="center" vertical="center" wrapText="1"/>
    </xf>
    <xf numFmtId="2" fontId="1" fillId="11" borderId="1" xfId="0" applyNumberFormat="1" applyFont="1" applyFill="1" applyBorder="1" applyAlignment="1">
      <alignment horizontal="center" vertical="center" wrapText="1"/>
    </xf>
    <xf numFmtId="11" fontId="1" fillId="11" borderId="1" xfId="0" applyNumberFormat="1" applyFont="1" applyFill="1" applyBorder="1" applyAlignment="1">
      <alignment horizontal="center" vertical="center" wrapText="1"/>
    </xf>
    <xf numFmtId="166" fontId="1" fillId="11" borderId="1" xfId="0" applyNumberFormat="1" applyFont="1" applyFill="1" applyBorder="1" applyAlignment="1">
      <alignment horizontal="center" vertical="center" wrapText="1"/>
    </xf>
    <xf numFmtId="166" fontId="1" fillId="11" borderId="0" xfId="0" applyNumberFormat="1" applyFont="1" applyFill="1" applyAlignment="1">
      <alignment horizontal="center" vertical="center" wrapText="1"/>
    </xf>
    <xf numFmtId="0" fontId="1" fillId="11" borderId="1" xfId="0" applyFont="1" applyFill="1" applyBorder="1" applyAlignment="1">
      <alignment horizontal="center" vertical="center" wrapText="1"/>
    </xf>
    <xf numFmtId="0" fontId="1" fillId="11" borderId="0" xfId="0" applyFont="1" applyFill="1"/>
    <xf numFmtId="0" fontId="1" fillId="11" borderId="0" xfId="0" applyFont="1" applyFill="1" applyAlignment="1">
      <alignment horizontal="center"/>
    </xf>
    <xf numFmtId="0" fontId="0" fillId="11" borderId="0" xfId="0" applyFill="1"/>
    <xf numFmtId="0" fontId="1" fillId="11" borderId="1" xfId="0" applyFont="1" applyFill="1" applyBorder="1" applyAlignment="1">
      <alignment horizontal="left"/>
    </xf>
    <xf numFmtId="0" fontId="1" fillId="11" borderId="1" xfId="0" applyFont="1" applyFill="1" applyBorder="1" applyAlignment="1">
      <alignment horizontal="center"/>
    </xf>
    <xf numFmtId="0" fontId="1" fillId="11" borderId="0" xfId="0" applyFont="1" applyFill="1" applyAlignment="1">
      <alignment horizontal="left" vertical="center"/>
    </xf>
    <xf numFmtId="165" fontId="1" fillId="11" borderId="1" xfId="0" applyNumberFormat="1" applyFont="1" applyFill="1" applyBorder="1" applyAlignment="1">
      <alignment horizontal="center" vertical="center" wrapText="1"/>
    </xf>
    <xf numFmtId="0" fontId="8" fillId="11" borderId="0" xfId="0" applyFont="1" applyFill="1"/>
    <xf numFmtId="165" fontId="1" fillId="11" borderId="0" xfId="0" applyNumberFormat="1" applyFont="1" applyFill="1" applyAlignment="1">
      <alignment horizontal="center"/>
    </xf>
    <xf numFmtId="0" fontId="1" fillId="11" borderId="0" xfId="0" quotePrefix="1" applyFont="1" applyFill="1" applyAlignment="1">
      <alignment horizontal="center" vertical="center" wrapText="1"/>
    </xf>
    <xf numFmtId="2" fontId="1" fillId="11" borderId="0" xfId="0" applyNumberFormat="1" applyFont="1" applyFill="1" applyAlignment="1">
      <alignment horizontal="center"/>
    </xf>
    <xf numFmtId="0" fontId="1" fillId="11" borderId="0" xfId="0" applyFont="1" applyFill="1" applyBorder="1" applyAlignment="1">
      <alignment horizontal="right"/>
    </xf>
    <xf numFmtId="0" fontId="5" fillId="11" borderId="1" xfId="0" applyFont="1" applyFill="1" applyBorder="1" applyAlignment="1">
      <alignment horizontal="center"/>
    </xf>
    <xf numFmtId="0" fontId="1" fillId="11" borderId="0" xfId="0" applyFont="1" applyFill="1" applyAlignment="1">
      <alignment vertical="center" wrapText="1"/>
    </xf>
    <xf numFmtId="0" fontId="1" fillId="11" borderId="1" xfId="0" applyFont="1" applyFill="1" applyBorder="1" applyAlignment="1">
      <alignment vertical="center" wrapText="1"/>
    </xf>
    <xf numFmtId="3" fontId="1" fillId="11" borderId="0" xfId="0" applyNumberFormat="1" applyFont="1" applyFill="1" applyAlignment="1">
      <alignment horizontal="center" vertical="center" wrapText="1"/>
    </xf>
    <xf numFmtId="165" fontId="1" fillId="11" borderId="0" xfId="0" applyNumberFormat="1" applyFont="1" applyFill="1" applyBorder="1" applyAlignment="1">
      <alignment horizontal="center" vertical="center" wrapText="1"/>
    </xf>
    <xf numFmtId="2" fontId="8" fillId="11" borderId="0" xfId="0" applyNumberFormat="1" applyFont="1" applyFill="1" applyAlignment="1">
      <alignment horizontal="center" vertical="center" wrapText="1"/>
    </xf>
    <xf numFmtId="0" fontId="0" fillId="11" borderId="1" xfId="0" applyFill="1" applyBorder="1"/>
    <xf numFmtId="165" fontId="32" fillId="11" borderId="0" xfId="0" applyNumberFormat="1" applyFont="1" applyFill="1" applyBorder="1" applyAlignment="1">
      <alignment horizontal="center" vertical="center" wrapText="1"/>
    </xf>
    <xf numFmtId="2" fontId="33" fillId="11" borderId="0" xfId="0" applyNumberFormat="1" applyFont="1" applyFill="1" applyAlignment="1">
      <alignment horizontal="center" vertical="center" wrapText="1"/>
    </xf>
    <xf numFmtId="0" fontId="1" fillId="11" borderId="2" xfId="0" applyFont="1" applyFill="1" applyBorder="1" applyAlignment="1">
      <alignment vertical="center"/>
    </xf>
    <xf numFmtId="0" fontId="1" fillId="11" borderId="0" xfId="0" applyFont="1" applyFill="1" applyAlignment="1">
      <alignment vertical="center"/>
    </xf>
    <xf numFmtId="0" fontId="1" fillId="11" borderId="1" xfId="0" applyFont="1" applyFill="1" applyBorder="1" applyAlignment="1">
      <alignment vertical="center"/>
    </xf>
    <xf numFmtId="0" fontId="1" fillId="0" borderId="3" xfId="0" applyFont="1" applyBorder="1"/>
    <xf numFmtId="0" fontId="1" fillId="0" borderId="4" xfId="0" applyFont="1" applyBorder="1"/>
    <xf numFmtId="0" fontId="1" fillId="0" borderId="8" xfId="0" applyFont="1" applyBorder="1"/>
    <xf numFmtId="0" fontId="1" fillId="0" borderId="7" xfId="0" applyFont="1" applyBorder="1" applyAlignment="1">
      <alignment horizontal="center"/>
    </xf>
    <xf numFmtId="0" fontId="6" fillId="0" borderId="0" xfId="0" applyFont="1" applyAlignment="1">
      <alignment vertical="center" wrapText="1"/>
    </xf>
    <xf numFmtId="0" fontId="9" fillId="0" borderId="0" xfId="0" applyFont="1" applyAlignment="1">
      <alignment vertical="center" wrapText="1"/>
    </xf>
    <xf numFmtId="0" fontId="7" fillId="0" borderId="0" xfId="0" applyFont="1" applyBorder="1" applyAlignment="1">
      <alignment vertical="center" wrapText="1"/>
    </xf>
    <xf numFmtId="0" fontId="1" fillId="0" borderId="0" xfId="0" applyFont="1" applyBorder="1" applyAlignment="1">
      <alignment vertical="center" wrapText="1"/>
    </xf>
    <xf numFmtId="164" fontId="1" fillId="0" borderId="0" xfId="0" applyNumberFormat="1" applyFont="1" applyBorder="1" applyAlignment="1">
      <alignment horizontal="center" vertical="center"/>
    </xf>
    <xf numFmtId="0" fontId="1" fillId="0" borderId="0" xfId="0" applyFont="1" applyBorder="1" applyAlignment="1"/>
    <xf numFmtId="164" fontId="8" fillId="0" borderId="0" xfId="0" applyNumberFormat="1" applyFont="1" applyBorder="1" applyAlignment="1">
      <alignment horizontal="center"/>
    </xf>
    <xf numFmtId="0" fontId="6" fillId="0" borderId="0" xfId="0" applyFont="1" applyBorder="1" applyAlignment="1">
      <alignment vertical="center" wrapText="1"/>
    </xf>
    <xf numFmtId="0" fontId="1" fillId="0" borderId="0" xfId="0" applyFont="1" applyBorder="1" applyAlignment="1">
      <alignment vertical="center"/>
    </xf>
    <xf numFmtId="2" fontId="1" fillId="0" borderId="11" xfId="0" applyNumberFormat="1" applyFont="1" applyBorder="1" applyAlignment="1">
      <alignment horizontal="center"/>
    </xf>
    <xf numFmtId="167" fontId="1" fillId="0" borderId="11" xfId="0" applyNumberFormat="1" applyFont="1" applyBorder="1" applyAlignment="1">
      <alignment horizontal="center"/>
    </xf>
    <xf numFmtId="164" fontId="1" fillId="0" borderId="11" xfId="0" applyNumberFormat="1" applyFont="1" applyBorder="1" applyAlignment="1">
      <alignment horizontal="center"/>
    </xf>
    <xf numFmtId="0" fontId="1" fillId="0" borderId="11" xfId="0" applyFont="1" applyBorder="1"/>
    <xf numFmtId="0" fontId="1" fillId="0" borderId="12" xfId="0" applyFont="1" applyBorder="1"/>
    <xf numFmtId="164" fontId="1" fillId="0" borderId="13" xfId="0" applyNumberFormat="1" applyFont="1" applyBorder="1" applyAlignment="1">
      <alignment horizontal="center"/>
    </xf>
    <xf numFmtId="2" fontId="1" fillId="0" borderId="14" xfId="0" applyNumberFormat="1" applyFont="1" applyBorder="1" applyAlignment="1">
      <alignment horizontal="center"/>
    </xf>
    <xf numFmtId="167" fontId="1" fillId="0" borderId="14" xfId="0" applyNumberFormat="1" applyFont="1" applyBorder="1" applyAlignment="1">
      <alignment horizontal="center"/>
    </xf>
    <xf numFmtId="165" fontId="1" fillId="0" borderId="14" xfId="0" applyNumberFormat="1" applyFont="1" applyBorder="1" applyAlignment="1">
      <alignment horizontal="center"/>
    </xf>
    <xf numFmtId="164" fontId="1" fillId="0" borderId="16" xfId="0" applyNumberFormat="1" applyFont="1" applyBorder="1" applyAlignment="1">
      <alignment horizont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164" fontId="1" fillId="0" borderId="20" xfId="0" applyNumberFormat="1" applyFont="1" applyBorder="1" applyAlignment="1">
      <alignment horizontal="center"/>
    </xf>
    <xf numFmtId="0" fontId="1" fillId="0" borderId="20" xfId="0" applyFont="1" applyBorder="1"/>
    <xf numFmtId="0" fontId="1" fillId="0" borderId="6" xfId="0" applyFont="1" applyBorder="1"/>
    <xf numFmtId="164" fontId="1" fillId="0" borderId="6" xfId="0" applyNumberFormat="1" applyFont="1" applyBorder="1" applyAlignment="1">
      <alignment horizontal="center"/>
    </xf>
    <xf numFmtId="164" fontId="1" fillId="0" borderId="4" xfId="0" applyNumberFormat="1" applyFont="1" applyBorder="1" applyAlignment="1">
      <alignment horizontal="center"/>
    </xf>
    <xf numFmtId="164" fontId="8" fillId="0" borderId="4" xfId="0" applyNumberFormat="1" applyFont="1" applyBorder="1" applyAlignment="1">
      <alignment horizontal="center"/>
    </xf>
    <xf numFmtId="0" fontId="1" fillId="0" borderId="21"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0"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165" fontId="1" fillId="0" borderId="16" xfId="0" applyNumberFormat="1" applyFont="1" applyBorder="1" applyAlignment="1">
      <alignment horizontal="center"/>
    </xf>
    <xf numFmtId="0" fontId="1" fillId="0" borderId="16" xfId="0" applyFont="1" applyBorder="1"/>
    <xf numFmtId="0" fontId="1" fillId="0" borderId="17" xfId="0" applyFont="1" applyBorder="1"/>
    <xf numFmtId="0" fontId="1" fillId="0" borderId="24" xfId="0" applyFont="1" applyBorder="1" applyAlignment="1">
      <alignment horizontal="center" vertical="center"/>
    </xf>
    <xf numFmtId="165" fontId="1" fillId="0" borderId="15" xfId="0" applyNumberFormat="1" applyFont="1" applyBorder="1" applyAlignment="1">
      <alignment horizontal="center"/>
    </xf>
    <xf numFmtId="165" fontId="1" fillId="0" borderId="1" xfId="0" applyNumberFormat="1" applyFont="1" applyBorder="1" applyAlignment="1">
      <alignment horizontal="center"/>
    </xf>
    <xf numFmtId="164" fontId="32" fillId="0" borderId="0" xfId="0" applyNumberFormat="1" applyFont="1" applyBorder="1" applyAlignment="1">
      <alignment horizontal="center"/>
    </xf>
    <xf numFmtId="164" fontId="8" fillId="0" borderId="1" xfId="0" applyNumberFormat="1" applyFont="1" applyBorder="1" applyAlignment="1">
      <alignment horizontal="center"/>
    </xf>
    <xf numFmtId="164" fontId="32" fillId="0" borderId="0" xfId="0" applyNumberFormat="1" applyFont="1" applyAlignment="1">
      <alignment horizontal="center"/>
    </xf>
    <xf numFmtId="164" fontId="34" fillId="0" borderId="2" xfId="0" applyNumberFormat="1" applyFont="1" applyBorder="1" applyAlignment="1">
      <alignment horizontal="center"/>
    </xf>
    <xf numFmtId="168" fontId="1" fillId="0" borderId="6" xfId="0" applyNumberFormat="1" applyFont="1" applyBorder="1" applyAlignment="1">
      <alignment horizontal="center" vertical="center"/>
    </xf>
    <xf numFmtId="168" fontId="1" fillId="0" borderId="1" xfId="0" applyNumberFormat="1" applyFont="1" applyBorder="1" applyAlignment="1">
      <alignment horizontal="center" vertical="center"/>
    </xf>
    <xf numFmtId="2" fontId="1" fillId="0" borderId="0" xfId="0" applyNumberFormat="1" applyFont="1" applyAlignment="1">
      <alignment horizontal="center" vertical="center"/>
    </xf>
    <xf numFmtId="2" fontId="1" fillId="0" borderId="1" xfId="0" applyNumberFormat="1" applyFont="1" applyBorder="1" applyAlignment="1">
      <alignment horizontal="center" vertical="center"/>
    </xf>
    <xf numFmtId="2" fontId="1" fillId="0" borderId="0" xfId="0" applyNumberFormat="1" applyFont="1" applyBorder="1" applyAlignment="1">
      <alignment horizontal="center" vertical="center"/>
    </xf>
    <xf numFmtId="164" fontId="1" fillId="0" borderId="7" xfId="0" applyNumberFormat="1" applyFont="1" applyBorder="1" applyAlignment="1">
      <alignment horizontal="center"/>
    </xf>
    <xf numFmtId="165" fontId="8" fillId="0" borderId="1" xfId="0" applyNumberFormat="1" applyFont="1" applyBorder="1" applyAlignment="1">
      <alignment horizontal="center"/>
    </xf>
    <xf numFmtId="165" fontId="8" fillId="0" borderId="0" xfId="0" applyNumberFormat="1" applyFont="1" applyBorder="1" applyAlignment="1">
      <alignment horizontal="center"/>
    </xf>
    <xf numFmtId="0" fontId="1" fillId="0" borderId="0" xfId="0" applyFont="1" applyAlignment="1">
      <alignment horizontal="left" vertical="center" wrapText="1"/>
    </xf>
    <xf numFmtId="0" fontId="6" fillId="0" borderId="0" xfId="0" applyFont="1" applyAlignment="1">
      <alignment horizontal="left" vertical="center" wrapText="1"/>
    </xf>
    <xf numFmtId="164" fontId="1" fillId="0" borderId="2" xfId="0" applyNumberFormat="1" applyFont="1" applyBorder="1" applyAlignment="1">
      <alignment horizontal="center"/>
    </xf>
    <xf numFmtId="164" fontId="1" fillId="0" borderId="0" xfId="0" applyNumberFormat="1" applyFont="1" applyBorder="1" applyAlignment="1">
      <alignment horizontal="center"/>
    </xf>
    <xf numFmtId="164" fontId="1" fillId="0" borderId="1" xfId="0" applyNumberFormat="1" applyFont="1" applyBorder="1" applyAlignment="1">
      <alignment horizont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wrapText="1"/>
    </xf>
    <xf numFmtId="0" fontId="1" fillId="0" borderId="0" xfId="0" applyFont="1" applyBorder="1" applyAlignment="1">
      <alignment horizontal="center" wrapText="1"/>
    </xf>
    <xf numFmtId="0" fontId="1" fillId="0" borderId="1" xfId="0" applyFont="1" applyBorder="1" applyAlignment="1">
      <alignment horizontal="center" wrapText="1"/>
    </xf>
    <xf numFmtId="0" fontId="9" fillId="0" borderId="0" xfId="0" applyFont="1" applyAlignment="1">
      <alignment horizontal="left"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Border="1" applyAlignment="1">
      <alignment horizontal="center" vertical="center" wrapText="1"/>
    </xf>
    <xf numFmtId="165" fontId="20" fillId="0" borderId="0" xfId="0" applyNumberFormat="1" applyFont="1" applyBorder="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xf>
    <xf numFmtId="166" fontId="6" fillId="0" borderId="1" xfId="0" applyNumberFormat="1" applyFont="1" applyBorder="1" applyAlignment="1">
      <alignment horizontal="center" vertical="center" wrapText="1"/>
    </xf>
    <xf numFmtId="0" fontId="1" fillId="0" borderId="0" xfId="0" applyFont="1" applyAlignment="1">
      <alignment horizontal="center" vertical="center" wrapText="1"/>
    </xf>
    <xf numFmtId="0" fontId="1" fillId="11" borderId="0" xfId="0" applyFont="1" applyFill="1" applyAlignment="1">
      <alignment horizontal="left" vertical="center" wrapText="1"/>
    </xf>
    <xf numFmtId="0" fontId="1" fillId="11" borderId="1" xfId="0" applyFont="1" applyFill="1" applyBorder="1" applyAlignment="1">
      <alignment horizontal="left" vertical="center" wrapText="1"/>
    </xf>
    <xf numFmtId="0" fontId="1" fillId="11" borderId="0" xfId="0" applyFont="1" applyFill="1" applyAlignment="1">
      <alignment horizontal="center" vertical="center" wrapText="1"/>
    </xf>
    <xf numFmtId="0" fontId="1" fillId="11" borderId="2" xfId="0" applyFont="1" applyFill="1" applyBorder="1" applyAlignment="1">
      <alignment horizontal="left" vertical="center" wrapText="1"/>
    </xf>
    <xf numFmtId="0" fontId="1" fillId="11" borderId="0" xfId="0" applyFont="1" applyFill="1" applyBorder="1" applyAlignment="1">
      <alignment horizontal="left" vertical="center" wrapText="1"/>
    </xf>
    <xf numFmtId="166" fontId="15" fillId="0" borderId="0" xfId="0" applyNumberFormat="1" applyFont="1" applyAlignment="1">
      <alignment horizontal="left" vertical="center" wrapText="1"/>
    </xf>
    <xf numFmtId="0" fontId="14" fillId="0" borderId="0" xfId="0" applyFont="1" applyAlignment="1">
      <alignment horizontal="center" vertical="center" wrapText="1"/>
    </xf>
    <xf numFmtId="0" fontId="20" fillId="4" borderId="0" xfId="0" applyFont="1" applyFill="1" applyAlignment="1">
      <alignment horizontal="center" vertical="center" wrapText="1"/>
    </xf>
    <xf numFmtId="0" fontId="2" fillId="0" borderId="0" xfId="0" applyFont="1" applyAlignment="1">
      <alignment horizontal="left"/>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Times New Roman" panose="02020603050405020304" pitchFamily="18" charset="0"/>
                <a:cs typeface="Times New Roman" panose="02020603050405020304" pitchFamily="18" charset="0"/>
              </a:rPr>
              <a:t>Xfmr</a:t>
            </a:r>
            <a:r>
              <a:rPr lang="en-US" baseline="0">
                <a:solidFill>
                  <a:schemeClr val="tx1"/>
                </a:solidFill>
                <a:latin typeface="Times New Roman" panose="02020603050405020304" pitchFamily="18" charset="0"/>
                <a:cs typeface="Times New Roman" panose="02020603050405020304" pitchFamily="18" charset="0"/>
              </a:rPr>
              <a:t> Calibration Characteristics P = f(</a:t>
            </a:r>
            <a:r>
              <a:rPr lang="en-US" baseline="0">
                <a:solidFill>
                  <a:schemeClr val="tx1"/>
                </a:solidFill>
                <a:latin typeface="Times New Roman" panose="02020603050405020304" pitchFamily="18" charset="0"/>
                <a:cs typeface="Times New Roman" panose="02020603050405020304" pitchFamily="18" charset="0"/>
                <a:sym typeface="Symbol" panose="05050102010706020507" pitchFamily="18" charset="2"/>
              </a:rPr>
              <a:t>T/t) with linear approximation (L) of characteristics</a:t>
            </a:r>
            <a:endParaRPr lang="en-US">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itle>
    <c:autoTitleDeleted val="0"/>
    <c:plotArea>
      <c:layout/>
      <c:scatterChart>
        <c:scatterStyle val="smoothMarker"/>
        <c:varyColors val="0"/>
        <c:ser>
          <c:idx val="1"/>
          <c:order val="0"/>
          <c:tx>
            <c:strRef>
              <c:f>'DC Measurements'!$N$29</c:f>
              <c:strCache>
                <c:ptCount val="1"/>
                <c:pt idx="0">
                  <c:v>Ploss
(W)</c:v>
                </c:pt>
              </c:strCache>
            </c:strRef>
          </c:tx>
          <c:spPr>
            <a:ln>
              <a:solidFill>
                <a:schemeClr val="bg2">
                  <a:lumMod val="75000"/>
                </a:schemeClr>
              </a:solidFill>
            </a:ln>
          </c:spPr>
          <c:marker>
            <c:symbol val="none"/>
          </c:marker>
          <c:trendline>
            <c:spPr>
              <a:ln>
                <a:solidFill>
                  <a:schemeClr val="bg2">
                    <a:lumMod val="75000"/>
                  </a:schemeClr>
                </a:solidFill>
                <a:prstDash val="sysDash"/>
              </a:ln>
            </c:spPr>
            <c:trendlineType val="linear"/>
            <c:dispRSqr val="1"/>
            <c:dispEq val="1"/>
            <c:trendlineLbl>
              <c:numFmt formatCode="General" sourceLinked="0"/>
            </c:trendlineLbl>
          </c:trendline>
          <c:xVal>
            <c:numRef>
              <c:f>'DC Measurements'!$M$31:$M$35</c:f>
              <c:numCache>
                <c:formatCode>0.000</c:formatCode>
                <c:ptCount val="5"/>
                <c:pt idx="0">
                  <c:v>0</c:v>
                </c:pt>
                <c:pt idx="1">
                  <c:v>0.26999999999999991</c:v>
                </c:pt>
                <c:pt idx="2">
                  <c:v>1.0399999999999998</c:v>
                </c:pt>
                <c:pt idx="3">
                  <c:v>2.2999999999999998</c:v>
                </c:pt>
                <c:pt idx="4">
                  <c:v>4.0900000000000007</c:v>
                </c:pt>
              </c:numCache>
            </c:numRef>
          </c:xVal>
          <c:yVal>
            <c:numRef>
              <c:f>'DC Measurements'!$N$31:$N$35</c:f>
              <c:numCache>
                <c:formatCode>0.0</c:formatCode>
                <c:ptCount val="5"/>
                <c:pt idx="0" formatCode="0.00">
                  <c:v>0</c:v>
                </c:pt>
                <c:pt idx="1">
                  <c:v>0.1</c:v>
                </c:pt>
                <c:pt idx="2">
                  <c:v>0.4</c:v>
                </c:pt>
                <c:pt idx="3">
                  <c:v>1</c:v>
                </c:pt>
                <c:pt idx="4">
                  <c:v>2</c:v>
                </c:pt>
              </c:numCache>
            </c:numRef>
          </c:yVal>
          <c:smooth val="1"/>
          <c:extLst>
            <c:ext xmlns:c16="http://schemas.microsoft.com/office/drawing/2014/chart" uri="{C3380CC4-5D6E-409C-BE32-E72D297353CC}">
              <c16:uniqueId val="{0000000B-5AEE-44F4-9447-780A90049B50}"/>
            </c:ext>
          </c:extLst>
        </c:ser>
        <c:dLbls>
          <c:showLegendKey val="0"/>
          <c:showVal val="0"/>
          <c:showCatName val="0"/>
          <c:showSerName val="0"/>
          <c:showPercent val="0"/>
          <c:showBubbleSize val="0"/>
        </c:dLbls>
        <c:axId val="1236055840"/>
        <c:axId val="1372096768"/>
      </c:scatterChart>
      <c:valAx>
        <c:axId val="123605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latin typeface="Times New Roman" panose="02020603050405020304" pitchFamily="18" charset="0"/>
                    <a:cs typeface="Times New Roman" panose="02020603050405020304" pitchFamily="18" charset="0"/>
                    <a:sym typeface="Symbol" panose="05050102010706020507" pitchFamily="18" charset="2"/>
                  </a:rPr>
                  <a:t>T/</a:t>
                </a:r>
                <a:r>
                  <a:rPr lang="en-US" sz="1200" b="0" i="0" u="none" strike="noStrike" baseline="0">
                    <a:solidFill>
                      <a:schemeClr val="tx1"/>
                    </a:solidFill>
                    <a:effectLst/>
                    <a:latin typeface="Times New Roman" panose="02020603050405020304" pitchFamily="18" charset="0"/>
                    <a:cs typeface="Times New Roman" panose="02020603050405020304" pitchFamily="18" charset="0"/>
                    <a:sym typeface="Symbol" panose="05050102010706020507" pitchFamily="18" charset="2"/>
                  </a:rPr>
                  <a:t>t (C/min)</a:t>
                </a:r>
                <a:endParaRPr lang="en-US"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itle>
        <c:numFmt formatCode="0.00" sourceLinked="0"/>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96768"/>
        <c:crosses val="autoZero"/>
        <c:crossBetween val="midCat"/>
      </c:valAx>
      <c:valAx>
        <c:axId val="1372096768"/>
        <c:scaling>
          <c:orientation val="minMax"/>
          <c:max val="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latin typeface="Times New Roman" panose="02020603050405020304" pitchFamily="18" charset="0"/>
                    <a:cs typeface="Times New Roman" panose="02020603050405020304" pitchFamily="18" charset="0"/>
                  </a:rPr>
                  <a:t>P</a:t>
                </a:r>
                <a:r>
                  <a:rPr lang="en-US" sz="1000" baseline="0">
                    <a:solidFill>
                      <a:schemeClr val="tx1"/>
                    </a:solidFill>
                    <a:latin typeface="Times New Roman" panose="02020603050405020304" pitchFamily="18" charset="0"/>
                    <a:cs typeface="Times New Roman" panose="02020603050405020304" pitchFamily="18" charset="0"/>
                  </a:rPr>
                  <a:t>loss</a:t>
                </a:r>
                <a:r>
                  <a:rPr lang="en-US" sz="1200" baseline="0">
                    <a:solidFill>
                      <a:schemeClr val="tx1"/>
                    </a:solidFill>
                    <a:latin typeface="Times New Roman" panose="02020603050405020304" pitchFamily="18" charset="0"/>
                    <a:cs typeface="Times New Roman" panose="02020603050405020304" pitchFamily="18" charset="0"/>
                  </a:rPr>
                  <a:t> (W)</a:t>
                </a:r>
                <a:endParaRPr lang="en-US"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itle>
        <c:numFmt formatCode="0.00"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55840"/>
        <c:crosses val="autoZero"/>
        <c:crossBetween val="midCat"/>
        <c:minorUnit val="0.1"/>
      </c:valAx>
    </c:plotArea>
    <c:legend>
      <c:legendPos val="r"/>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ysClr val="windowText" lastClr="000000"/>
                </a:solidFill>
                <a:effectLst/>
                <a:latin typeface="Times New Roman" panose="02020603050405020304" pitchFamily="18" charset="0"/>
                <a:cs typeface="Times New Roman" panose="02020603050405020304" pitchFamily="18" charset="0"/>
              </a:rPr>
              <a:t>Xfmr Calibration Characteristics P = f(</a:t>
            </a:r>
            <a:r>
              <a:rPr lang="en-US" sz="1400" b="0" i="0" baseline="0">
                <a:solidFill>
                  <a:sysClr val="windowText" lastClr="000000"/>
                </a:solidFill>
                <a:effectLst/>
                <a:latin typeface="Times New Roman" panose="02020603050405020304" pitchFamily="18" charset="0"/>
                <a:cs typeface="Times New Roman" panose="02020603050405020304" pitchFamily="18" charset="0"/>
                <a:sym typeface="Symbol" panose="05050102010706020507" pitchFamily="18" charset="2"/>
              </a:rPr>
              <a:t></a:t>
            </a:r>
            <a:r>
              <a:rPr lang="en-US" sz="1400" b="0" i="0" baseline="0">
                <a:solidFill>
                  <a:sysClr val="windowText" lastClr="000000"/>
                </a:solidFill>
                <a:effectLst/>
                <a:latin typeface="Times New Roman" panose="02020603050405020304" pitchFamily="18" charset="0"/>
                <a:cs typeface="Times New Roman" panose="02020603050405020304" pitchFamily="18" charset="0"/>
              </a:rPr>
              <a:t>T/</a:t>
            </a:r>
            <a:r>
              <a:rPr lang="en-US" sz="1400" b="0" i="0" baseline="0">
                <a:solidFill>
                  <a:sysClr val="windowText" lastClr="000000"/>
                </a:solidFill>
                <a:effectLst/>
                <a:latin typeface="Times New Roman" panose="02020603050405020304" pitchFamily="18" charset="0"/>
                <a:cs typeface="Times New Roman" panose="02020603050405020304" pitchFamily="18" charset="0"/>
                <a:sym typeface="Symbol" panose="05050102010706020507" pitchFamily="18" charset="2"/>
              </a:rPr>
              <a:t></a:t>
            </a:r>
            <a:r>
              <a:rPr lang="en-US" sz="1400" b="0" i="0" baseline="0">
                <a:solidFill>
                  <a:sysClr val="windowText" lastClr="000000"/>
                </a:solidFill>
                <a:effectLst/>
                <a:latin typeface="Times New Roman" panose="02020603050405020304" pitchFamily="18" charset="0"/>
                <a:cs typeface="Times New Roman" panose="02020603050405020304" pitchFamily="18" charset="0"/>
              </a:rPr>
              <a:t>t) with fairly constant characteristics</a:t>
            </a:r>
            <a:endParaRPr lang="en-US" sz="11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itle>
    <c:autoTitleDeleted val="0"/>
    <c:plotArea>
      <c:layout>
        <c:manualLayout>
          <c:layoutTarget val="inner"/>
          <c:xMode val="edge"/>
          <c:yMode val="edge"/>
          <c:x val="0.11273366145961833"/>
          <c:y val="0.2229587786299809"/>
          <c:w val="0.65585168899478474"/>
          <c:h val="0.6518565968961989"/>
        </c:manualLayout>
      </c:layout>
      <c:scatterChart>
        <c:scatterStyle val="smoothMarker"/>
        <c:varyColors val="0"/>
        <c:ser>
          <c:idx val="0"/>
          <c:order val="0"/>
          <c:tx>
            <c:strRef>
              <c:f>'DC Measurements'!$N$60</c:f>
              <c:strCache>
                <c:ptCount val="1"/>
                <c:pt idx="0">
                  <c:v>Ploss
(W)</c:v>
                </c:pt>
              </c:strCache>
            </c:strRef>
          </c:tx>
          <c:spPr>
            <a:ln>
              <a:solidFill>
                <a:srgbClr val="7030A0"/>
              </a:solidFill>
            </a:ln>
          </c:spPr>
          <c:marker>
            <c:symbol val="none"/>
          </c:marker>
          <c:trendline>
            <c:spPr>
              <a:ln>
                <a:solidFill>
                  <a:srgbClr val="7030A0"/>
                </a:solidFill>
                <a:prstDash val="sysDash"/>
              </a:ln>
            </c:spPr>
            <c:trendlineType val="linear"/>
            <c:dispRSqr val="1"/>
            <c:dispEq val="1"/>
            <c:trendlineLbl>
              <c:layout>
                <c:manualLayout>
                  <c:x val="-5.1330808458830382E-2"/>
                  <c:y val="-4.0082962326057368E-2"/>
                </c:manualLayout>
              </c:layout>
              <c:numFmt formatCode="General" sourceLinked="0"/>
            </c:trendlineLbl>
          </c:trendline>
          <c:xVal>
            <c:numRef>
              <c:f>'DC Measurements'!$M$62:$M$66</c:f>
              <c:numCache>
                <c:formatCode>0.000</c:formatCode>
                <c:ptCount val="5"/>
                <c:pt idx="0">
                  <c:v>1.4999999999999857E-2</c:v>
                </c:pt>
                <c:pt idx="1">
                  <c:v>1.5000000000000213E-2</c:v>
                </c:pt>
                <c:pt idx="2">
                  <c:v>1.4999999999999857E-2</c:v>
                </c:pt>
                <c:pt idx="3">
                  <c:v>3.5000000000000142E-2</c:v>
                </c:pt>
              </c:numCache>
            </c:numRef>
          </c:xVal>
          <c:yVal>
            <c:numRef>
              <c:f>'DC Measurements'!$N$62:$N$66</c:f>
              <c:numCache>
                <c:formatCode>0.0</c:formatCode>
                <c:ptCount val="5"/>
                <c:pt idx="0">
                  <c:v>0.1</c:v>
                </c:pt>
                <c:pt idx="1">
                  <c:v>0.4</c:v>
                </c:pt>
                <c:pt idx="2">
                  <c:v>1</c:v>
                </c:pt>
                <c:pt idx="3">
                  <c:v>2</c:v>
                </c:pt>
              </c:numCache>
            </c:numRef>
          </c:yVal>
          <c:smooth val="1"/>
          <c:extLst>
            <c:ext xmlns:c16="http://schemas.microsoft.com/office/drawing/2014/chart" uri="{C3380CC4-5D6E-409C-BE32-E72D297353CC}">
              <c16:uniqueId val="{00000001-E6F8-4AB7-8790-EBFE94440110}"/>
            </c:ext>
          </c:extLst>
        </c:ser>
        <c:dLbls>
          <c:showLegendKey val="0"/>
          <c:showVal val="0"/>
          <c:showCatName val="0"/>
          <c:showSerName val="0"/>
          <c:showPercent val="0"/>
          <c:showBubbleSize val="0"/>
        </c:dLbls>
        <c:axId val="1236055840"/>
        <c:axId val="1372096768"/>
      </c:scatterChart>
      <c:valAx>
        <c:axId val="1236055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latin typeface="Times New Roman" panose="02020603050405020304" pitchFamily="18" charset="0"/>
                    <a:cs typeface="Times New Roman" panose="02020603050405020304" pitchFamily="18" charset="0"/>
                    <a:sym typeface="Symbol" panose="05050102010706020507" pitchFamily="18" charset="2"/>
                  </a:rPr>
                  <a:t>T/</a:t>
                </a:r>
                <a:r>
                  <a:rPr lang="en-US" sz="1200" b="0" i="0" u="none" strike="noStrike" baseline="0">
                    <a:solidFill>
                      <a:schemeClr val="tx1"/>
                    </a:solidFill>
                    <a:effectLst/>
                    <a:latin typeface="Times New Roman" panose="02020603050405020304" pitchFamily="18" charset="0"/>
                    <a:cs typeface="Times New Roman" panose="02020603050405020304" pitchFamily="18" charset="0"/>
                    <a:sym typeface="Symbol" panose="05050102010706020507" pitchFamily="18" charset="2"/>
                  </a:rPr>
                  <a:t>t (C/min)</a:t>
                </a:r>
                <a:endParaRPr lang="en-US"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96768"/>
        <c:crosses val="autoZero"/>
        <c:crossBetween val="midCat"/>
      </c:valAx>
      <c:valAx>
        <c:axId val="137209676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solidFill>
                    <a:latin typeface="Times New Roman" panose="02020603050405020304" pitchFamily="18" charset="0"/>
                    <a:cs typeface="Times New Roman" panose="02020603050405020304" pitchFamily="18" charset="0"/>
                  </a:rPr>
                  <a:t>P</a:t>
                </a:r>
                <a:r>
                  <a:rPr lang="en-US" sz="1000" baseline="0">
                    <a:solidFill>
                      <a:schemeClr val="tx1"/>
                    </a:solidFill>
                    <a:latin typeface="Times New Roman" panose="02020603050405020304" pitchFamily="18" charset="0"/>
                    <a:cs typeface="Times New Roman" panose="02020603050405020304" pitchFamily="18" charset="0"/>
                  </a:rPr>
                  <a:t>loss</a:t>
                </a:r>
                <a:r>
                  <a:rPr lang="en-US" sz="1200" baseline="0">
                    <a:solidFill>
                      <a:schemeClr val="tx1"/>
                    </a:solidFill>
                    <a:latin typeface="Times New Roman" panose="02020603050405020304" pitchFamily="18" charset="0"/>
                    <a:cs typeface="Times New Roman" panose="02020603050405020304" pitchFamily="18" charset="0"/>
                  </a:rPr>
                  <a:t> (W)</a:t>
                </a:r>
                <a:endParaRPr lang="en-US"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55840"/>
        <c:crosses val="autoZero"/>
        <c:crossBetween val="midCat"/>
      </c:valAx>
    </c:plotArea>
    <c:legend>
      <c:legendPos val="r"/>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ysClr val="windowText" lastClr="000000"/>
                </a:solidFill>
                <a:effectLst/>
                <a:latin typeface="Times New Roman" panose="02020603050405020304" pitchFamily="18" charset="0"/>
                <a:cs typeface="Times New Roman" panose="02020603050405020304" pitchFamily="18" charset="0"/>
              </a:rPr>
              <a:t>Heating Characteristics of Xfmr: RM7/I-N49 Core &amp; Flex PCB Windings</a:t>
            </a:r>
            <a:endParaRPr lang="en-US" sz="14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842395801263413"/>
          <c:y val="0.16774538309784032"/>
          <c:w val="0.68542469413381291"/>
          <c:h val="0.67442900929466565"/>
        </c:manualLayout>
      </c:layout>
      <c:scatterChart>
        <c:scatterStyle val="smoothMarker"/>
        <c:varyColors val="0"/>
        <c:ser>
          <c:idx val="0"/>
          <c:order val="0"/>
          <c:tx>
            <c:strRef>
              <c:f>'DC Measurements'!$B$24</c:f>
              <c:strCache>
                <c:ptCount val="1"/>
                <c:pt idx="0">
                  <c:v>P ≈ 0.1W</c:v>
                </c:pt>
              </c:strCache>
            </c:strRef>
          </c:tx>
          <c:spPr>
            <a:ln w="19050" cap="rnd">
              <a:solidFill>
                <a:schemeClr val="accent1"/>
              </a:solidFill>
              <a:round/>
            </a:ln>
            <a:effectLst/>
          </c:spPr>
          <c:marker>
            <c:symbol val="none"/>
          </c:marker>
          <c:xVal>
            <c:numRef>
              <c:f>('DC Measurements'!$A$9,'DC Measurements'!$A$11,'DC Measurements'!$A$13,'DC Measurements'!$A$15,'DC Measurements'!$A$17:$A$22)</c:f>
              <c:numCache>
                <c:formatCode>General</c:formatCode>
                <c:ptCount val="10"/>
                <c:pt idx="0">
                  <c:v>0</c:v>
                </c:pt>
                <c:pt idx="1">
                  <c:v>10</c:v>
                </c:pt>
                <c:pt idx="2">
                  <c:v>20</c:v>
                </c:pt>
                <c:pt idx="3">
                  <c:v>30</c:v>
                </c:pt>
                <c:pt idx="4">
                  <c:v>40</c:v>
                </c:pt>
                <c:pt idx="5">
                  <c:v>45</c:v>
                </c:pt>
                <c:pt idx="6">
                  <c:v>50</c:v>
                </c:pt>
                <c:pt idx="7">
                  <c:v>55</c:v>
                </c:pt>
                <c:pt idx="8">
                  <c:v>60</c:v>
                </c:pt>
                <c:pt idx="9">
                  <c:v>65</c:v>
                </c:pt>
              </c:numCache>
            </c:numRef>
          </c:xVal>
          <c:yVal>
            <c:numRef>
              <c:f>('DC Measurements'!$B$9,'DC Measurements'!$B$11,'DC Measurements'!$B$13,'DC Measurements'!$B$15,'DC Measurements'!$B$17:$B$21)</c:f>
              <c:numCache>
                <c:formatCode>0.0</c:formatCode>
                <c:ptCount val="9"/>
                <c:pt idx="0">
                  <c:v>24</c:v>
                </c:pt>
                <c:pt idx="1">
                  <c:v>26.7</c:v>
                </c:pt>
                <c:pt idx="2">
                  <c:v>27.5</c:v>
                </c:pt>
                <c:pt idx="3">
                  <c:v>27.9</c:v>
                </c:pt>
                <c:pt idx="4">
                  <c:v>28.1</c:v>
                </c:pt>
                <c:pt idx="5">
                  <c:v>28.2</c:v>
                </c:pt>
                <c:pt idx="6">
                  <c:v>28.3</c:v>
                </c:pt>
                <c:pt idx="7">
                  <c:v>28.3</c:v>
                </c:pt>
                <c:pt idx="8">
                  <c:v>28.4</c:v>
                </c:pt>
              </c:numCache>
            </c:numRef>
          </c:yVal>
          <c:smooth val="1"/>
          <c:extLst>
            <c:ext xmlns:c16="http://schemas.microsoft.com/office/drawing/2014/chart" uri="{C3380CC4-5D6E-409C-BE32-E72D297353CC}">
              <c16:uniqueId val="{00000000-1F49-43F3-878C-6AAB3788B148}"/>
            </c:ext>
          </c:extLst>
        </c:ser>
        <c:ser>
          <c:idx val="1"/>
          <c:order val="1"/>
          <c:tx>
            <c:strRef>
              <c:f>'DC Measurements'!$H$24</c:f>
              <c:strCache>
                <c:ptCount val="1"/>
                <c:pt idx="0">
                  <c:v>P ≈ 0.4W</c:v>
                </c:pt>
              </c:strCache>
            </c:strRef>
          </c:tx>
          <c:spPr>
            <a:ln w="19050" cap="rnd">
              <a:solidFill>
                <a:schemeClr val="accent2"/>
              </a:solidFill>
              <a:round/>
            </a:ln>
            <a:effectLst/>
          </c:spPr>
          <c:marker>
            <c:symbol val="none"/>
          </c:marker>
          <c:xVal>
            <c:numRef>
              <c:f>('DC Measurements'!$A$9,'DC Measurements'!$A$11,'DC Measurements'!$A$13,'DC Measurements'!$A$15,'DC Measurements'!$A$17:$A$21)</c:f>
              <c:numCache>
                <c:formatCode>General</c:formatCode>
                <c:ptCount val="9"/>
                <c:pt idx="0">
                  <c:v>0</c:v>
                </c:pt>
                <c:pt idx="1">
                  <c:v>10</c:v>
                </c:pt>
                <c:pt idx="2">
                  <c:v>20</c:v>
                </c:pt>
                <c:pt idx="3">
                  <c:v>30</c:v>
                </c:pt>
                <c:pt idx="4">
                  <c:v>40</c:v>
                </c:pt>
                <c:pt idx="5">
                  <c:v>45</c:v>
                </c:pt>
                <c:pt idx="6">
                  <c:v>50</c:v>
                </c:pt>
                <c:pt idx="7">
                  <c:v>55</c:v>
                </c:pt>
                <c:pt idx="8">
                  <c:v>60</c:v>
                </c:pt>
              </c:numCache>
            </c:numRef>
          </c:xVal>
          <c:yVal>
            <c:numRef>
              <c:f>('DC Measurements'!$H$9,'DC Measurements'!$H$11,'DC Measurements'!$H$13,'DC Measurements'!$H$15,'DC Measurements'!$H$17:$H$21)</c:f>
              <c:numCache>
                <c:formatCode>0.0</c:formatCode>
                <c:ptCount val="9"/>
                <c:pt idx="0">
                  <c:v>24</c:v>
                </c:pt>
                <c:pt idx="1">
                  <c:v>34.4</c:v>
                </c:pt>
                <c:pt idx="2">
                  <c:v>37</c:v>
                </c:pt>
                <c:pt idx="3">
                  <c:v>37.9</c:v>
                </c:pt>
                <c:pt idx="4">
                  <c:v>38.299999999999997</c:v>
                </c:pt>
                <c:pt idx="5">
                  <c:v>38.5</c:v>
                </c:pt>
                <c:pt idx="6">
                  <c:v>38.6</c:v>
                </c:pt>
                <c:pt idx="7">
                  <c:v>38.6</c:v>
                </c:pt>
                <c:pt idx="8">
                  <c:v>38.6</c:v>
                </c:pt>
              </c:numCache>
            </c:numRef>
          </c:yVal>
          <c:smooth val="1"/>
          <c:extLst>
            <c:ext xmlns:c16="http://schemas.microsoft.com/office/drawing/2014/chart" uri="{C3380CC4-5D6E-409C-BE32-E72D297353CC}">
              <c16:uniqueId val="{00000028-1F49-43F3-878C-6AAB3788B148}"/>
            </c:ext>
          </c:extLst>
        </c:ser>
        <c:ser>
          <c:idx val="3"/>
          <c:order val="2"/>
          <c:tx>
            <c:strRef>
              <c:f>'DC Measurements'!$N$24</c:f>
              <c:strCache>
                <c:ptCount val="1"/>
                <c:pt idx="0">
                  <c:v>P ≈ 1.0W</c:v>
                </c:pt>
              </c:strCache>
            </c:strRef>
          </c:tx>
          <c:spPr>
            <a:ln w="19050" cap="rnd">
              <a:solidFill>
                <a:srgbClr val="FFC000"/>
              </a:solidFill>
              <a:round/>
            </a:ln>
            <a:effectLst/>
          </c:spPr>
          <c:marker>
            <c:symbol val="none"/>
          </c:marker>
          <c:xVal>
            <c:numRef>
              <c:f>'DC Measurements'!$A$9:$A$21</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xVal>
          <c:yVal>
            <c:numRef>
              <c:f>'DC Measurements'!$N$9:$N$21</c:f>
              <c:numCache>
                <c:formatCode>0.0</c:formatCode>
                <c:ptCount val="13"/>
                <c:pt idx="0">
                  <c:v>24</c:v>
                </c:pt>
                <c:pt idx="1">
                  <c:v>39.9</c:v>
                </c:pt>
                <c:pt idx="2">
                  <c:v>47</c:v>
                </c:pt>
                <c:pt idx="3">
                  <c:v>50.5</c:v>
                </c:pt>
                <c:pt idx="4">
                  <c:v>51.8</c:v>
                </c:pt>
                <c:pt idx="5">
                  <c:v>52.6</c:v>
                </c:pt>
                <c:pt idx="6">
                  <c:v>53.2</c:v>
                </c:pt>
                <c:pt idx="7">
                  <c:v>53.5</c:v>
                </c:pt>
                <c:pt idx="8">
                  <c:v>53.5</c:v>
                </c:pt>
                <c:pt idx="9">
                  <c:v>53.5</c:v>
                </c:pt>
                <c:pt idx="10">
                  <c:v>53.6</c:v>
                </c:pt>
                <c:pt idx="11">
                  <c:v>53.6</c:v>
                </c:pt>
                <c:pt idx="12">
                  <c:v>53.6</c:v>
                </c:pt>
              </c:numCache>
            </c:numRef>
          </c:yVal>
          <c:smooth val="1"/>
          <c:extLst>
            <c:ext xmlns:c16="http://schemas.microsoft.com/office/drawing/2014/chart" uri="{C3380CC4-5D6E-409C-BE32-E72D297353CC}">
              <c16:uniqueId val="{0000002B-1F49-43F3-878C-6AAB3788B148}"/>
            </c:ext>
          </c:extLst>
        </c:ser>
        <c:ser>
          <c:idx val="2"/>
          <c:order val="3"/>
          <c:tx>
            <c:strRef>
              <c:f>'DC Measurements'!$T$24</c:f>
              <c:strCache>
                <c:ptCount val="1"/>
                <c:pt idx="0">
                  <c:v>P ≈ 2.0W</c:v>
                </c:pt>
              </c:strCache>
            </c:strRef>
          </c:tx>
          <c:spPr>
            <a:ln w="19050" cap="rnd">
              <a:solidFill>
                <a:srgbClr val="92D050"/>
              </a:solidFill>
              <a:round/>
            </a:ln>
            <a:effectLst/>
          </c:spPr>
          <c:marker>
            <c:symbol val="none"/>
          </c:marker>
          <c:xVal>
            <c:numRef>
              <c:f>'DC Measurements'!$A$9:$A$21</c:f>
              <c:numCache>
                <c:formatCode>General</c:formatCode>
                <c:ptCount val="13"/>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xVal>
          <c:yVal>
            <c:numRef>
              <c:f>'DC Measurements'!$T$9:$T$21</c:f>
              <c:numCache>
                <c:formatCode>0.0</c:formatCode>
                <c:ptCount val="13"/>
                <c:pt idx="0">
                  <c:v>24</c:v>
                </c:pt>
                <c:pt idx="1">
                  <c:v>52</c:v>
                </c:pt>
                <c:pt idx="2">
                  <c:v>64.900000000000006</c:v>
                </c:pt>
                <c:pt idx="3">
                  <c:v>71.099999999999994</c:v>
                </c:pt>
                <c:pt idx="4">
                  <c:v>73.8</c:v>
                </c:pt>
                <c:pt idx="5">
                  <c:v>75.400000000000006</c:v>
                </c:pt>
                <c:pt idx="6">
                  <c:v>76.2</c:v>
                </c:pt>
                <c:pt idx="7">
                  <c:v>76.599999999999994</c:v>
                </c:pt>
                <c:pt idx="8">
                  <c:v>77</c:v>
                </c:pt>
                <c:pt idx="9">
                  <c:v>77.3</c:v>
                </c:pt>
                <c:pt idx="10">
                  <c:v>77.599999999999994</c:v>
                </c:pt>
                <c:pt idx="11">
                  <c:v>77.7</c:v>
                </c:pt>
                <c:pt idx="12">
                  <c:v>77.7</c:v>
                </c:pt>
              </c:numCache>
            </c:numRef>
          </c:yVal>
          <c:smooth val="1"/>
          <c:extLst>
            <c:ext xmlns:c16="http://schemas.microsoft.com/office/drawing/2014/chart" uri="{C3380CC4-5D6E-409C-BE32-E72D297353CC}">
              <c16:uniqueId val="{00000029-1F49-43F3-878C-6AAB3788B148}"/>
            </c:ext>
          </c:extLst>
        </c:ser>
        <c:dLbls>
          <c:showLegendKey val="0"/>
          <c:showVal val="0"/>
          <c:showCatName val="0"/>
          <c:showSerName val="0"/>
          <c:showPercent val="0"/>
          <c:showBubbleSize val="0"/>
        </c:dLbls>
        <c:axId val="620536176"/>
        <c:axId val="621410048"/>
      </c:scatterChart>
      <c:valAx>
        <c:axId val="620536176"/>
        <c:scaling>
          <c:orientation val="minMax"/>
          <c:max val="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solidFill>
                      <a:sysClr val="windowText" lastClr="000000"/>
                    </a:solidFill>
                    <a:effectLst/>
                    <a:latin typeface="Times New Roman" panose="02020603050405020304" pitchFamily="18" charset="0"/>
                    <a:cs typeface="Times New Roman" panose="02020603050405020304" pitchFamily="18" charset="0"/>
                  </a:rPr>
                  <a:t>t (min)</a:t>
                </a:r>
                <a:endParaRPr lang="en-US" sz="7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21410048"/>
        <c:crosses val="autoZero"/>
        <c:crossBetween val="midCat"/>
        <c:majorUnit val="5"/>
      </c:valAx>
      <c:valAx>
        <c:axId val="621410048"/>
        <c:scaling>
          <c:orientation val="minMax"/>
          <c:max val="84"/>
          <c:min val="2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solidFill>
                      <a:sysClr val="windowText" lastClr="000000"/>
                    </a:solidFill>
                    <a:effectLst/>
                    <a:latin typeface="Times New Roman" panose="02020603050405020304" pitchFamily="18" charset="0"/>
                    <a:cs typeface="Times New Roman" panose="02020603050405020304" pitchFamily="18" charset="0"/>
                  </a:rPr>
                  <a:t>T (</a:t>
                </a:r>
                <a:r>
                  <a:rPr lang="en-US" sz="1200" b="0" i="0" baseline="0">
                    <a:solidFill>
                      <a:sysClr val="windowText" lastClr="000000"/>
                    </a:solidFill>
                    <a:effectLst/>
                    <a:latin typeface="Times New Roman" panose="02020603050405020304" pitchFamily="18" charset="0"/>
                    <a:cs typeface="Times New Roman" panose="02020603050405020304" pitchFamily="18" charset="0"/>
                    <a:sym typeface="Symbol" panose="05050102010706020507" pitchFamily="18" charset="2"/>
                  </a:rPr>
                  <a:t></a:t>
                </a:r>
                <a:r>
                  <a:rPr lang="en-US" sz="1200" b="0" i="0" baseline="0">
                    <a:solidFill>
                      <a:sysClr val="windowText" lastClr="000000"/>
                    </a:solidFill>
                    <a:effectLst/>
                    <a:latin typeface="Times New Roman" panose="02020603050405020304" pitchFamily="18" charset="0"/>
                    <a:cs typeface="Times New Roman" panose="02020603050405020304" pitchFamily="18" charset="0"/>
                  </a:rPr>
                  <a:t>C)</a:t>
                </a:r>
                <a:endParaRPr lang="en-US" sz="700">
                  <a:solidFill>
                    <a:sysClr val="windowText" lastClr="000000"/>
                  </a:solidFill>
                  <a:effectLst/>
                  <a:latin typeface="Times New Roman" panose="02020603050405020304" pitchFamily="18" charset="0"/>
                  <a:cs typeface="Times New Roman" panose="02020603050405020304" pitchFamily="18" charset="0"/>
                </a:endParaRPr>
              </a:p>
            </c:rich>
          </c:tx>
          <c:layout>
            <c:manualLayout>
              <c:xMode val="edge"/>
              <c:yMode val="edge"/>
              <c:x val="5.1386035718883838E-2"/>
              <c:y val="0.39855362727488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20536176"/>
        <c:crosses val="autoZero"/>
        <c:crossBetween val="midCat"/>
        <c:majorUnit val="6"/>
      </c:valAx>
      <c:spPr>
        <a:noFill/>
        <a:ln>
          <a:noFill/>
        </a:ln>
        <a:effectLst/>
      </c:spPr>
    </c:plotArea>
    <c:legend>
      <c:legendPos val="r"/>
      <c:layout>
        <c:manualLayout>
          <c:xMode val="edge"/>
          <c:yMode val="edge"/>
          <c:x val="0.84762506254324166"/>
          <c:y val="0.34458697637054891"/>
          <c:w val="0.1427838266169672"/>
          <c:h val="0.24324045332834113"/>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ysClr val="windowText" lastClr="000000"/>
                </a:solidFill>
                <a:effectLst/>
                <a:latin typeface="Times New Roman" panose="02020603050405020304" pitchFamily="18" charset="0"/>
                <a:cs typeface="Times New Roman" panose="02020603050405020304" pitchFamily="18" charset="0"/>
              </a:rPr>
              <a:t>Xfmr Calibration Characteristics at Steady-State Temperature</a:t>
            </a:r>
            <a:endParaRPr lang="en-US" sz="11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'DC Measurements'!$N$44:$N$45</c:f>
              <c:strCache>
                <c:ptCount val="2"/>
                <c:pt idx="0">
                  <c:v>Ploss
(W)</c:v>
                </c:pt>
              </c:strCache>
            </c:strRef>
          </c:tx>
          <c:spPr>
            <a:ln w="19050" cap="rnd">
              <a:solidFill>
                <a:srgbClr val="00B050"/>
              </a:solidFill>
              <a:round/>
            </a:ln>
            <a:effectLst/>
          </c:spPr>
          <c:marker>
            <c:symbol val="none"/>
          </c:marker>
          <c:trendline>
            <c:spPr>
              <a:ln w="9525" cap="rnd">
                <a:solidFill>
                  <a:srgbClr val="00B050"/>
                </a:solidFill>
                <a:prstDash val="dash"/>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'DC Measurements'!$M$46:$M$49</c:f>
              <c:numCache>
                <c:formatCode>0.00</c:formatCode>
                <c:ptCount val="4"/>
                <c:pt idx="0">
                  <c:v>28.333333333333332</c:v>
                </c:pt>
                <c:pt idx="1">
                  <c:v>38.6</c:v>
                </c:pt>
                <c:pt idx="2">
                  <c:v>53.6</c:v>
                </c:pt>
                <c:pt idx="3">
                  <c:v>77.666666666666671</c:v>
                </c:pt>
              </c:numCache>
            </c:numRef>
          </c:xVal>
          <c:yVal>
            <c:numRef>
              <c:f>'DC Measurements'!$N$46:$N$49</c:f>
              <c:numCache>
                <c:formatCode>0.0</c:formatCode>
                <c:ptCount val="4"/>
                <c:pt idx="0">
                  <c:v>0.1</c:v>
                </c:pt>
                <c:pt idx="1">
                  <c:v>0.4</c:v>
                </c:pt>
                <c:pt idx="2">
                  <c:v>1</c:v>
                </c:pt>
                <c:pt idx="3">
                  <c:v>2</c:v>
                </c:pt>
              </c:numCache>
            </c:numRef>
          </c:yVal>
          <c:smooth val="1"/>
          <c:extLst>
            <c:ext xmlns:c16="http://schemas.microsoft.com/office/drawing/2014/chart" uri="{C3380CC4-5D6E-409C-BE32-E72D297353CC}">
              <c16:uniqueId val="{00000000-5A34-40BC-9E92-154239ADC9EB}"/>
            </c:ext>
          </c:extLst>
        </c:ser>
        <c:dLbls>
          <c:showLegendKey val="0"/>
          <c:showVal val="0"/>
          <c:showCatName val="0"/>
          <c:showSerName val="0"/>
          <c:showPercent val="0"/>
          <c:showBubbleSize val="0"/>
        </c:dLbls>
        <c:axId val="355734464"/>
        <c:axId val="629314592"/>
      </c:scatterChart>
      <c:valAx>
        <c:axId val="355734464"/>
        <c:scaling>
          <c:orientation val="minMax"/>
          <c:max val="8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u="none" strike="noStrike" baseline="0">
                    <a:solidFill>
                      <a:sysClr val="windowText" lastClr="000000"/>
                    </a:solidFill>
                    <a:effectLst/>
                    <a:latin typeface="Times New Roman" panose="02020603050405020304" pitchFamily="18" charset="0"/>
                    <a:cs typeface="Times New Roman" panose="02020603050405020304" pitchFamily="18" charset="0"/>
                  </a:rPr>
                  <a:t>Tavg (°C)</a:t>
                </a:r>
                <a:r>
                  <a:rPr lang="en-US" sz="1200" b="0" i="0" u="none" strike="noStrike" baseline="0">
                    <a:solidFill>
                      <a:sysClr val="windowText" lastClr="000000"/>
                    </a:solidFill>
                    <a:latin typeface="Times New Roman" panose="02020603050405020304" pitchFamily="18" charset="0"/>
                    <a:cs typeface="Times New Roman" panose="02020603050405020304" pitchFamily="18" charset="0"/>
                  </a:rPr>
                  <a:t> </a:t>
                </a:r>
                <a:endParaRPr lang="en-US" sz="12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14592"/>
        <c:crosses val="autoZero"/>
        <c:crossBetween val="midCat"/>
        <c:majorUnit val="10"/>
      </c:valAx>
      <c:valAx>
        <c:axId val="62931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solidFill>
                      <a:sysClr val="windowText" lastClr="000000"/>
                    </a:solidFill>
                    <a:effectLst/>
                    <a:latin typeface="Times New Roman" panose="02020603050405020304" pitchFamily="18" charset="0"/>
                    <a:cs typeface="Times New Roman" panose="02020603050405020304" pitchFamily="18" charset="0"/>
                  </a:rPr>
                  <a:t>Ploss (W)</a:t>
                </a:r>
                <a:endParaRPr lang="en-US" sz="700">
                  <a:solidFill>
                    <a:sysClr val="windowText" lastClr="000000"/>
                  </a:solidFill>
                  <a:effectLst/>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73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190499</xdr:colOff>
      <xdr:row>26</xdr:row>
      <xdr:rowOff>162983</xdr:rowOff>
    </xdr:from>
    <xdr:to>
      <xdr:col>22</xdr:col>
      <xdr:colOff>359831</xdr:colOff>
      <xdr:row>41</xdr:row>
      <xdr:rowOff>179917</xdr:rowOff>
    </xdr:to>
    <xdr:graphicFrame macro="">
      <xdr:nvGraphicFramePr>
        <xdr:cNvPr id="11" name="Chart 10">
          <a:extLst>
            <a:ext uri="{FF2B5EF4-FFF2-40B4-BE49-F238E27FC236}">
              <a16:creationId xmlns:a16="http://schemas.microsoft.com/office/drawing/2014/main" id="{15A018E6-4212-491B-A3F8-816CAB1BD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219226</xdr:colOff>
      <xdr:row>59</xdr:row>
      <xdr:rowOff>13607</xdr:rowOff>
    </xdr:from>
    <xdr:to>
      <xdr:col>22</xdr:col>
      <xdr:colOff>388558</xdr:colOff>
      <xdr:row>74</xdr:row>
      <xdr:rowOff>127000</xdr:rowOff>
    </xdr:to>
    <xdr:graphicFrame macro="">
      <xdr:nvGraphicFramePr>
        <xdr:cNvPr id="14" name="Chart 13">
          <a:extLst>
            <a:ext uri="{FF2B5EF4-FFF2-40B4-BE49-F238E27FC236}">
              <a16:creationId xmlns:a16="http://schemas.microsoft.com/office/drawing/2014/main" id="{CEC03731-0E54-4CC7-B392-34FD5AE90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317499</xdr:colOff>
      <xdr:row>26</xdr:row>
      <xdr:rowOff>136524</xdr:rowOff>
    </xdr:from>
    <xdr:to>
      <xdr:col>10</xdr:col>
      <xdr:colOff>631031</xdr:colOff>
      <xdr:row>45</xdr:row>
      <xdr:rowOff>95250</xdr:rowOff>
    </xdr:to>
    <xdr:graphicFrame macro="">
      <xdr:nvGraphicFramePr>
        <xdr:cNvPr id="5" name="Chart 4">
          <a:extLst>
            <a:ext uri="{FF2B5EF4-FFF2-40B4-BE49-F238E27FC236}">
              <a16:creationId xmlns:a16="http://schemas.microsoft.com/office/drawing/2014/main" id="{4F2B8ABE-FDF0-4944-B76F-DAACD9E21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169334</xdr:colOff>
      <xdr:row>43</xdr:row>
      <xdr:rowOff>35983</xdr:rowOff>
    </xdr:from>
    <xdr:to>
      <xdr:col>22</xdr:col>
      <xdr:colOff>359833</xdr:colOff>
      <xdr:row>56</xdr:row>
      <xdr:rowOff>190499</xdr:rowOff>
    </xdr:to>
    <xdr:graphicFrame macro="">
      <xdr:nvGraphicFramePr>
        <xdr:cNvPr id="6" name="Chart 5">
          <a:extLst>
            <a:ext uri="{FF2B5EF4-FFF2-40B4-BE49-F238E27FC236}">
              <a16:creationId xmlns:a16="http://schemas.microsoft.com/office/drawing/2014/main" id="{25660E83-C218-46B2-AB41-A6213D503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0.63462</cdr:x>
      <cdr:y>0.19702</cdr:y>
    </cdr:from>
    <cdr:to>
      <cdr:x>0.76763</cdr:x>
      <cdr:y>0.23691</cdr:y>
    </cdr:to>
    <cdr:sp macro="" textlink="">
      <cdr:nvSpPr>
        <cdr:cNvPr id="2" name="TextBox 1">
          <a:extLst xmlns:a="http://schemas.openxmlformats.org/drawingml/2006/main">
            <a:ext uri="{FF2B5EF4-FFF2-40B4-BE49-F238E27FC236}">
              <a16:creationId xmlns:a16="http://schemas.microsoft.com/office/drawing/2014/main" id="{51792255-954D-4A50-AF83-F0E972A4495B}"/>
            </a:ext>
          </a:extLst>
        </cdr:cNvPr>
        <cdr:cNvSpPr txBox="1"/>
      </cdr:nvSpPr>
      <cdr:spPr>
        <a:xfrm xmlns:a="http://schemas.openxmlformats.org/drawingml/2006/main">
          <a:off x="4191001" y="784226"/>
          <a:ext cx="878416" cy="158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0.64744</cdr:x>
      <cdr:y>0.17607</cdr:y>
    </cdr:from>
    <cdr:to>
      <cdr:x>0.79968</cdr:x>
      <cdr:y>0.25849</cdr:y>
    </cdr:to>
    <cdr:sp macro="" textlink="">
      <cdr:nvSpPr>
        <cdr:cNvPr id="3" name="TextBox 2">
          <a:extLst xmlns:a="http://schemas.openxmlformats.org/drawingml/2006/main">
            <a:ext uri="{FF2B5EF4-FFF2-40B4-BE49-F238E27FC236}">
              <a16:creationId xmlns:a16="http://schemas.microsoft.com/office/drawing/2014/main" id="{4937D641-E22C-4927-BA1F-AD6EE2BA0817}"/>
            </a:ext>
          </a:extLst>
        </cdr:cNvPr>
        <cdr:cNvSpPr txBox="1"/>
      </cdr:nvSpPr>
      <cdr:spPr>
        <a:xfrm xmlns:a="http://schemas.openxmlformats.org/drawingml/2006/main">
          <a:off x="4327082" y="704432"/>
          <a:ext cx="1017502" cy="32977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a:latin typeface="Times New Roman" panose="02020603050405020304" pitchFamily="18" charset="0"/>
              <a:cs typeface="Times New Roman" panose="02020603050405020304" pitchFamily="18" charset="0"/>
            </a:rPr>
            <a:t>P ≈ 2.0</a:t>
          </a:r>
          <a:r>
            <a:rPr lang="en-US" sz="1300" baseline="0">
              <a:latin typeface="Times New Roman" panose="02020603050405020304" pitchFamily="18" charset="0"/>
              <a:cs typeface="Times New Roman" panose="02020603050405020304" pitchFamily="18" charset="0"/>
            </a:rPr>
            <a:t> W</a:t>
          </a:r>
          <a:endParaRPr lang="en-US" sz="13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0.6473</cdr:x>
      <cdr:y>0.4435</cdr:y>
    </cdr:from>
    <cdr:to>
      <cdr:x>0.79954</cdr:x>
      <cdr:y>0.52592</cdr:y>
    </cdr:to>
    <cdr:sp macro="" textlink="">
      <cdr:nvSpPr>
        <cdr:cNvPr id="4" name="TextBox 1">
          <a:extLst xmlns:a="http://schemas.openxmlformats.org/drawingml/2006/main">
            <a:ext uri="{FF2B5EF4-FFF2-40B4-BE49-F238E27FC236}">
              <a16:creationId xmlns:a16="http://schemas.microsoft.com/office/drawing/2014/main" id="{6A1C2FC9-8C6F-4059-BB3A-4D9DB3084F14}"/>
            </a:ext>
          </a:extLst>
        </cdr:cNvPr>
        <cdr:cNvSpPr txBox="1"/>
      </cdr:nvSpPr>
      <cdr:spPr>
        <a:xfrm xmlns:a="http://schemas.openxmlformats.org/drawingml/2006/main">
          <a:off x="4326137" y="1774394"/>
          <a:ext cx="1017501" cy="32977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300">
              <a:latin typeface="Times New Roman" panose="02020603050405020304" pitchFamily="18" charset="0"/>
              <a:cs typeface="Times New Roman" panose="02020603050405020304" pitchFamily="18" charset="0"/>
            </a:rPr>
            <a:t>P ≈ 1.0</a:t>
          </a:r>
          <a:r>
            <a:rPr lang="en-US" sz="1300" baseline="0">
              <a:latin typeface="Times New Roman" panose="02020603050405020304" pitchFamily="18" charset="0"/>
              <a:cs typeface="Times New Roman" panose="02020603050405020304" pitchFamily="18" charset="0"/>
            </a:rPr>
            <a:t> W</a:t>
          </a:r>
          <a:endParaRPr lang="en-US" sz="13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0.64587</cdr:x>
      <cdr:y>0.61664</cdr:y>
    </cdr:from>
    <cdr:to>
      <cdr:x>0.79812</cdr:x>
      <cdr:y>0.69907</cdr:y>
    </cdr:to>
    <cdr:sp macro="" textlink="">
      <cdr:nvSpPr>
        <cdr:cNvPr id="5" name="TextBox 1">
          <a:extLst xmlns:a="http://schemas.openxmlformats.org/drawingml/2006/main">
            <a:ext uri="{FF2B5EF4-FFF2-40B4-BE49-F238E27FC236}">
              <a16:creationId xmlns:a16="http://schemas.microsoft.com/office/drawing/2014/main" id="{F6174E0E-A972-4BE2-ABC9-838503B6F8F0}"/>
            </a:ext>
          </a:extLst>
        </cdr:cNvPr>
        <cdr:cNvSpPr txBox="1"/>
      </cdr:nvSpPr>
      <cdr:spPr>
        <a:xfrm xmlns:a="http://schemas.openxmlformats.org/drawingml/2006/main">
          <a:off x="4316621" y="2467123"/>
          <a:ext cx="1017501" cy="32977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300">
              <a:latin typeface="Times New Roman" panose="02020603050405020304" pitchFamily="18" charset="0"/>
              <a:cs typeface="Times New Roman" panose="02020603050405020304" pitchFamily="18" charset="0"/>
            </a:rPr>
            <a:t>P ≈ 0.4</a:t>
          </a:r>
          <a:r>
            <a:rPr lang="en-US" sz="1300" baseline="0">
              <a:latin typeface="Times New Roman" panose="02020603050405020304" pitchFamily="18" charset="0"/>
              <a:cs typeface="Times New Roman" panose="02020603050405020304" pitchFamily="18" charset="0"/>
            </a:rPr>
            <a:t> W</a:t>
          </a:r>
          <a:endParaRPr lang="en-US" sz="13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0.64409</cdr:x>
      <cdr:y>0.73395</cdr:y>
    </cdr:from>
    <cdr:to>
      <cdr:x>0.79634</cdr:x>
      <cdr:y>0.81637</cdr:y>
    </cdr:to>
    <cdr:sp macro="" textlink="">
      <cdr:nvSpPr>
        <cdr:cNvPr id="6" name="TextBox 1">
          <a:extLst xmlns:a="http://schemas.openxmlformats.org/drawingml/2006/main">
            <a:ext uri="{FF2B5EF4-FFF2-40B4-BE49-F238E27FC236}">
              <a16:creationId xmlns:a16="http://schemas.microsoft.com/office/drawing/2014/main" id="{9748732E-757C-469A-BDF0-1F8F166381BB}"/>
            </a:ext>
          </a:extLst>
        </cdr:cNvPr>
        <cdr:cNvSpPr txBox="1"/>
      </cdr:nvSpPr>
      <cdr:spPr>
        <a:xfrm xmlns:a="http://schemas.openxmlformats.org/drawingml/2006/main">
          <a:off x="4304714" y="2936456"/>
          <a:ext cx="1017501" cy="32977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300">
              <a:latin typeface="Times New Roman" panose="02020603050405020304" pitchFamily="18" charset="0"/>
              <a:cs typeface="Times New Roman" panose="02020603050405020304" pitchFamily="18" charset="0"/>
            </a:rPr>
            <a:t>P ≈ 0.1</a:t>
          </a:r>
          <a:r>
            <a:rPr lang="en-US" sz="1300" baseline="0">
              <a:latin typeface="Times New Roman" panose="02020603050405020304" pitchFamily="18" charset="0"/>
              <a:cs typeface="Times New Roman" panose="02020603050405020304" pitchFamily="18" charset="0"/>
            </a:rPr>
            <a:t> W</a:t>
          </a:r>
          <a:endParaRPr lang="en-US" sz="1300">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xdr:wsDr xmlns:xdr="http://schemas.openxmlformats.org/drawingml/2006/spreadsheetDrawing" xmlns:a="http://schemas.openxmlformats.org/drawingml/2006/main">
  <xdr:oneCellAnchor>
    <xdr:from>
      <xdr:col>11</xdr:col>
      <xdr:colOff>13096</xdr:colOff>
      <xdr:row>21</xdr:row>
      <xdr:rowOff>179784</xdr:rowOff>
    </xdr:from>
    <xdr:ext cx="1300099" cy="35105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24937B1-2FA1-41BD-9B29-AD3DD3B826F1}"/>
                </a:ext>
              </a:extLst>
            </xdr:cNvPr>
            <xdr:cNvSpPr txBox="1"/>
          </xdr:nvSpPr>
          <xdr:spPr>
            <a:xfrm>
              <a:off x="8176021" y="4399359"/>
              <a:ext cx="1300099" cy="35105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200" i="1">
                            <a:solidFill>
                              <a:sysClr val="windowText" lastClr="000000"/>
                            </a:solidFill>
                            <a:latin typeface="Cambria Math" panose="02040503050406030204" pitchFamily="18" charset="0"/>
                          </a:rPr>
                        </m:ctrlPr>
                      </m:fPr>
                      <m:num>
                        <m:r>
                          <a:rPr lang="en-US" sz="1200" b="0" i="1">
                            <a:solidFill>
                              <a:sysClr val="windowText" lastClr="000000"/>
                            </a:solidFill>
                            <a:latin typeface="Cambria Math" panose="02040503050406030204" pitchFamily="18" charset="0"/>
                          </a:rPr>
                          <m:t>1.0374−</m:t>
                        </m:r>
                        <m:r>
                          <a:rPr lang="en-US" sz="1200" b="0" i="1">
                            <a:solidFill>
                              <a:sysClr val="windowText" lastClr="000000"/>
                            </a:solidFill>
                            <a:latin typeface="Cambria Math" panose="02040503050406030204" pitchFamily="18" charset="0"/>
                          </a:rPr>
                          <m:t>𝑓</m:t>
                        </m:r>
                      </m:num>
                      <m:den>
                        <m:r>
                          <a:rPr lang="en-US" sz="1200" b="0" i="1">
                            <a:solidFill>
                              <a:sysClr val="windowText" lastClr="000000"/>
                            </a:solidFill>
                            <a:latin typeface="Cambria Math" panose="02040503050406030204" pitchFamily="18" charset="0"/>
                          </a:rPr>
                          <m:t>1.0374</m:t>
                        </m:r>
                      </m:den>
                    </m:f>
                    <m:r>
                      <a:rPr lang="en-US" sz="1200" b="0" i="1">
                        <a:solidFill>
                          <a:sysClr val="windowText" lastClr="000000"/>
                        </a:solidFill>
                        <a:latin typeface="Cambria Math" panose="02040503050406030204" pitchFamily="18" charset="0"/>
                      </a:rPr>
                      <m:t>∗100%</m:t>
                    </m:r>
                  </m:oMath>
                </m:oMathPara>
              </a14:m>
              <a:endParaRPr lang="en-US" sz="1200">
                <a:solidFill>
                  <a:sysClr val="windowText" lastClr="000000"/>
                </a:solidFill>
              </a:endParaRPr>
            </a:p>
          </xdr:txBody>
        </xdr:sp>
      </mc:Choice>
      <mc:Fallback xmlns="">
        <xdr:sp macro="" textlink="">
          <xdr:nvSpPr>
            <xdr:cNvPr id="2" name="TextBox 1">
              <a:extLst>
                <a:ext uri="{FF2B5EF4-FFF2-40B4-BE49-F238E27FC236}">
                  <a16:creationId xmlns:a16="http://schemas.microsoft.com/office/drawing/2014/main" id="{F24937B1-2FA1-41BD-9B29-AD3DD3B826F1}"/>
                </a:ext>
              </a:extLst>
            </xdr:cNvPr>
            <xdr:cNvSpPr txBox="1"/>
          </xdr:nvSpPr>
          <xdr:spPr>
            <a:xfrm>
              <a:off x="8176021" y="4399359"/>
              <a:ext cx="1300099" cy="35105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200" i="0">
                  <a:solidFill>
                    <a:sysClr val="windowText" lastClr="000000"/>
                  </a:solidFill>
                  <a:latin typeface="Cambria Math" panose="02040503050406030204" pitchFamily="18" charset="0"/>
                </a:rPr>
                <a:t>(</a:t>
              </a:r>
              <a:r>
                <a:rPr lang="en-US" sz="1200" b="0" i="0">
                  <a:solidFill>
                    <a:sysClr val="windowText" lastClr="000000"/>
                  </a:solidFill>
                  <a:latin typeface="Cambria Math" panose="02040503050406030204" pitchFamily="18" charset="0"/>
                </a:rPr>
                <a:t>1.0374−𝑓)/1.0374∗100%</a:t>
              </a:r>
              <a:endParaRPr lang="en-US" sz="1200">
                <a:solidFill>
                  <a:sysClr val="windowText" lastClr="000000"/>
                </a:solidFill>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20</xdr:col>
      <xdr:colOff>103720</xdr:colOff>
      <xdr:row>8</xdr:row>
      <xdr:rowOff>141816</xdr:rowOff>
    </xdr:from>
    <xdr:ext cx="520335" cy="21916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7958674-0261-4453-8E12-339C42D68192}"/>
                </a:ext>
              </a:extLst>
            </xdr:cNvPr>
            <xdr:cNvSpPr txBox="1"/>
          </xdr:nvSpPr>
          <xdr:spPr>
            <a:xfrm>
              <a:off x="15296095" y="1665816"/>
              <a:ext cx="52033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b="1" i="1">
                            <a:latin typeface="Cambria Math" panose="02040503050406030204" pitchFamily="18" charset="0"/>
                          </a:rPr>
                        </m:ctrlPr>
                      </m:sSubPr>
                      <m:e>
                        <m:r>
                          <a:rPr lang="en-US" sz="1400" b="1" i="0">
                            <a:latin typeface="Cambria Math" panose="02040503050406030204" pitchFamily="18" charset="0"/>
                            <a:sym typeface="Symbol" panose="05050102010706020507" pitchFamily="18" charset="2"/>
                          </a:rPr>
                          <m:t></m:t>
                        </m:r>
                      </m:e>
                      <m:sub>
                        <m:r>
                          <a:rPr lang="en-US" sz="1400" b="1" i="0">
                            <a:latin typeface="Cambria Math" panose="02040503050406030204" pitchFamily="18" charset="0"/>
                          </a:rPr>
                          <m:t>𝐫</m:t>
                        </m:r>
                        <m:r>
                          <a:rPr lang="en-US" sz="1400" b="1" i="1">
                            <a:latin typeface="Cambria Math" panose="02040503050406030204" pitchFamily="18" charset="0"/>
                          </a:rPr>
                          <m:t>𝑷𝑰</m:t>
                        </m:r>
                      </m:sub>
                    </m:sSub>
                    <m:r>
                      <a:rPr lang="en-US" sz="1400" b="1" i="0">
                        <a:latin typeface="Cambria Math" panose="02040503050406030204" pitchFamily="18" charset="0"/>
                      </a:rPr>
                      <m:t>=</m:t>
                    </m:r>
                  </m:oMath>
                </m:oMathPara>
              </a14:m>
              <a:endParaRPr lang="en-US" sz="1400" b="1" i="0"/>
            </a:p>
          </xdr:txBody>
        </xdr:sp>
      </mc:Choice>
      <mc:Fallback xmlns="">
        <xdr:sp macro="" textlink="">
          <xdr:nvSpPr>
            <xdr:cNvPr id="2" name="TextBox 1">
              <a:extLst>
                <a:ext uri="{FF2B5EF4-FFF2-40B4-BE49-F238E27FC236}">
                  <a16:creationId xmlns:a16="http://schemas.microsoft.com/office/drawing/2014/main" id="{17958674-0261-4453-8E12-339C42D68192}"/>
                </a:ext>
              </a:extLst>
            </xdr:cNvPr>
            <xdr:cNvSpPr txBox="1"/>
          </xdr:nvSpPr>
          <xdr:spPr>
            <a:xfrm>
              <a:off x="15296095" y="1665816"/>
              <a:ext cx="52033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1" i="0">
                  <a:latin typeface="Cambria Math" panose="02040503050406030204" pitchFamily="18" charset="0"/>
                  <a:sym typeface="Symbol" panose="05050102010706020507" pitchFamily="18" charset="2"/>
                </a:rPr>
                <a:t>_</a:t>
              </a:r>
              <a:r>
                <a:rPr lang="en-US" sz="1400" b="1" i="0">
                  <a:latin typeface="Cambria Math" panose="02040503050406030204" pitchFamily="18" charset="0"/>
                </a:rPr>
                <a:t>𝐫𝑷𝑰=</a:t>
              </a:r>
              <a:endParaRPr lang="en-US" sz="1400" b="1" i="0"/>
            </a:p>
          </xdr:txBody>
        </xdr:sp>
      </mc:Fallback>
    </mc:AlternateContent>
    <xdr:clientData/>
  </xdr:oneCellAnchor>
  <xdr:oneCellAnchor>
    <xdr:from>
      <xdr:col>20</xdr:col>
      <xdr:colOff>105838</xdr:colOff>
      <xdr:row>13</xdr:row>
      <xdr:rowOff>166158</xdr:rowOff>
    </xdr:from>
    <xdr:ext cx="389274" cy="21916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7648344-7084-45E5-B90F-2F5CB1710631}"/>
                </a:ext>
              </a:extLst>
            </xdr:cNvPr>
            <xdr:cNvSpPr txBox="1"/>
          </xdr:nvSpPr>
          <xdr:spPr>
            <a:xfrm>
              <a:off x="15298213" y="2642658"/>
              <a:ext cx="389274"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b="1" i="1">
                            <a:latin typeface="Cambria Math" panose="02040503050406030204" pitchFamily="18" charset="0"/>
                          </a:rPr>
                        </m:ctrlPr>
                      </m:sSubPr>
                      <m:e>
                        <m:r>
                          <a:rPr lang="en-US" sz="1400" b="1" i="0">
                            <a:latin typeface="Cambria Math" panose="02040503050406030204" pitchFamily="18" charset="0"/>
                            <a:sym typeface="Symbol" panose="05050102010706020507" pitchFamily="18" charset="2"/>
                          </a:rPr>
                          <m:t></m:t>
                        </m:r>
                      </m:e>
                      <m:sub>
                        <m:r>
                          <a:rPr lang="en-US" sz="1400" b="1" i="0">
                            <a:latin typeface="Cambria Math" panose="02040503050406030204" pitchFamily="18" charset="0"/>
                          </a:rPr>
                          <m:t>𝟎</m:t>
                        </m:r>
                      </m:sub>
                    </m:sSub>
                    <m:r>
                      <a:rPr lang="en-US" sz="1400" b="1" i="0">
                        <a:latin typeface="Cambria Math" panose="02040503050406030204" pitchFamily="18" charset="0"/>
                      </a:rPr>
                      <m:t>=</m:t>
                    </m:r>
                  </m:oMath>
                </m:oMathPara>
              </a14:m>
              <a:endParaRPr lang="en-US" sz="1800" b="1" i="0"/>
            </a:p>
          </xdr:txBody>
        </xdr:sp>
      </mc:Choice>
      <mc:Fallback xmlns="">
        <xdr:sp macro="" textlink="">
          <xdr:nvSpPr>
            <xdr:cNvPr id="3" name="TextBox 2">
              <a:extLst>
                <a:ext uri="{FF2B5EF4-FFF2-40B4-BE49-F238E27FC236}">
                  <a16:creationId xmlns:a16="http://schemas.microsoft.com/office/drawing/2014/main" id="{A7648344-7084-45E5-B90F-2F5CB1710631}"/>
                </a:ext>
              </a:extLst>
            </xdr:cNvPr>
            <xdr:cNvSpPr txBox="1"/>
          </xdr:nvSpPr>
          <xdr:spPr>
            <a:xfrm>
              <a:off x="15298213" y="2642658"/>
              <a:ext cx="389274"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1" i="0">
                  <a:latin typeface="Cambria Math" panose="02040503050406030204" pitchFamily="18" charset="0"/>
                  <a:sym typeface="Symbol" panose="05050102010706020507" pitchFamily="18" charset="2"/>
                </a:rPr>
                <a:t>_</a:t>
              </a:r>
              <a:r>
                <a:rPr lang="en-US" sz="1400" b="1" i="0">
                  <a:latin typeface="Cambria Math" panose="02040503050406030204" pitchFamily="18" charset="0"/>
                </a:rPr>
                <a:t>𝟎=</a:t>
              </a:r>
              <a:endParaRPr lang="en-US" sz="1800" b="1" i="0"/>
            </a:p>
          </xdr:txBody>
        </xdr:sp>
      </mc:Fallback>
    </mc:AlternateContent>
    <xdr:clientData/>
  </xdr:oneCellAnchor>
  <xdr:oneCellAnchor>
    <xdr:from>
      <xdr:col>20</xdr:col>
      <xdr:colOff>93137</xdr:colOff>
      <xdr:row>12</xdr:row>
      <xdr:rowOff>162983</xdr:rowOff>
    </xdr:from>
    <xdr:ext cx="467885" cy="21916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217A4659-629B-4C7A-84D8-228508BCA06C}"/>
                </a:ext>
              </a:extLst>
            </xdr:cNvPr>
            <xdr:cNvSpPr txBox="1"/>
          </xdr:nvSpPr>
          <xdr:spPr>
            <a:xfrm>
              <a:off x="15285512" y="2448983"/>
              <a:ext cx="46788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b="1" i="1">
                            <a:latin typeface="Cambria Math" panose="02040503050406030204" pitchFamily="18" charset="0"/>
                          </a:rPr>
                        </m:ctrlPr>
                      </m:sSubPr>
                      <m:e>
                        <m:r>
                          <a:rPr lang="en-US" sz="1400" b="1" i="0">
                            <a:latin typeface="Cambria Math" panose="02040503050406030204" pitchFamily="18" charset="0"/>
                            <a:sym typeface="Symbol" panose="05050102010706020507" pitchFamily="18" charset="2"/>
                          </a:rPr>
                          <m:t></m:t>
                        </m:r>
                      </m:e>
                      <m:sub>
                        <m:r>
                          <a:rPr lang="en-US" sz="1400" b="1" i="1">
                            <a:latin typeface="Cambria Math" panose="02040503050406030204" pitchFamily="18" charset="0"/>
                            <a:sym typeface="Symbol" panose="05050102010706020507" pitchFamily="18" charset="2"/>
                          </a:rPr>
                          <m:t>𝒓𝑨</m:t>
                        </m:r>
                      </m:sub>
                    </m:sSub>
                    <m:r>
                      <a:rPr lang="en-US" sz="1400" b="1" i="0">
                        <a:latin typeface="Cambria Math" panose="02040503050406030204" pitchFamily="18" charset="0"/>
                      </a:rPr>
                      <m:t>=</m:t>
                    </m:r>
                  </m:oMath>
                </m:oMathPara>
              </a14:m>
              <a:endParaRPr lang="en-US" sz="1400" b="1" i="0"/>
            </a:p>
          </xdr:txBody>
        </xdr:sp>
      </mc:Choice>
      <mc:Fallback xmlns="">
        <xdr:sp macro="" textlink="">
          <xdr:nvSpPr>
            <xdr:cNvPr id="4" name="TextBox 3">
              <a:extLst>
                <a:ext uri="{FF2B5EF4-FFF2-40B4-BE49-F238E27FC236}">
                  <a16:creationId xmlns:a16="http://schemas.microsoft.com/office/drawing/2014/main" id="{217A4659-629B-4C7A-84D8-228508BCA06C}"/>
                </a:ext>
              </a:extLst>
            </xdr:cNvPr>
            <xdr:cNvSpPr txBox="1"/>
          </xdr:nvSpPr>
          <xdr:spPr>
            <a:xfrm>
              <a:off x="15285512" y="2448983"/>
              <a:ext cx="46788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400" b="1" i="0">
                  <a:latin typeface="Cambria Math" panose="02040503050406030204" pitchFamily="18" charset="0"/>
                  <a:sym typeface="Symbol" panose="05050102010706020507" pitchFamily="18" charset="2"/>
                </a:rPr>
                <a:t>_𝒓𝑨</a:t>
              </a:r>
              <a:r>
                <a:rPr lang="en-US" sz="1400" b="1" i="0">
                  <a:latin typeface="Cambria Math" panose="02040503050406030204" pitchFamily="18" charset="0"/>
                </a:rPr>
                <a:t>=</a:t>
              </a:r>
              <a:endParaRPr lang="en-US" sz="1400" b="1" i="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o4248/Box/oo4248_Research/Project%20Portfolio/Kavya_Xfmr%204%20DAB%20Converter/Documentations/Core%20Selection/DAB%20Xfmr%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ided Conduction"/>
      <sheetName val="Equal Spacing"/>
      <sheetName val="9580200602"/>
      <sheetName val="Michael's Script_H-Field"/>
      <sheetName val="9580130302"/>
      <sheetName val="9580250602"/>
      <sheetName val="PnEQ Core Options"/>
      <sheetName val="Winding Capacitance"/>
      <sheetName val="Resonance Frequency"/>
      <sheetName val="RF Altered"/>
      <sheetName val="Bobbins"/>
      <sheetName val="Other Core Options"/>
      <sheetName val="RM Availability"/>
      <sheetName val="RM Core Options"/>
      <sheetName val="RM7_N49"/>
      <sheetName val="RM7_I-3F46"/>
      <sheetName val="RM6_PC200 r N5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5">
          <cell r="D15">
            <v>5.9290000000000003E-5</v>
          </cell>
        </row>
      </sheetData>
      <sheetData sheetId="9" refreshError="1"/>
      <sheetData sheetId="10" refreshError="1"/>
      <sheetData sheetId="11" refreshError="1"/>
      <sheetData sheetId="12" refreshError="1"/>
      <sheetData sheetId="13" refreshError="1">
        <row r="6">
          <cell r="L6">
            <v>2.5709452337246324E-3</v>
          </cell>
        </row>
      </sheetData>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epcos-tdk-electronics/B65807J0000R608/7809869" TargetMode="External"/><Relationship Id="rId13" Type="http://schemas.openxmlformats.org/officeDocument/2006/relationships/drawing" Target="../drawings/drawing3.xml"/><Relationship Id="rId3" Type="http://schemas.openxmlformats.org/officeDocument/2006/relationships/hyperlink" Target="https://ferroxcube.com/en-global/products_ferroxcube/stepTwo/shape_cores_accessories?s_sel=152&amp;series_sel=&amp;material_sel=3F46&amp;material=&amp;part=" TargetMode="External"/><Relationship Id="rId7" Type="http://schemas.openxmlformats.org/officeDocument/2006/relationships/hyperlink" Target="https://www.ferroxcube.com/upload/media/product/file/Pr_ds/RM7_I.pdf" TargetMode="External"/><Relationship Id="rId12" Type="http://schemas.openxmlformats.org/officeDocument/2006/relationships/hyperlink" Target="https://www.tdk-electronics.tdk.com/download/531596/133c4190b4d8aac6ea08cc21352bf2d8/pdf-application.pdf" TargetMode="External"/><Relationship Id="rId2" Type="http://schemas.openxmlformats.org/officeDocument/2006/relationships/hyperlink" Target="https://www.ferroxcube.com/upload/media/product/file/MDS/3f46.pdf" TargetMode="External"/><Relationship Id="rId1" Type="http://schemas.openxmlformats.org/officeDocument/2006/relationships/hyperlink" Target="https://www.globalsources.com/si/AS/Suzhou-E-U/6008851529613/pdtl/C1100-O-Copper-foil-0-45mm-thickness/1143131148.htm" TargetMode="External"/><Relationship Id="rId6" Type="http://schemas.openxmlformats.org/officeDocument/2006/relationships/hyperlink" Target="https://www.ferroxcube.com/upload/media/product/file/Pr_ds/RM7_I.pdf" TargetMode="External"/><Relationship Id="rId11" Type="http://schemas.openxmlformats.org/officeDocument/2006/relationships/hyperlink" Target="https://www.tdk-electronics.tdk.com/download/2436032/3f8f0ea9b8e9524368ffe83e063fdf63/ferrite-material-pc-200-pb.pdf" TargetMode="External"/><Relationship Id="rId5" Type="http://schemas.openxmlformats.org/officeDocument/2006/relationships/hyperlink" Target="https://www.digikey.com/en/products/filter/ferrite-cores/936?s=N4IgjCBcoOwAxVAYygMwIYBsDOBTANCAPZQDaIATHGAJwCsdIAuoQA4AuUIAyuwE4BLAHYBzEAF9CYahUQgUkDDgLEyIAMw0YFACwAOZm06Qe-YWMngKNCNHloseQiUjlN2gGw6QhdxQ8ehiAcXLyCohJSejDedgpKTqquIDpgMDAesizBxqbhFpayyai4fILsuAAESER8uMziQA" TargetMode="External"/><Relationship Id="rId10" Type="http://schemas.openxmlformats.org/officeDocument/2006/relationships/hyperlink" Target="https://www.tdk-electronics.tdk.com/download/2111336/a6f01dfa1065d4c152c5dfa5c30f047f/pdf-pc200.pdf" TargetMode="External"/><Relationship Id="rId4" Type="http://schemas.openxmlformats.org/officeDocument/2006/relationships/hyperlink" Target="https://www.ferroxcube.com/en-global/ak_material/index/power_conversion" TargetMode="External"/><Relationship Id="rId9" Type="http://schemas.openxmlformats.org/officeDocument/2006/relationships/hyperlink" Target="https://www.tdk-electronics.tdk.com/inf/80/db/fer/rm_6.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ieeexplore.ieee.org/stamp/stamp.jsp?arnumber=6095784" TargetMode="External"/><Relationship Id="rId1" Type="http://schemas.openxmlformats.org/officeDocument/2006/relationships/hyperlink" Target="https://epoxysetinc.com/uncategorized/dielectric-epox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67"/>
  <sheetViews>
    <sheetView tabSelected="1" topLeftCell="A4" zoomScale="70" zoomScaleNormal="70" workbookViewId="0">
      <selection activeCell="T9" sqref="T9:T22"/>
    </sheetView>
  </sheetViews>
  <sheetFormatPr defaultRowHeight="15.75"/>
  <cols>
    <col min="1" max="1" width="10.28515625" style="1" customWidth="1"/>
    <col min="2" max="2" width="10.42578125" style="1" customWidth="1"/>
    <col min="3" max="3" width="10.28515625" style="1" customWidth="1"/>
    <col min="4" max="6" width="10.7109375" style="1" customWidth="1"/>
    <col min="7" max="8" width="10.28515625" style="1" customWidth="1"/>
    <col min="9" max="9" width="10.140625" style="1" customWidth="1"/>
    <col min="10" max="10" width="12" style="1" customWidth="1"/>
    <col min="11" max="12" width="9.5703125" style="1" customWidth="1"/>
    <col min="13" max="13" width="10.7109375" style="1" customWidth="1"/>
    <col min="14" max="14" width="9.7109375" style="1" customWidth="1"/>
    <col min="15" max="15" width="9.5703125" style="1" customWidth="1"/>
    <col min="16" max="16" width="11.42578125" style="1" customWidth="1"/>
    <col min="17" max="19" width="10.42578125" style="1" customWidth="1"/>
    <col min="20" max="21" width="9.140625" style="1"/>
    <col min="22" max="22" width="9.5703125" style="1" bestFit="1" customWidth="1"/>
    <col min="23" max="24" width="9.140625" style="1"/>
    <col min="25" max="25" width="10.7109375" style="1" bestFit="1" customWidth="1"/>
    <col min="26" max="27" width="9.140625" style="1"/>
    <col min="28" max="30" width="9.85546875" style="1" customWidth="1"/>
    <col min="31" max="31" width="10.140625" style="1" customWidth="1"/>
    <col min="32" max="16384" width="9.140625" style="1"/>
  </cols>
  <sheetData>
    <row r="1" spans="1:31">
      <c r="A1" s="3" t="s">
        <v>14</v>
      </c>
      <c r="H1" s="2"/>
      <c r="I1" s="9" t="s">
        <v>4</v>
      </c>
      <c r="J1" s="1" t="s">
        <v>7</v>
      </c>
      <c r="Q1" s="9" t="s">
        <v>228</v>
      </c>
      <c r="R1" s="160" t="s">
        <v>229</v>
      </c>
      <c r="S1" s="161" t="s">
        <v>230</v>
      </c>
      <c r="T1" s="159" t="s">
        <v>231</v>
      </c>
      <c r="W1" s="9" t="s">
        <v>250</v>
      </c>
      <c r="X1" s="216" t="s">
        <v>251</v>
      </c>
      <c r="Y1" s="216"/>
      <c r="Z1" s="216"/>
      <c r="AA1" s="216"/>
      <c r="AB1" s="216"/>
      <c r="AC1" s="216"/>
    </row>
    <row r="2" spans="1:31">
      <c r="A2" s="2" t="s">
        <v>247</v>
      </c>
      <c r="B2" s="2"/>
      <c r="C2" s="2"/>
      <c r="D2" s="2"/>
      <c r="E2" s="2"/>
      <c r="F2" s="2"/>
      <c r="G2" s="2"/>
      <c r="J2" s="1" t="s">
        <v>6</v>
      </c>
      <c r="R2" s="12">
        <f>C21</f>
        <v>0.36</v>
      </c>
      <c r="S2" s="213">
        <v>2.5</v>
      </c>
      <c r="T2" s="15">
        <v>0.1</v>
      </c>
      <c r="X2" s="216"/>
      <c r="Y2" s="216"/>
      <c r="Z2" s="216"/>
      <c r="AA2" s="216"/>
      <c r="AB2" s="216"/>
      <c r="AC2" s="216"/>
    </row>
    <row r="3" spans="1:31">
      <c r="A3" s="3" t="s">
        <v>246</v>
      </c>
      <c r="J3" s="10" t="s">
        <v>5</v>
      </c>
      <c r="R3" s="12">
        <f>I21</f>
        <v>0.75</v>
      </c>
      <c r="S3" s="213">
        <v>5</v>
      </c>
      <c r="T3" s="15">
        <v>0.4</v>
      </c>
      <c r="X3" s="216"/>
      <c r="Y3" s="216"/>
      <c r="Z3" s="216"/>
      <c r="AA3" s="216"/>
      <c r="AB3" s="216"/>
      <c r="AC3" s="216"/>
    </row>
    <row r="4" spans="1:31">
      <c r="A4" s="3" t="s">
        <v>249</v>
      </c>
      <c r="J4" s="1" t="s">
        <v>9</v>
      </c>
      <c r="R4" s="12">
        <f>O21</f>
        <v>1.1399999999999999</v>
      </c>
      <c r="S4" s="213">
        <v>7.5</v>
      </c>
      <c r="T4" s="15">
        <v>1</v>
      </c>
      <c r="X4" s="216"/>
      <c r="Y4" s="216"/>
      <c r="Z4" s="216"/>
      <c r="AA4" s="216"/>
      <c r="AB4" s="216"/>
      <c r="AC4" s="216"/>
    </row>
    <row r="5" spans="1:31">
      <c r="R5" s="12">
        <f>U21</f>
        <v>1.61</v>
      </c>
      <c r="S5" s="213">
        <v>10</v>
      </c>
      <c r="T5" s="15">
        <v>2</v>
      </c>
      <c r="X5" s="216"/>
      <c r="Y5" s="216"/>
      <c r="Z5" s="216"/>
      <c r="AA5" s="216"/>
      <c r="AB5" s="216"/>
      <c r="AC5" s="216"/>
    </row>
    <row r="6" spans="1:31">
      <c r="A6" s="6"/>
      <c r="B6" s="6"/>
      <c r="C6" s="6"/>
      <c r="D6" s="6"/>
      <c r="E6" s="6"/>
      <c r="F6" s="6"/>
      <c r="G6" s="6"/>
      <c r="H6" s="6"/>
      <c r="I6" s="6"/>
      <c r="J6" s="6"/>
      <c r="K6" s="6"/>
      <c r="L6" s="6"/>
      <c r="M6" s="6"/>
      <c r="N6" s="6"/>
      <c r="O6" s="6"/>
      <c r="P6" s="6"/>
      <c r="Q6" s="6"/>
      <c r="R6" s="196"/>
      <c r="S6" s="196"/>
      <c r="T6" s="195"/>
      <c r="U6" s="6"/>
      <c r="V6" s="6"/>
      <c r="W6" s="6"/>
      <c r="X6" s="6"/>
      <c r="Y6" s="6"/>
      <c r="Z6" s="6"/>
      <c r="AA6" s="6"/>
      <c r="AB6" s="6"/>
      <c r="AC6" s="6"/>
      <c r="AD6" s="6"/>
      <c r="AE6" s="6"/>
    </row>
    <row r="7" spans="1:31" ht="15.75" customHeight="1">
      <c r="A7" s="20" t="s">
        <v>10</v>
      </c>
      <c r="B7" s="221">
        <v>2.5</v>
      </c>
      <c r="C7" s="222"/>
      <c r="D7" s="222"/>
      <c r="E7" s="222"/>
      <c r="F7" s="222"/>
      <c r="G7" s="223"/>
      <c r="H7" s="218">
        <v>5</v>
      </c>
      <c r="I7" s="219"/>
      <c r="J7" s="219"/>
      <c r="K7" s="219"/>
      <c r="L7" s="219"/>
      <c r="M7" s="220"/>
      <c r="N7" s="224">
        <v>7.5</v>
      </c>
      <c r="O7" s="225"/>
      <c r="P7" s="225"/>
      <c r="Q7" s="225"/>
      <c r="R7" s="225"/>
      <c r="S7" s="226"/>
      <c r="T7" s="218">
        <v>10</v>
      </c>
      <c r="U7" s="219"/>
      <c r="V7" s="219"/>
      <c r="W7" s="219"/>
      <c r="X7" s="219"/>
      <c r="Y7" s="220"/>
    </row>
    <row r="8" spans="1:31">
      <c r="A8" s="21" t="s">
        <v>11</v>
      </c>
      <c r="B8" s="7" t="s">
        <v>0</v>
      </c>
      <c r="C8" s="8" t="s">
        <v>1</v>
      </c>
      <c r="D8" s="8" t="s">
        <v>2</v>
      </c>
      <c r="E8" s="8" t="s">
        <v>3</v>
      </c>
      <c r="F8" s="8" t="s">
        <v>17</v>
      </c>
      <c r="G8" s="8" t="s">
        <v>8</v>
      </c>
      <c r="H8" s="7" t="s">
        <v>0</v>
      </c>
      <c r="I8" s="8" t="s">
        <v>1</v>
      </c>
      <c r="J8" s="8" t="s">
        <v>2</v>
      </c>
      <c r="K8" s="8" t="s">
        <v>3</v>
      </c>
      <c r="L8" s="8" t="s">
        <v>17</v>
      </c>
      <c r="M8" s="8" t="s">
        <v>8</v>
      </c>
      <c r="N8" s="7" t="s">
        <v>0</v>
      </c>
      <c r="O8" s="8" t="s">
        <v>1</v>
      </c>
      <c r="P8" s="8" t="s">
        <v>2</v>
      </c>
      <c r="Q8" s="8" t="s">
        <v>3</v>
      </c>
      <c r="R8" s="8" t="s">
        <v>17</v>
      </c>
      <c r="S8" s="8" t="s">
        <v>8</v>
      </c>
      <c r="T8" s="7" t="s">
        <v>0</v>
      </c>
      <c r="U8" s="8" t="s">
        <v>1</v>
      </c>
      <c r="V8" s="8" t="s">
        <v>2</v>
      </c>
      <c r="W8" s="8" t="s">
        <v>3</v>
      </c>
      <c r="X8" s="8" t="s">
        <v>17</v>
      </c>
      <c r="Y8" s="19" t="s">
        <v>8</v>
      </c>
    </row>
    <row r="9" spans="1:31">
      <c r="A9" s="5">
        <v>0</v>
      </c>
      <c r="B9" s="13">
        <v>24</v>
      </c>
      <c r="C9" s="11">
        <v>0.36</v>
      </c>
      <c r="D9" s="18">
        <v>3.8094999999999997E-2</v>
      </c>
      <c r="E9" s="16">
        <v>2.4944000000000002</v>
      </c>
      <c r="F9" s="11">
        <f>D9/(E9*0.001)</f>
        <v>15.272209749839638</v>
      </c>
      <c r="G9" s="203">
        <f>D9*E9</f>
        <v>9.5024167999999992E-2</v>
      </c>
      <c r="H9" s="13">
        <v>24</v>
      </c>
      <c r="I9" s="11">
        <v>0.75</v>
      </c>
      <c r="J9" s="18">
        <v>7.7821000000000001E-2</v>
      </c>
      <c r="K9" s="16">
        <v>4.9950999999999999</v>
      </c>
      <c r="L9" s="11">
        <f>J9/(K9*0.001)</f>
        <v>15.579467878520951</v>
      </c>
      <c r="M9" s="203">
        <f>J9*K9</f>
        <v>0.3887236771</v>
      </c>
      <c r="N9" s="13">
        <v>24</v>
      </c>
      <c r="O9" s="11">
        <v>1.1100000000000001</v>
      </c>
      <c r="P9" s="17">
        <v>0.12106</v>
      </c>
      <c r="Q9" s="16">
        <v>7.4958999999999998</v>
      </c>
      <c r="R9" s="11">
        <f>P9/(Q9*0.001)</f>
        <v>16.15016208860844</v>
      </c>
      <c r="S9" s="203">
        <f>P9*Q9</f>
        <v>0.907453654</v>
      </c>
      <c r="T9" s="13">
        <v>24</v>
      </c>
      <c r="U9" s="11">
        <v>1.53</v>
      </c>
      <c r="V9" s="17">
        <v>0.16636000000000001</v>
      </c>
      <c r="W9" s="16">
        <v>9.9968000000000004</v>
      </c>
      <c r="X9" s="11">
        <f>V9/(W9*0.001)</f>
        <v>16.641325224071704</v>
      </c>
      <c r="Y9" s="203">
        <f>V9*W9</f>
        <v>1.6630676480000002</v>
      </c>
    </row>
    <row r="10" spans="1:31">
      <c r="A10" s="5">
        <v>5</v>
      </c>
      <c r="B10" s="13"/>
      <c r="C10" s="11"/>
      <c r="D10" s="18"/>
      <c r="E10" s="16"/>
      <c r="F10" s="11"/>
      <c r="G10" s="203"/>
      <c r="H10" s="13"/>
      <c r="I10" s="11"/>
      <c r="J10" s="18"/>
      <c r="K10" s="16"/>
      <c r="L10" s="11"/>
      <c r="M10" s="203"/>
      <c r="N10" s="13">
        <v>39.9</v>
      </c>
      <c r="O10" s="11">
        <v>1.1299999999999999</v>
      </c>
      <c r="P10" s="17">
        <v>0.12734000000000001</v>
      </c>
      <c r="Q10" s="16">
        <v>7.4965000000000002</v>
      </c>
      <c r="R10" s="11">
        <f t="shared" ref="R10:R22" si="0">P10/(Q10*0.001)</f>
        <v>16.986593743747083</v>
      </c>
      <c r="S10" s="203">
        <f t="shared" ref="S10:S22" si="1">P10*Q10</f>
        <v>0.95460431000000012</v>
      </c>
      <c r="T10" s="13">
        <v>52</v>
      </c>
      <c r="U10" s="11">
        <v>1.58</v>
      </c>
      <c r="V10" s="17">
        <v>0.18386</v>
      </c>
      <c r="W10" s="16">
        <v>9.9974000000000007</v>
      </c>
      <c r="X10" s="11">
        <f t="shared" ref="X10:X22" si="2">V10/(W10*0.001)</f>
        <v>18.390781603216833</v>
      </c>
      <c r="Y10" s="203">
        <f t="shared" ref="Y10:Y22" si="3">V10*W10</f>
        <v>1.8381219640000002</v>
      </c>
    </row>
    <row r="11" spans="1:31">
      <c r="A11" s="5">
        <v>10</v>
      </c>
      <c r="B11" s="13">
        <v>26.7</v>
      </c>
      <c r="C11" s="11">
        <v>0.36</v>
      </c>
      <c r="D11" s="18">
        <v>3.8484999999999998E-2</v>
      </c>
      <c r="E11" s="16">
        <v>2.4948000000000001</v>
      </c>
      <c r="F11" s="11">
        <f t="shared" ref="F11:F22" si="4">D11/(E11*0.001)</f>
        <v>15.426086259419591</v>
      </c>
      <c r="G11" s="203">
        <f t="shared" ref="G11:G22" si="5">D11*E11</f>
        <v>9.6012377999999995E-2</v>
      </c>
      <c r="H11" s="13">
        <v>34.4</v>
      </c>
      <c r="I11" s="11">
        <v>0.75</v>
      </c>
      <c r="J11" s="18">
        <v>8.0602999999999994E-2</v>
      </c>
      <c r="K11" s="16">
        <v>4.9962</v>
      </c>
      <c r="L11" s="11">
        <f t="shared" ref="L11:L22" si="6">J11/(K11*0.001)</f>
        <v>16.132860974340499</v>
      </c>
      <c r="M11" s="203">
        <f t="shared" ref="M11:M22" si="7">J11*K11</f>
        <v>0.40270870859999996</v>
      </c>
      <c r="N11" s="13">
        <v>47</v>
      </c>
      <c r="O11" s="11">
        <v>1.1399999999999999</v>
      </c>
      <c r="P11" s="17">
        <v>0.13033</v>
      </c>
      <c r="Q11" s="16">
        <v>7.4972000000000003</v>
      </c>
      <c r="R11" s="11">
        <f t="shared" si="0"/>
        <v>17.383823294029771</v>
      </c>
      <c r="S11" s="203">
        <f t="shared" si="1"/>
        <v>0.97711007600000011</v>
      </c>
      <c r="T11" s="13">
        <v>64.900000000000006</v>
      </c>
      <c r="U11" s="11">
        <v>1.59</v>
      </c>
      <c r="V11" s="17">
        <v>0.19137000000000001</v>
      </c>
      <c r="W11" s="16">
        <v>9.9975000000000005</v>
      </c>
      <c r="X11" s="11">
        <f t="shared" si="2"/>
        <v>19.141785446361588</v>
      </c>
      <c r="Y11" s="203">
        <f t="shared" si="3"/>
        <v>1.9132215750000001</v>
      </c>
    </row>
    <row r="12" spans="1:31">
      <c r="A12" s="24">
        <v>15</v>
      </c>
      <c r="B12" s="13"/>
      <c r="C12" s="11"/>
      <c r="D12" s="18"/>
      <c r="E12" s="16"/>
      <c r="F12" s="11"/>
      <c r="G12" s="203"/>
      <c r="H12" s="13">
        <v>35.700000000000003</v>
      </c>
      <c r="I12" s="11">
        <v>0.75</v>
      </c>
      <c r="J12" s="18">
        <v>8.1074999999999994E-2</v>
      </c>
      <c r="K12" s="16">
        <v>4.9962999999999997</v>
      </c>
      <c r="L12" s="11">
        <f t="shared" si="6"/>
        <v>16.227007985909573</v>
      </c>
      <c r="M12" s="203">
        <f t="shared" si="7"/>
        <v>0.40507502249999994</v>
      </c>
      <c r="N12" s="13">
        <v>50.5</v>
      </c>
      <c r="O12" s="11">
        <v>1.1399999999999999</v>
      </c>
      <c r="P12" s="17">
        <v>0.13175000000000001</v>
      </c>
      <c r="Q12" s="16">
        <v>7.4973000000000001</v>
      </c>
      <c r="R12" s="11">
        <f t="shared" si="0"/>
        <v>17.572992944126554</v>
      </c>
      <c r="S12" s="203">
        <f t="shared" si="1"/>
        <v>0.987769275</v>
      </c>
      <c r="T12" s="13">
        <v>71.099999999999994</v>
      </c>
      <c r="U12" s="11">
        <v>1.6</v>
      </c>
      <c r="V12" s="17">
        <v>0.19502</v>
      </c>
      <c r="W12" s="16">
        <v>9.9972999999999992</v>
      </c>
      <c r="X12" s="11">
        <f t="shared" si="2"/>
        <v>19.507266962079765</v>
      </c>
      <c r="Y12" s="203">
        <f t="shared" si="3"/>
        <v>1.9496734459999998</v>
      </c>
    </row>
    <row r="13" spans="1:31">
      <c r="A13" s="24">
        <v>20</v>
      </c>
      <c r="B13" s="13">
        <v>27.5</v>
      </c>
      <c r="C13" s="11">
        <v>0.36</v>
      </c>
      <c r="D13" s="18">
        <v>3.8603999999999999E-2</v>
      </c>
      <c r="E13" s="16">
        <v>2.4950999999999999</v>
      </c>
      <c r="F13" s="11">
        <f t="shared" si="4"/>
        <v>15.471924972946976</v>
      </c>
      <c r="G13" s="203">
        <f t="shared" si="5"/>
        <v>9.6320840399999996E-2</v>
      </c>
      <c r="H13" s="13">
        <v>37</v>
      </c>
      <c r="I13" s="11">
        <v>0.75</v>
      </c>
      <c r="J13" s="18">
        <v>8.1326999999999997E-2</v>
      </c>
      <c r="K13" s="16">
        <v>4.9964000000000004</v>
      </c>
      <c r="L13" s="11">
        <f t="shared" si="6"/>
        <v>16.277119526058758</v>
      </c>
      <c r="M13" s="203">
        <f t="shared" si="7"/>
        <v>0.40634222280000004</v>
      </c>
      <c r="N13" s="13">
        <v>51.8</v>
      </c>
      <c r="O13" s="11">
        <v>1.1399999999999999</v>
      </c>
      <c r="P13" s="17">
        <v>0.13247</v>
      </c>
      <c r="Q13" s="16">
        <v>7.4973999999999998</v>
      </c>
      <c r="R13" s="11">
        <f t="shared" si="0"/>
        <v>17.668791847840584</v>
      </c>
      <c r="S13" s="203">
        <f t="shared" si="1"/>
        <v>0.99318057800000004</v>
      </c>
      <c r="T13" s="13">
        <v>73.8</v>
      </c>
      <c r="U13" s="11">
        <v>1.6</v>
      </c>
      <c r="V13" s="17">
        <v>0.19685</v>
      </c>
      <c r="W13" s="16">
        <v>9.9969999999999999</v>
      </c>
      <c r="X13" s="11">
        <f t="shared" si="2"/>
        <v>19.690907272181654</v>
      </c>
      <c r="Y13" s="203">
        <f t="shared" si="3"/>
        <v>1.9679094500000001</v>
      </c>
    </row>
    <row r="14" spans="1:31">
      <c r="A14" s="24">
        <v>25</v>
      </c>
      <c r="B14" s="13"/>
      <c r="C14" s="11"/>
      <c r="D14" s="18"/>
      <c r="E14" s="16"/>
      <c r="F14" s="11"/>
      <c r="G14" s="203"/>
      <c r="H14" s="13">
        <v>37.200000000000003</v>
      </c>
      <c r="I14" s="11">
        <v>0.75</v>
      </c>
      <c r="J14" s="18">
        <v>8.1484000000000001E-2</v>
      </c>
      <c r="K14" s="16">
        <v>4.9964000000000004</v>
      </c>
      <c r="L14" s="11">
        <f t="shared" si="6"/>
        <v>16.308542150348249</v>
      </c>
      <c r="M14" s="203">
        <f t="shared" si="7"/>
        <v>0.40712665760000005</v>
      </c>
      <c r="N14" s="13">
        <v>52.6</v>
      </c>
      <c r="O14" s="11">
        <v>1.1399999999999999</v>
      </c>
      <c r="P14" s="17">
        <v>0.13285</v>
      </c>
      <c r="Q14" s="16">
        <v>7.4973000000000001</v>
      </c>
      <c r="R14" s="11">
        <f t="shared" si="0"/>
        <v>17.719712429808062</v>
      </c>
      <c r="S14" s="203">
        <f t="shared" si="1"/>
        <v>0.99601630499999994</v>
      </c>
      <c r="T14" s="13">
        <v>75.400000000000006</v>
      </c>
      <c r="U14" s="11">
        <v>1.6</v>
      </c>
      <c r="V14" s="17">
        <v>0.19783000000000001</v>
      </c>
      <c r="W14" s="16">
        <v>9.9969999999999999</v>
      </c>
      <c r="X14" s="11">
        <f t="shared" si="2"/>
        <v>19.788936681004301</v>
      </c>
      <c r="Y14" s="203">
        <f t="shared" si="3"/>
        <v>1.97770651</v>
      </c>
    </row>
    <row r="15" spans="1:31">
      <c r="A15" s="24">
        <v>30</v>
      </c>
      <c r="B15" s="13">
        <v>27.9</v>
      </c>
      <c r="C15" s="11">
        <v>0.36</v>
      </c>
      <c r="D15" s="18">
        <v>3.8642999999999997E-2</v>
      </c>
      <c r="E15" s="16">
        <v>2.4952000000000001</v>
      </c>
      <c r="F15" s="11">
        <f t="shared" si="4"/>
        <v>15.486934915036869</v>
      </c>
      <c r="G15" s="203">
        <f t="shared" si="5"/>
        <v>9.6422013599999995E-2</v>
      </c>
      <c r="H15" s="13">
        <v>37.9</v>
      </c>
      <c r="I15" s="11">
        <v>0.74</v>
      </c>
      <c r="J15" s="18">
        <v>8.1581000000000001E-2</v>
      </c>
      <c r="K15" s="16">
        <v>4.9965000000000002</v>
      </c>
      <c r="L15" s="11">
        <f t="shared" si="6"/>
        <v>16.327629340538376</v>
      </c>
      <c r="M15" s="203">
        <f t="shared" si="7"/>
        <v>0.40761946650000003</v>
      </c>
      <c r="N15" s="13">
        <v>53.2</v>
      </c>
      <c r="O15" s="11">
        <v>1.1399999999999999</v>
      </c>
      <c r="P15" s="17">
        <v>0.13306000000000001</v>
      </c>
      <c r="Q15" s="16">
        <v>7.4973999999999998</v>
      </c>
      <c r="R15" s="11">
        <f t="shared" si="0"/>
        <v>17.747485795075626</v>
      </c>
      <c r="S15" s="203">
        <f t="shared" si="1"/>
        <v>0.99760404400000002</v>
      </c>
      <c r="T15" s="13">
        <v>76.2</v>
      </c>
      <c r="U15" s="11">
        <v>1.61</v>
      </c>
      <c r="V15" s="17">
        <v>0.19839000000000001</v>
      </c>
      <c r="W15" s="16">
        <v>9.9969000000000001</v>
      </c>
      <c r="X15" s="11">
        <f t="shared" si="2"/>
        <v>19.84515199711911</v>
      </c>
      <c r="Y15" s="203">
        <f t="shared" si="3"/>
        <v>1.9832849910000001</v>
      </c>
    </row>
    <row r="16" spans="1:31">
      <c r="A16" s="24">
        <v>35</v>
      </c>
      <c r="B16" s="13"/>
      <c r="C16" s="11"/>
      <c r="D16" s="18"/>
      <c r="E16" s="16"/>
      <c r="F16" s="11"/>
      <c r="G16" s="203"/>
      <c r="H16" s="13"/>
      <c r="I16" s="11"/>
      <c r="J16" s="18"/>
      <c r="K16" s="16"/>
      <c r="L16" s="11"/>
      <c r="M16" s="203"/>
      <c r="N16" s="13">
        <v>53.5</v>
      </c>
      <c r="O16" s="11">
        <v>1.1399999999999999</v>
      </c>
      <c r="P16" s="17">
        <v>0.13319</v>
      </c>
      <c r="Q16" s="16">
        <v>7.4973999999999998</v>
      </c>
      <c r="R16" s="11">
        <f t="shared" si="0"/>
        <v>17.764825139381653</v>
      </c>
      <c r="S16" s="203">
        <f t="shared" si="1"/>
        <v>0.99857870599999998</v>
      </c>
      <c r="T16" s="13">
        <v>76.599999999999994</v>
      </c>
      <c r="U16" s="11">
        <v>1.61</v>
      </c>
      <c r="V16" s="17">
        <v>0.19874</v>
      </c>
      <c r="W16" s="16">
        <v>9.9964999999999993</v>
      </c>
      <c r="X16" s="11">
        <f t="shared" si="2"/>
        <v>19.880958335417397</v>
      </c>
      <c r="Y16" s="203">
        <f t="shared" si="3"/>
        <v>1.9867044099999998</v>
      </c>
    </row>
    <row r="17" spans="1:31">
      <c r="A17" s="24">
        <v>40</v>
      </c>
      <c r="B17" s="13">
        <v>28.1</v>
      </c>
      <c r="C17" s="11">
        <v>0.36</v>
      </c>
      <c r="D17" s="18">
        <v>3.8678999999999998E-2</v>
      </c>
      <c r="E17" s="16">
        <v>2.4950999999999999</v>
      </c>
      <c r="F17" s="11">
        <f t="shared" si="4"/>
        <v>15.501983888421304</v>
      </c>
      <c r="G17" s="203">
        <f t="shared" si="5"/>
        <v>9.6507972899999989E-2</v>
      </c>
      <c r="H17" s="13">
        <v>38.299999999999997</v>
      </c>
      <c r="I17" s="11">
        <v>0.75</v>
      </c>
      <c r="J17" s="18">
        <v>8.1687999999999997E-2</v>
      </c>
      <c r="K17" s="16">
        <v>4.9964000000000004</v>
      </c>
      <c r="L17" s="11">
        <f t="shared" si="6"/>
        <v>16.349371547514206</v>
      </c>
      <c r="M17" s="203">
        <f t="shared" si="7"/>
        <v>0.40814592320000004</v>
      </c>
      <c r="N17" s="13">
        <v>53.5</v>
      </c>
      <c r="O17" s="11">
        <v>1.1399999999999999</v>
      </c>
      <c r="P17" s="17">
        <v>0.13325999999999999</v>
      </c>
      <c r="Q17" s="16">
        <v>7.4973000000000001</v>
      </c>
      <c r="R17" s="11">
        <f t="shared" si="0"/>
        <v>17.774398783562081</v>
      </c>
      <c r="S17" s="203">
        <f t="shared" si="1"/>
        <v>0.99909019799999998</v>
      </c>
      <c r="T17" s="13">
        <v>77</v>
      </c>
      <c r="U17" s="11">
        <v>1.61</v>
      </c>
      <c r="V17" s="17">
        <v>0.19894999999999999</v>
      </c>
      <c r="W17" s="16">
        <v>9.9964999999999993</v>
      </c>
      <c r="X17" s="11">
        <f t="shared" si="2"/>
        <v>19.901965687990796</v>
      </c>
      <c r="Y17" s="203">
        <f t="shared" si="3"/>
        <v>1.9888036749999998</v>
      </c>
    </row>
    <row r="18" spans="1:31">
      <c r="A18" s="197">
        <v>45</v>
      </c>
      <c r="B18" s="13">
        <v>28.2</v>
      </c>
      <c r="C18" s="11">
        <v>0.36</v>
      </c>
      <c r="D18" s="18">
        <v>3.8695E-2</v>
      </c>
      <c r="E18" s="16">
        <v>2.4952000000000001</v>
      </c>
      <c r="F18" s="11">
        <f t="shared" si="4"/>
        <v>15.507774927861494</v>
      </c>
      <c r="G18" s="203">
        <f t="shared" si="5"/>
        <v>9.6551763999999998E-2</v>
      </c>
      <c r="H18" s="13">
        <v>38.5</v>
      </c>
      <c r="I18" s="11">
        <v>0.75</v>
      </c>
      <c r="J18" s="18">
        <v>8.1711000000000006E-2</v>
      </c>
      <c r="K18" s="16">
        <v>4.9965000000000002</v>
      </c>
      <c r="L18" s="11">
        <f t="shared" si="6"/>
        <v>16.353647553287303</v>
      </c>
      <c r="M18" s="203">
        <f t="shared" si="7"/>
        <v>0.40826901150000006</v>
      </c>
      <c r="N18" s="13">
        <v>53.5</v>
      </c>
      <c r="O18" s="11">
        <v>1.1399999999999999</v>
      </c>
      <c r="P18" s="17">
        <v>0.13331999999999999</v>
      </c>
      <c r="Q18" s="16">
        <v>7.4974999999999996</v>
      </c>
      <c r="R18" s="11">
        <f t="shared" si="0"/>
        <v>17.781927309103033</v>
      </c>
      <c r="S18" s="203">
        <f t="shared" si="1"/>
        <v>0.99956669999999992</v>
      </c>
      <c r="T18" s="13">
        <v>77.3</v>
      </c>
      <c r="U18" s="11">
        <v>1.61</v>
      </c>
      <c r="V18" s="17">
        <v>0.19911000000000001</v>
      </c>
      <c r="W18" s="16">
        <v>9.9963999999999995</v>
      </c>
      <c r="X18" s="11">
        <f t="shared" si="2"/>
        <v>19.918170541394904</v>
      </c>
      <c r="Y18" s="203">
        <f t="shared" si="3"/>
        <v>1.990383204</v>
      </c>
    </row>
    <row r="19" spans="1:31">
      <c r="A19" s="197">
        <v>50</v>
      </c>
      <c r="B19" s="13">
        <v>28.3</v>
      </c>
      <c r="C19" s="11">
        <v>0.36</v>
      </c>
      <c r="D19" s="18">
        <v>3.8705999999999997E-2</v>
      </c>
      <c r="E19" s="16">
        <v>2.4952000000000001</v>
      </c>
      <c r="F19" s="11">
        <f t="shared" si="4"/>
        <v>15.512183392112856</v>
      </c>
      <c r="G19" s="203">
        <f t="shared" si="5"/>
        <v>9.6579211200000001E-2</v>
      </c>
      <c r="H19" s="13">
        <v>38.6</v>
      </c>
      <c r="I19" s="11">
        <v>0.75</v>
      </c>
      <c r="J19" s="18">
        <v>8.1739999999999993E-2</v>
      </c>
      <c r="K19" s="16">
        <v>4.9965000000000002</v>
      </c>
      <c r="L19" s="11">
        <f t="shared" si="6"/>
        <v>16.359451616131292</v>
      </c>
      <c r="M19" s="203">
        <f t="shared" si="7"/>
        <v>0.40841390999999999</v>
      </c>
      <c r="N19" s="13">
        <v>53.6</v>
      </c>
      <c r="O19" s="11">
        <v>1.1399999999999999</v>
      </c>
      <c r="P19" s="17">
        <v>0.13335</v>
      </c>
      <c r="Q19" s="16">
        <v>7.4973999999999998</v>
      </c>
      <c r="R19" s="11">
        <f t="shared" si="0"/>
        <v>17.786165870835223</v>
      </c>
      <c r="S19" s="203">
        <f t="shared" si="1"/>
        <v>0.99977828999999996</v>
      </c>
      <c r="T19" s="13">
        <v>77.599999999999994</v>
      </c>
      <c r="U19" s="11">
        <v>1.61</v>
      </c>
      <c r="V19" s="17">
        <v>0.19919999999999999</v>
      </c>
      <c r="W19" s="16">
        <v>9.9964999999999993</v>
      </c>
      <c r="X19" s="11">
        <f t="shared" si="2"/>
        <v>19.926974441054366</v>
      </c>
      <c r="Y19" s="203">
        <f t="shared" si="3"/>
        <v>1.9913027999999997</v>
      </c>
    </row>
    <row r="20" spans="1:31">
      <c r="A20" s="197">
        <v>55</v>
      </c>
      <c r="B20" s="13">
        <v>28.3</v>
      </c>
      <c r="C20" s="11">
        <v>0.36</v>
      </c>
      <c r="D20" s="18">
        <v>3.8717000000000001E-2</v>
      </c>
      <c r="E20" s="16">
        <v>2.4952999999999999</v>
      </c>
      <c r="F20" s="11">
        <f t="shared" si="4"/>
        <v>15.515970023644453</v>
      </c>
      <c r="G20" s="203">
        <f t="shared" si="5"/>
        <v>9.6610530099999994E-2</v>
      </c>
      <c r="H20" s="13">
        <v>38.6</v>
      </c>
      <c r="I20" s="11">
        <v>0.75</v>
      </c>
      <c r="J20" s="18">
        <v>8.1765000000000004E-2</v>
      </c>
      <c r="K20" s="16">
        <v>4.9965000000000002</v>
      </c>
      <c r="L20" s="11">
        <f t="shared" si="6"/>
        <v>16.36445511858301</v>
      </c>
      <c r="M20" s="203">
        <f t="shared" si="7"/>
        <v>0.40853882250000001</v>
      </c>
      <c r="N20" s="13">
        <v>53.6</v>
      </c>
      <c r="O20" s="11">
        <v>1.1399999999999999</v>
      </c>
      <c r="P20" s="17">
        <v>0.13338</v>
      </c>
      <c r="Q20" s="16">
        <v>7.4973999999999998</v>
      </c>
      <c r="R20" s="11">
        <f t="shared" si="0"/>
        <v>17.790167257982766</v>
      </c>
      <c r="S20" s="203">
        <f t="shared" si="1"/>
        <v>1.000003212</v>
      </c>
      <c r="T20" s="13">
        <v>77.7</v>
      </c>
      <c r="U20" s="11">
        <v>1.61</v>
      </c>
      <c r="V20" s="17">
        <v>0.19927</v>
      </c>
      <c r="W20" s="16">
        <v>9.9962999999999997</v>
      </c>
      <c r="X20" s="11">
        <f t="shared" si="2"/>
        <v>19.934375719016035</v>
      </c>
      <c r="Y20" s="203">
        <f t="shared" si="3"/>
        <v>1.9919627010000001</v>
      </c>
    </row>
    <row r="21" spans="1:31">
      <c r="A21" s="197">
        <v>60</v>
      </c>
      <c r="B21" s="13">
        <v>28.4</v>
      </c>
      <c r="C21" s="11">
        <v>0.36</v>
      </c>
      <c r="D21" s="18">
        <v>3.8724000000000001E-2</v>
      </c>
      <c r="E21" s="16">
        <v>2.4952000000000001</v>
      </c>
      <c r="F21" s="11">
        <f t="shared" si="4"/>
        <v>15.519397242705997</v>
      </c>
      <c r="G21" s="203">
        <f t="shared" si="5"/>
        <v>9.6624124800000002E-2</v>
      </c>
      <c r="H21" s="13">
        <v>38.6</v>
      </c>
      <c r="I21" s="11">
        <v>0.75</v>
      </c>
      <c r="J21" s="18">
        <v>8.1790000000000002E-2</v>
      </c>
      <c r="K21" s="16">
        <v>4.9964000000000004</v>
      </c>
      <c r="L21" s="11">
        <f t="shared" si="6"/>
        <v>16.369786246097188</v>
      </c>
      <c r="M21" s="203">
        <f t="shared" si="7"/>
        <v>0.40865555600000003</v>
      </c>
      <c r="N21" s="13">
        <v>53.6</v>
      </c>
      <c r="O21" s="11">
        <v>1.1399999999999999</v>
      </c>
      <c r="P21" s="17">
        <v>0.13341</v>
      </c>
      <c r="Q21" s="16">
        <v>7.4973000000000001</v>
      </c>
      <c r="R21" s="11">
        <f t="shared" si="0"/>
        <v>17.794405986155017</v>
      </c>
      <c r="S21" s="203">
        <f t="shared" si="1"/>
        <v>1.000214793</v>
      </c>
      <c r="T21" s="13">
        <v>77.7</v>
      </c>
      <c r="U21" s="11">
        <v>1.61</v>
      </c>
      <c r="V21" s="17">
        <v>0.19933000000000001</v>
      </c>
      <c r="W21" s="16">
        <v>9.9962999999999997</v>
      </c>
      <c r="X21" s="11">
        <f t="shared" si="2"/>
        <v>19.940377939837742</v>
      </c>
      <c r="Y21" s="203">
        <f t="shared" si="3"/>
        <v>1.9925624790000001</v>
      </c>
    </row>
    <row r="22" spans="1:31">
      <c r="A22" s="197">
        <v>65</v>
      </c>
      <c r="B22" s="13">
        <v>28.4</v>
      </c>
      <c r="C22" s="11">
        <v>0.36</v>
      </c>
      <c r="D22" s="18">
        <v>3.8733999999999998E-2</v>
      </c>
      <c r="E22" s="16">
        <v>2.4952000000000001</v>
      </c>
      <c r="F22" s="11">
        <f t="shared" si="4"/>
        <v>15.523404937479961</v>
      </c>
      <c r="G22" s="203">
        <f t="shared" si="5"/>
        <v>9.6649076799999997E-2</v>
      </c>
      <c r="H22" s="207">
        <v>38.1</v>
      </c>
      <c r="I22" s="11">
        <v>0.75</v>
      </c>
      <c r="J22" s="18">
        <v>8.1805000000000003E-2</v>
      </c>
      <c r="K22" s="16">
        <v>4.9964000000000004</v>
      </c>
      <c r="L22" s="11">
        <f t="shared" si="6"/>
        <v>16.372788407653509</v>
      </c>
      <c r="M22" s="203">
        <f t="shared" si="7"/>
        <v>0.40873050200000005</v>
      </c>
      <c r="N22" s="13">
        <v>53.8</v>
      </c>
      <c r="O22" s="11">
        <v>1.1399999999999999</v>
      </c>
      <c r="P22" s="17">
        <v>0.13342999999999999</v>
      </c>
      <c r="Q22" s="16">
        <v>7.4973000000000001</v>
      </c>
      <c r="R22" s="11">
        <f t="shared" si="0"/>
        <v>17.797073613167406</v>
      </c>
      <c r="S22" s="203">
        <f t="shared" si="1"/>
        <v>1.0003647389999999</v>
      </c>
      <c r="T22" s="13">
        <v>77.7</v>
      </c>
      <c r="U22" s="11">
        <v>1.61</v>
      </c>
      <c r="V22" s="17">
        <v>0.19938</v>
      </c>
      <c r="W22" s="16">
        <v>9.9962</v>
      </c>
      <c r="X22" s="11">
        <f t="shared" si="2"/>
        <v>19.945579320141654</v>
      </c>
      <c r="Y22" s="203">
        <f t="shared" si="3"/>
        <v>1.9930423559999999</v>
      </c>
    </row>
    <row r="23" spans="1:31">
      <c r="A23" s="197"/>
      <c r="B23" s="13"/>
      <c r="C23" s="11"/>
      <c r="D23" s="18"/>
      <c r="E23" s="16"/>
      <c r="F23" s="204" t="s">
        <v>238</v>
      </c>
      <c r="G23" s="205" t="s">
        <v>248</v>
      </c>
      <c r="H23" s="13"/>
      <c r="I23" s="11"/>
      <c r="J23" s="18"/>
      <c r="K23" s="16"/>
      <c r="L23" s="204" t="s">
        <v>238</v>
      </c>
      <c r="M23" s="205" t="s">
        <v>248</v>
      </c>
      <c r="N23" s="13"/>
      <c r="O23" s="11"/>
      <c r="P23" s="17"/>
      <c r="Q23" s="16"/>
      <c r="R23" s="204" t="s">
        <v>238</v>
      </c>
      <c r="S23" s="205" t="s">
        <v>248</v>
      </c>
      <c r="T23" s="13"/>
      <c r="U23" s="14"/>
      <c r="V23" s="14"/>
      <c r="W23" s="14"/>
      <c r="X23" s="204" t="s">
        <v>238</v>
      </c>
      <c r="Y23" s="205" t="s">
        <v>248</v>
      </c>
    </row>
    <row r="24" spans="1:31">
      <c r="A24" s="4"/>
      <c r="B24" s="22" t="s">
        <v>12</v>
      </c>
      <c r="C24" s="14"/>
      <c r="D24" s="14"/>
      <c r="F24" s="206">
        <f>(B22-B9)/G24</f>
        <v>45.676222363326808</v>
      </c>
      <c r="G24" s="215">
        <f>AVERAGE(G9,G11,G13,G15,G17:G22)</f>
        <v>9.6330207979999999E-2</v>
      </c>
      <c r="H24" s="22" t="s">
        <v>13</v>
      </c>
      <c r="I24" s="14"/>
      <c r="J24" s="14"/>
      <c r="K24" s="14"/>
      <c r="L24" s="206">
        <f>(H21-H9)/M24</f>
        <v>35.987556092461084</v>
      </c>
      <c r="M24" s="215">
        <f>AVERAGE(M9,M11:M15,M17:M22)</f>
        <v>0.405695790025</v>
      </c>
      <c r="N24" s="22" t="s">
        <v>241</v>
      </c>
      <c r="O24" s="14"/>
      <c r="P24" s="14"/>
      <c r="Q24" s="14"/>
      <c r="R24" s="206">
        <f>(N21-N9)/S24</f>
        <v>29.954077504973341</v>
      </c>
      <c r="S24" s="215">
        <f>AVERAGE(S9,S11:S15,S17:S22)</f>
        <v>0.9881793219999998</v>
      </c>
      <c r="T24" s="22" t="s">
        <v>242</v>
      </c>
      <c r="U24" s="14"/>
      <c r="V24" s="14"/>
      <c r="W24" s="14"/>
      <c r="X24" s="206">
        <f>(T21-T9)/Y24</f>
        <v>27.611538855168163</v>
      </c>
      <c r="Y24" s="214">
        <f>AVERAGE(Y9:Y22)</f>
        <v>1.944839086357143</v>
      </c>
    </row>
    <row r="25" spans="1:31">
      <c r="A25" s="4"/>
      <c r="B25" s="169"/>
      <c r="C25" s="14"/>
      <c r="D25" s="14"/>
      <c r="E25" s="14"/>
      <c r="F25" s="204" t="s">
        <v>239</v>
      </c>
      <c r="G25" s="205" t="s">
        <v>167</v>
      </c>
      <c r="H25" s="169"/>
      <c r="I25" s="14"/>
      <c r="J25" s="14"/>
      <c r="K25" s="14"/>
      <c r="L25" s="204" t="s">
        <v>239</v>
      </c>
      <c r="M25" s="205" t="s">
        <v>167</v>
      </c>
      <c r="N25" s="169"/>
      <c r="O25" s="14"/>
      <c r="P25" s="14"/>
      <c r="Q25" s="14"/>
      <c r="R25" s="204" t="s">
        <v>239</v>
      </c>
      <c r="S25" s="205" t="s">
        <v>167</v>
      </c>
      <c r="T25" s="169"/>
      <c r="U25" s="14"/>
      <c r="V25" s="14"/>
      <c r="W25" s="14"/>
      <c r="X25" s="204" t="s">
        <v>239</v>
      </c>
      <c r="Y25" s="205" t="s">
        <v>167</v>
      </c>
    </row>
    <row r="26" spans="1:31">
      <c r="A26" s="6"/>
      <c r="B26" s="169"/>
      <c r="C26" s="14"/>
      <c r="D26" s="14"/>
      <c r="E26" s="14"/>
      <c r="F26" s="14"/>
      <c r="G26" s="14"/>
      <c r="H26" s="169"/>
      <c r="I26" s="14"/>
      <c r="J26" s="14"/>
      <c r="K26" s="14"/>
      <c r="L26" s="14"/>
      <c r="M26" s="14"/>
      <c r="N26" s="169"/>
      <c r="O26" s="14"/>
      <c r="P26" s="14"/>
      <c r="Q26" s="14"/>
      <c r="R26" s="14"/>
      <c r="S26" s="14"/>
      <c r="T26" s="169"/>
      <c r="U26" s="14"/>
      <c r="V26" s="14"/>
      <c r="W26" s="14"/>
      <c r="X26" s="14"/>
      <c r="Y26" s="14"/>
      <c r="Z26" s="169"/>
      <c r="AA26" s="14"/>
      <c r="AB26" s="14"/>
      <c r="AC26" s="14"/>
      <c r="AD26" s="14"/>
      <c r="AE26" s="14"/>
    </row>
    <row r="27" spans="1:31">
      <c r="A27" s="6"/>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5"/>
      <c r="AB27" s="15"/>
      <c r="AC27" s="15"/>
      <c r="AD27" s="15"/>
      <c r="AE27" s="15"/>
    </row>
    <row r="29" spans="1:31" ht="15.75" customHeight="1">
      <c r="M29" s="230" t="s">
        <v>18</v>
      </c>
      <c r="N29" s="228" t="s">
        <v>19</v>
      </c>
    </row>
    <row r="30" spans="1:31">
      <c r="M30" s="230"/>
      <c r="N30" s="229"/>
    </row>
    <row r="31" spans="1:31" ht="15.75" customHeight="1">
      <c r="M31" s="208">
        <v>0</v>
      </c>
      <c r="N31" s="210">
        <v>0</v>
      </c>
      <c r="X31" s="217" t="s">
        <v>243</v>
      </c>
      <c r="Y31" s="217"/>
      <c r="Z31" s="217"/>
      <c r="AA31" s="217"/>
      <c r="AB31" s="217"/>
      <c r="AC31" s="217"/>
    </row>
    <row r="32" spans="1:31">
      <c r="M32" s="209">
        <f>($B$11-$B$9)/($A$11-$A$9)</f>
        <v>0.26999999999999991</v>
      </c>
      <c r="N32" s="27">
        <v>0.1</v>
      </c>
      <c r="X32" s="217"/>
      <c r="Y32" s="217"/>
      <c r="Z32" s="217"/>
      <c r="AA32" s="217"/>
      <c r="AB32" s="217"/>
      <c r="AC32" s="217"/>
    </row>
    <row r="33" spans="3:29">
      <c r="M33" s="209">
        <f>($H$11-$H$9)/($A$11-$A$9)</f>
        <v>1.0399999999999998</v>
      </c>
      <c r="N33" s="27">
        <v>0.4</v>
      </c>
    </row>
    <row r="34" spans="3:29">
      <c r="M34" s="209">
        <f>($N$11-$N$9)/($A$11-$A$9)</f>
        <v>2.2999999999999998</v>
      </c>
      <c r="N34" s="27">
        <v>1</v>
      </c>
    </row>
    <row r="35" spans="3:29">
      <c r="M35" s="209">
        <f>($T$11-$T$9)/($A$11-$A$9)</f>
        <v>4.0900000000000007</v>
      </c>
      <c r="N35" s="27">
        <v>2</v>
      </c>
    </row>
    <row r="36" spans="3:29">
      <c r="N36" s="26"/>
      <c r="O36" s="26"/>
    </row>
    <row r="37" spans="3:29">
      <c r="N37" s="26"/>
      <c r="O37" s="26"/>
    </row>
    <row r="44" spans="3:29" ht="31.5" customHeight="1">
      <c r="M44" s="230" t="s">
        <v>245</v>
      </c>
      <c r="N44" s="228" t="s">
        <v>19</v>
      </c>
    </row>
    <row r="45" spans="3:29" ht="15.75" customHeight="1">
      <c r="M45" s="231"/>
      <c r="N45" s="229"/>
    </row>
    <row r="46" spans="3:29">
      <c r="M46" s="211">
        <f>AVERAGE(B19:B21)</f>
        <v>28.333333333333332</v>
      </c>
      <c r="N46" s="27">
        <v>0.1</v>
      </c>
    </row>
    <row r="47" spans="3:29">
      <c r="M47" s="211">
        <f>AVERAGE(H19:H21)</f>
        <v>38.6</v>
      </c>
      <c r="N47" s="27">
        <v>0.4</v>
      </c>
    </row>
    <row r="48" spans="3:29" ht="15.75" customHeight="1">
      <c r="C48" s="9" t="s">
        <v>20</v>
      </c>
      <c r="M48" s="211">
        <f>AVERAGE(N19:N21)</f>
        <v>53.6</v>
      </c>
      <c r="N48" s="27">
        <v>1</v>
      </c>
      <c r="X48" s="217" t="s">
        <v>244</v>
      </c>
      <c r="Y48" s="217"/>
      <c r="Z48" s="217"/>
      <c r="AA48" s="217"/>
      <c r="AB48" s="217"/>
      <c r="AC48" s="217"/>
    </row>
    <row r="49" spans="1:29">
      <c r="M49" s="211">
        <f>AVERAGE(T19:T21)</f>
        <v>77.666666666666671</v>
      </c>
      <c r="N49" s="27">
        <v>2</v>
      </c>
      <c r="X49" s="217"/>
      <c r="Y49" s="217"/>
      <c r="Z49" s="217"/>
      <c r="AA49" s="217"/>
      <c r="AB49" s="217"/>
      <c r="AC49" s="217"/>
    </row>
    <row r="54" spans="1:29">
      <c r="Y54" s="1" t="s">
        <v>252</v>
      </c>
      <c r="Z54" s="1" t="s">
        <v>253</v>
      </c>
    </row>
    <row r="55" spans="1:29">
      <c r="B55" s="9" t="s">
        <v>20</v>
      </c>
      <c r="Y55" s="1">
        <v>28.1</v>
      </c>
      <c r="Z55" s="1">
        <f>0.0391*Y55-1.0603</f>
        <v>3.8410000000000055E-2</v>
      </c>
    </row>
    <row r="56" spans="1:29">
      <c r="Y56" s="1">
        <v>41.2</v>
      </c>
      <c r="Z56" s="1">
        <f>0.0391*Y56-1.0603</f>
        <v>0.55062000000000011</v>
      </c>
    </row>
    <row r="60" spans="1:29" ht="15.75" customHeight="1">
      <c r="A60" s="227" t="s">
        <v>15</v>
      </c>
      <c r="B60" s="227"/>
      <c r="C60" s="227"/>
      <c r="D60" s="227"/>
      <c r="E60" s="227"/>
      <c r="F60" s="227"/>
      <c r="G60" s="227"/>
      <c r="H60" s="227"/>
      <c r="I60" s="227"/>
      <c r="J60" s="227"/>
      <c r="K60" s="227"/>
      <c r="M60" s="230" t="s">
        <v>18</v>
      </c>
      <c r="N60" s="232" t="s">
        <v>19</v>
      </c>
    </row>
    <row r="61" spans="1:29">
      <c r="A61" s="227"/>
      <c r="B61" s="227"/>
      <c r="C61" s="227"/>
      <c r="D61" s="227"/>
      <c r="E61" s="227"/>
      <c r="F61" s="227"/>
      <c r="G61" s="227"/>
      <c r="H61" s="227"/>
      <c r="I61" s="227"/>
      <c r="J61" s="227"/>
      <c r="K61" s="227"/>
      <c r="M61" s="231"/>
      <c r="N61" s="233"/>
    </row>
    <row r="62" spans="1:29">
      <c r="A62" s="25" t="s">
        <v>16</v>
      </c>
      <c r="M62" s="209">
        <f>($B$21-$B$17)/($A$21-$A$17)</f>
        <v>1.4999999999999857E-2</v>
      </c>
      <c r="N62" s="27">
        <v>0.1</v>
      </c>
    </row>
    <row r="63" spans="1:29">
      <c r="M63" s="209">
        <f>($H$21-$H$17)/($A$21-$A$17)</f>
        <v>1.5000000000000213E-2</v>
      </c>
      <c r="N63" s="27">
        <v>0.4</v>
      </c>
    </row>
    <row r="64" spans="1:29" ht="15.75" customHeight="1">
      <c r="M64" s="209">
        <f>($N$22-$N$17)/($A$21-$A$17)</f>
        <v>1.4999999999999857E-2</v>
      </c>
      <c r="N64" s="27">
        <v>1</v>
      </c>
      <c r="X64" s="217" t="s">
        <v>240</v>
      </c>
      <c r="Y64" s="217"/>
      <c r="Z64" s="217"/>
      <c r="AA64" s="217"/>
      <c r="AB64" s="217"/>
      <c r="AC64" s="217"/>
    </row>
    <row r="65" spans="13:29">
      <c r="M65" s="209">
        <f>($T$21-$T$17)/($A$21-$A$17)</f>
        <v>3.5000000000000142E-2</v>
      </c>
      <c r="N65" s="27">
        <v>2</v>
      </c>
      <c r="X65" s="217"/>
      <c r="Y65" s="217"/>
      <c r="Z65" s="217"/>
      <c r="AA65" s="217"/>
      <c r="AB65" s="217"/>
      <c r="AC65" s="217"/>
    </row>
    <row r="66" spans="13:29">
      <c r="M66" s="212"/>
      <c r="N66" s="167"/>
    </row>
    <row r="67" spans="13:29">
      <c r="M67" s="6"/>
      <c r="N67" s="6"/>
    </row>
  </sheetData>
  <mergeCells count="15">
    <mergeCell ref="X1:AC5"/>
    <mergeCell ref="X64:AC65"/>
    <mergeCell ref="T7:Y7"/>
    <mergeCell ref="B7:G7"/>
    <mergeCell ref="H7:M7"/>
    <mergeCell ref="N7:S7"/>
    <mergeCell ref="A60:K61"/>
    <mergeCell ref="N29:N30"/>
    <mergeCell ref="N44:N45"/>
    <mergeCell ref="M29:M30"/>
    <mergeCell ref="M44:M45"/>
    <mergeCell ref="X48:AC49"/>
    <mergeCell ref="X31:AC32"/>
    <mergeCell ref="M60:M61"/>
    <mergeCell ref="N60:N6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D54A2-CD84-4219-BB7B-F306244499B5}">
  <sheetPr codeName="Sheet2"/>
  <dimension ref="A1:AL31"/>
  <sheetViews>
    <sheetView topLeftCell="A22" zoomScale="70" zoomScaleNormal="70" workbookViewId="0">
      <selection activeCell="I29" sqref="I29"/>
    </sheetView>
  </sheetViews>
  <sheetFormatPr defaultRowHeight="15.75"/>
  <cols>
    <col min="1" max="1" width="14.42578125" style="88" customWidth="1"/>
    <col min="2" max="2" width="15.5703125" style="88" customWidth="1"/>
    <col min="3" max="3" width="12.42578125" style="88" customWidth="1"/>
    <col min="4" max="4" width="8.42578125" style="103" customWidth="1"/>
    <col min="5" max="5" width="7.85546875" style="103" customWidth="1"/>
    <col min="6" max="6" width="11.85546875" style="88" customWidth="1"/>
    <col min="7" max="7" width="11.42578125" style="101" customWidth="1"/>
    <col min="8" max="8" width="8.85546875" style="119" customWidth="1"/>
    <col min="9" max="9" width="10.42578125" style="88" customWidth="1"/>
    <col min="10" max="10" width="11" style="101" customWidth="1"/>
    <col min="11" max="11" width="10.140625" style="88" customWidth="1"/>
    <col min="12" max="12" width="11" style="102" customWidth="1"/>
    <col min="13" max="13" width="9.85546875" style="103" customWidth="1"/>
    <col min="14" max="14" width="10.7109375" style="103" customWidth="1"/>
    <col min="15" max="15" width="9.85546875" style="103" customWidth="1"/>
    <col min="16" max="16" width="10.140625" style="103" customWidth="1"/>
    <col min="17" max="17" width="10.7109375" style="125" customWidth="1"/>
    <col min="18" max="18" width="10.42578125" style="105" customWidth="1"/>
    <col min="19" max="19" width="10.5703125" style="103" customWidth="1"/>
    <col min="20" max="20" width="10.7109375" style="103" customWidth="1"/>
    <col min="21" max="21" width="9.7109375" style="20" bestFit="1" customWidth="1"/>
    <col min="22" max="22" width="9.140625" style="26"/>
    <col min="23" max="27" width="9.140625" style="113"/>
    <col min="28" max="28" width="9.7109375" style="113" customWidth="1"/>
    <col min="29" max="29" width="10.5703125" style="65" customWidth="1"/>
    <col min="30" max="30" width="10.140625" style="65" customWidth="1"/>
    <col min="31" max="31" width="10.85546875" style="65" bestFit="1" customWidth="1"/>
    <col min="32" max="38" width="9.140625" style="26"/>
    <col min="39" max="16384" width="9.140625" style="88"/>
  </cols>
  <sheetData>
    <row r="1" spans="1:38" s="68" customFormat="1">
      <c r="A1" s="237" t="s">
        <v>135</v>
      </c>
      <c r="B1" s="237"/>
      <c r="C1" s="237"/>
      <c r="D1" s="237"/>
      <c r="E1" s="237"/>
      <c r="F1" s="237"/>
      <c r="G1" s="237"/>
      <c r="H1" s="237"/>
      <c r="I1" s="238" t="s">
        <v>136</v>
      </c>
      <c r="J1" s="238"/>
      <c r="K1" s="238"/>
      <c r="L1" s="238"/>
      <c r="M1" s="239" t="s">
        <v>137</v>
      </c>
      <c r="N1" s="239"/>
      <c r="O1" s="239"/>
      <c r="P1" s="239"/>
      <c r="Q1" s="239"/>
      <c r="R1" s="240" t="s">
        <v>138</v>
      </c>
      <c r="S1" s="240"/>
      <c r="T1" s="240"/>
      <c r="U1" s="240"/>
      <c r="V1" s="65"/>
      <c r="W1" s="241" t="s">
        <v>139</v>
      </c>
      <c r="X1" s="241"/>
      <c r="Y1" s="241"/>
      <c r="Z1" s="66"/>
      <c r="AA1" s="66"/>
      <c r="AB1" s="65" t="s">
        <v>140</v>
      </c>
      <c r="AC1" s="67">
        <v>3000000</v>
      </c>
      <c r="AD1" s="65"/>
      <c r="AE1" s="65" t="s">
        <v>141</v>
      </c>
      <c r="AF1" s="65"/>
      <c r="AG1" s="65"/>
      <c r="AH1" s="65"/>
      <c r="AI1" s="65"/>
      <c r="AK1" s="65"/>
      <c r="AL1" s="65"/>
    </row>
    <row r="2" spans="1:38" s="69" customFormat="1">
      <c r="A2" s="69" t="s">
        <v>142</v>
      </c>
      <c r="B2" s="69" t="s">
        <v>143</v>
      </c>
      <c r="C2" s="70" t="s">
        <v>144</v>
      </c>
      <c r="D2" s="234" t="s">
        <v>145</v>
      </c>
      <c r="E2" s="234"/>
      <c r="F2" s="69" t="s">
        <v>146</v>
      </c>
      <c r="G2" s="71" t="s">
        <v>115</v>
      </c>
      <c r="H2" s="72" t="s">
        <v>147</v>
      </c>
      <c r="I2" s="69" t="s">
        <v>148</v>
      </c>
      <c r="J2" s="71" t="s">
        <v>149</v>
      </c>
      <c r="K2" s="69" t="s">
        <v>150</v>
      </c>
      <c r="L2" s="73" t="s">
        <v>98</v>
      </c>
      <c r="M2" s="235" t="s">
        <v>151</v>
      </c>
      <c r="N2" s="236" t="s">
        <v>152</v>
      </c>
      <c r="O2" s="236" t="s">
        <v>153</v>
      </c>
      <c r="P2" s="236" t="s">
        <v>154</v>
      </c>
      <c r="Q2" s="242" t="s">
        <v>155</v>
      </c>
      <c r="R2" s="74" t="s">
        <v>156</v>
      </c>
      <c r="S2" s="75" t="s">
        <v>157</v>
      </c>
      <c r="T2" s="75" t="s">
        <v>158</v>
      </c>
      <c r="U2" s="76" t="s">
        <v>159</v>
      </c>
      <c r="V2" s="77"/>
      <c r="W2" s="78"/>
      <c r="X2" s="78"/>
      <c r="Y2" s="78"/>
      <c r="Z2" s="78"/>
      <c r="AA2" s="78"/>
      <c r="AB2" s="65" t="s">
        <v>38</v>
      </c>
      <c r="AC2" s="65">
        <v>7</v>
      </c>
      <c r="AD2" s="65">
        <v>49</v>
      </c>
      <c r="AE2" s="77"/>
      <c r="AF2" s="77"/>
      <c r="AG2" s="77"/>
      <c r="AH2" s="77"/>
      <c r="AI2" s="77"/>
      <c r="AK2" s="77"/>
      <c r="AL2" s="77"/>
    </row>
    <row r="3" spans="1:38" s="69" customFormat="1">
      <c r="D3" s="75" t="s">
        <v>160</v>
      </c>
      <c r="E3" s="75" t="s">
        <v>161</v>
      </c>
      <c r="F3" s="69" t="s">
        <v>162</v>
      </c>
      <c r="G3" s="71"/>
      <c r="H3" s="72"/>
      <c r="I3" s="69" t="s">
        <v>163</v>
      </c>
      <c r="J3" s="71" t="s">
        <v>164</v>
      </c>
      <c r="K3" s="69" t="s">
        <v>165</v>
      </c>
      <c r="L3" s="73" t="s">
        <v>166</v>
      </c>
      <c r="M3" s="235"/>
      <c r="N3" s="236"/>
      <c r="O3" s="236"/>
      <c r="P3" s="236"/>
      <c r="Q3" s="242"/>
      <c r="R3" s="74" t="s">
        <v>167</v>
      </c>
      <c r="S3" s="75" t="s">
        <v>167</v>
      </c>
      <c r="T3" s="75"/>
      <c r="U3" s="76"/>
      <c r="V3" s="77"/>
      <c r="W3" s="78"/>
      <c r="X3" s="78"/>
      <c r="Y3" s="78"/>
      <c r="Z3" s="78"/>
      <c r="AA3" s="78"/>
      <c r="AB3" s="65" t="s">
        <v>44</v>
      </c>
      <c r="AC3" s="65">
        <v>8</v>
      </c>
      <c r="AD3" s="65">
        <v>64</v>
      </c>
      <c r="AE3" s="77"/>
      <c r="AF3" s="77"/>
      <c r="AG3" s="77"/>
      <c r="AH3" s="77"/>
      <c r="AI3" s="77"/>
      <c r="AK3" s="77"/>
      <c r="AL3" s="77"/>
    </row>
    <row r="4" spans="1:38">
      <c r="A4" s="79" t="s">
        <v>168</v>
      </c>
      <c r="B4" s="79"/>
      <c r="C4" s="79"/>
      <c r="D4" s="80"/>
      <c r="E4" s="80"/>
      <c r="F4" s="79"/>
      <c r="G4" s="81"/>
      <c r="H4" s="82"/>
      <c r="I4" s="79"/>
      <c r="J4" s="81"/>
      <c r="K4" s="79"/>
      <c r="L4" s="83"/>
      <c r="M4" s="80"/>
      <c r="N4" s="80"/>
      <c r="O4"/>
      <c r="P4" s="80"/>
      <c r="Q4" s="84"/>
      <c r="R4" s="85"/>
      <c r="S4" s="80"/>
      <c r="T4" s="80"/>
      <c r="U4" s="86"/>
      <c r="V4"/>
      <c r="W4" s="87" t="s">
        <v>169</v>
      </c>
      <c r="X4"/>
      <c r="Y4"/>
      <c r="Z4"/>
      <c r="AA4"/>
      <c r="AB4" s="65" t="s">
        <v>170</v>
      </c>
      <c r="AC4" s="65">
        <v>1</v>
      </c>
      <c r="AD4"/>
      <c r="AE4" s="26"/>
      <c r="AF4"/>
      <c r="AG4"/>
      <c r="AH4"/>
      <c r="AI4"/>
      <c r="AJ4"/>
      <c r="AK4"/>
      <c r="AL4"/>
    </row>
    <row r="5" spans="1:38">
      <c r="A5" s="89" t="s">
        <v>171</v>
      </c>
      <c r="B5" s="89" t="s">
        <v>172</v>
      </c>
      <c r="C5" s="89">
        <v>650</v>
      </c>
      <c r="D5" s="90">
        <v>2.0299999999999999E-2</v>
      </c>
      <c r="E5" s="90">
        <v>1.34E-2</v>
      </c>
      <c r="F5" s="91">
        <v>1.1999999999999999E-6</v>
      </c>
      <c r="G5" s="91">
        <v>5.8799999999999993E-5</v>
      </c>
      <c r="H5" s="92">
        <v>1108.3538881864788</v>
      </c>
      <c r="I5" s="91">
        <v>4.4100000000000001E-5</v>
      </c>
      <c r="J5" s="91">
        <f>($AC$12*$AC$14)/(4*$AC$2*I5)</f>
        <v>3.2393909944930356E-3</v>
      </c>
      <c r="K5" s="91">
        <v>1.325</v>
      </c>
      <c r="L5" s="93">
        <f>(0.5*POWER((J5/0.001),2))*10^-3</f>
        <v>5.2468270076012893E-3</v>
      </c>
      <c r="M5" s="90">
        <v>7.2500000000000004E-3</v>
      </c>
      <c r="N5" s="90">
        <v>2.2776546738526002E-2</v>
      </c>
      <c r="O5" s="90">
        <v>8.3999999999999995E-3</v>
      </c>
      <c r="P5" s="90">
        <f>(($AC$2-1)*$AD$5*$AC$8*N5)/(2*$AC$7*O5)</f>
        <v>0.14212738195635075</v>
      </c>
      <c r="Q5" s="94">
        <f>(($AC$2-1)*$AD$6*$AC$8*O5)/(2*$AC$7*P5)</f>
        <v>3.7949563203009816E-2</v>
      </c>
      <c r="R5" s="95">
        <f>K5*L5</f>
        <v>6.9520457850717077E-3</v>
      </c>
      <c r="S5" s="90">
        <f>P5+Q5</f>
        <v>0.18007694515936057</v>
      </c>
      <c r="T5" s="90">
        <f>R5+S5</f>
        <v>0.18702899094443229</v>
      </c>
      <c r="U5" s="96" t="str">
        <f>IF(T5 &gt; $AC$11, "X","A+")</f>
        <v>A+</v>
      </c>
      <c r="V5"/>
      <c r="W5" s="87" t="s">
        <v>173</v>
      </c>
      <c r="X5"/>
      <c r="Y5"/>
      <c r="Z5"/>
      <c r="AA5"/>
      <c r="AB5" s="65" t="s">
        <v>53</v>
      </c>
      <c r="AC5" s="65">
        <v>8.73</v>
      </c>
      <c r="AD5" s="65">
        <f>POWER((AC5/SQRT(2)),2)</f>
        <v>38.106449999999995</v>
      </c>
      <c r="AE5" s="26" t="s">
        <v>54</v>
      </c>
      <c r="AF5"/>
      <c r="AG5"/>
      <c r="AH5"/>
      <c r="AI5"/>
      <c r="AJ5"/>
      <c r="AK5"/>
      <c r="AL5"/>
    </row>
    <row r="6" spans="1:38">
      <c r="A6" s="97" t="s">
        <v>174</v>
      </c>
      <c r="B6" s="97" t="s">
        <v>175</v>
      </c>
      <c r="C6" s="97">
        <v>680</v>
      </c>
      <c r="D6" s="98">
        <v>2.3199999999999998E-2</v>
      </c>
      <c r="E6" s="98">
        <v>1.6400000000000001E-2</v>
      </c>
      <c r="F6" s="99">
        <v>1.3999999999999999E-6</v>
      </c>
      <c r="G6" s="99">
        <v>6.86E-5</v>
      </c>
      <c r="H6" s="100">
        <v>1293.0795362175588</v>
      </c>
      <c r="I6" s="99">
        <v>6.3E-5</v>
      </c>
      <c r="J6" s="101">
        <f t="shared" ref="J6:J11" si="0">($AC$12*$AC$14)/(4*$AC$2*I6)</f>
        <v>2.2675736961451252E-3</v>
      </c>
      <c r="K6" s="99">
        <v>2.44</v>
      </c>
      <c r="L6" s="102">
        <f>(0.5*POWER((J6/0.001),2))*10^-3</f>
        <v>2.5709452337246324E-3</v>
      </c>
      <c r="M6" s="98">
        <v>8.5500000000000003E-3</v>
      </c>
      <c r="N6" s="98">
        <v>2.6860617188192732E-2</v>
      </c>
      <c r="O6" s="98">
        <v>1.04E-2</v>
      </c>
      <c r="P6" s="103">
        <f>(($AC$2-1)*$AD$5*$AC$8*N6)/(2*$AC$7*O6)</f>
        <v>0.13537915878123485</v>
      </c>
      <c r="Q6" s="104">
        <f>(($AC$2-1)*$AD$6*$AC$8*O6)/(2*$AC$7*P6)</f>
        <v>4.9327235882815811E-2</v>
      </c>
      <c r="R6" s="105">
        <f>K6*L6</f>
        <v>6.2731063702881028E-3</v>
      </c>
      <c r="S6" s="103">
        <f>P6+Q6</f>
        <v>0.18470639466405067</v>
      </c>
      <c r="T6" s="103">
        <f>R6+S6</f>
        <v>0.19097950103433878</v>
      </c>
      <c r="U6" s="20" t="str">
        <f>IF(T6 &gt; $AC$11, "X","A+")</f>
        <v>A+</v>
      </c>
      <c r="V6"/>
      <c r="W6" s="87" t="s">
        <v>176</v>
      </c>
      <c r="X6"/>
      <c r="Y6"/>
      <c r="Z6"/>
      <c r="AA6"/>
      <c r="AB6" s="65" t="s">
        <v>177</v>
      </c>
      <c r="AC6" s="65">
        <v>30.555</v>
      </c>
      <c r="AD6" s="65">
        <f>POWER((AC6/SQRT(2)),2)</f>
        <v>466.80401249999989</v>
      </c>
      <c r="AE6" s="26" t="s">
        <v>54</v>
      </c>
      <c r="AF6"/>
      <c r="AG6"/>
      <c r="AH6"/>
      <c r="AI6"/>
      <c r="AJ6"/>
      <c r="AK6"/>
      <c r="AL6"/>
    </row>
    <row r="7" spans="1:38">
      <c r="A7" s="97"/>
      <c r="B7" s="97" t="s">
        <v>178</v>
      </c>
      <c r="C7" s="97"/>
      <c r="D7" s="98"/>
      <c r="E7" s="98"/>
      <c r="F7" s="99"/>
      <c r="G7" s="99"/>
      <c r="H7" s="100"/>
      <c r="K7" s="99"/>
      <c r="L7" s="106"/>
      <c r="M7" s="98"/>
      <c r="N7" s="98"/>
      <c r="O7" s="98"/>
      <c r="Q7" s="104"/>
      <c r="R7" s="107"/>
      <c r="S7" s="98"/>
      <c r="T7" s="98"/>
      <c r="U7" s="108"/>
      <c r="V7"/>
      <c r="W7" s="47" t="s">
        <v>179</v>
      </c>
      <c r="X7"/>
      <c r="Y7"/>
      <c r="Z7"/>
      <c r="AA7"/>
      <c r="AB7" s="109" t="s">
        <v>180</v>
      </c>
      <c r="AC7" s="67">
        <v>3.7599999999999999E-5</v>
      </c>
      <c r="AD7"/>
      <c r="AE7" s="65" t="s">
        <v>181</v>
      </c>
      <c r="AF7"/>
      <c r="AG7"/>
      <c r="AH7"/>
      <c r="AI7"/>
      <c r="AJ7"/>
      <c r="AK7"/>
      <c r="AL7"/>
    </row>
    <row r="8" spans="1:38">
      <c r="A8"/>
      <c r="B8"/>
      <c r="C8"/>
      <c r="D8"/>
      <c r="E8"/>
      <c r="F8" s="101"/>
      <c r="G8"/>
      <c r="H8" s="110"/>
      <c r="I8" s="101"/>
      <c r="J8" s="111"/>
      <c r="K8" s="101"/>
      <c r="L8" s="106"/>
      <c r="M8"/>
      <c r="N8"/>
      <c r="O8"/>
      <c r="Q8" s="104"/>
      <c r="R8"/>
      <c r="S8"/>
      <c r="T8"/>
      <c r="U8" s="110"/>
      <c r="V8"/>
      <c r="W8" s="47" t="s">
        <v>182</v>
      </c>
      <c r="X8"/>
      <c r="Y8"/>
      <c r="Z8"/>
      <c r="AA8"/>
      <c r="AB8" s="112" t="s">
        <v>183</v>
      </c>
      <c r="AC8" s="67">
        <v>1.7240000000000001E-8</v>
      </c>
      <c r="AD8"/>
      <c r="AE8" s="112" t="s">
        <v>184</v>
      </c>
      <c r="AF8"/>
      <c r="AG8"/>
      <c r="AH8"/>
      <c r="AI8"/>
      <c r="AJ8"/>
      <c r="AK8"/>
      <c r="AL8"/>
    </row>
    <row r="9" spans="1:38">
      <c r="A9"/>
      <c r="B9"/>
      <c r="C9"/>
      <c r="D9"/>
      <c r="E9"/>
      <c r="F9"/>
      <c r="G9"/>
      <c r="H9" s="110"/>
      <c r="I9"/>
      <c r="K9"/>
      <c r="L9" s="110"/>
      <c r="M9"/>
      <c r="N9"/>
      <c r="O9"/>
      <c r="Q9" s="104"/>
      <c r="R9"/>
      <c r="S9"/>
      <c r="T9"/>
      <c r="U9" s="110"/>
      <c r="V9"/>
      <c r="W9" s="87" t="s">
        <v>185</v>
      </c>
      <c r="X9"/>
      <c r="Y9"/>
      <c r="Z9"/>
      <c r="AA9"/>
      <c r="AB9" s="65" t="s">
        <v>186</v>
      </c>
      <c r="AC9"/>
      <c r="AD9"/>
      <c r="AE9" s="113" t="s">
        <v>187</v>
      </c>
      <c r="AF9"/>
      <c r="AG9"/>
      <c r="AH9"/>
      <c r="AI9"/>
      <c r="AJ9"/>
      <c r="AK9"/>
      <c r="AL9"/>
    </row>
    <row r="10" spans="1:38">
      <c r="A10"/>
      <c r="B10"/>
      <c r="C10"/>
      <c r="D10"/>
      <c r="E10"/>
      <c r="F10" s="101"/>
      <c r="G10"/>
      <c r="H10" s="110"/>
      <c r="I10" s="101"/>
      <c r="K10" s="101"/>
      <c r="L10" s="110"/>
      <c r="M10"/>
      <c r="N10"/>
      <c r="O10"/>
      <c r="Q10" s="104"/>
      <c r="R10"/>
      <c r="S10"/>
      <c r="T10"/>
      <c r="U10" s="110"/>
      <c r="V10"/>
      <c r="W10"/>
      <c r="X10"/>
      <c r="Y10"/>
      <c r="Z10"/>
      <c r="AA10"/>
      <c r="AB10" s="65" t="s">
        <v>188</v>
      </c>
      <c r="AC10" s="67">
        <v>5.0000000000000001E-4</v>
      </c>
      <c r="AD10" s="65" t="s">
        <v>181</v>
      </c>
      <c r="AE10" s="113" t="s">
        <v>189</v>
      </c>
      <c r="AF10"/>
      <c r="AG10" s="114" t="s">
        <v>190</v>
      </c>
      <c r="AH10"/>
      <c r="AI10" s="113" t="s">
        <v>191</v>
      </c>
      <c r="AJ10"/>
      <c r="AK10"/>
      <c r="AL10"/>
    </row>
    <row r="11" spans="1:38">
      <c r="A11" s="88" t="s">
        <v>192</v>
      </c>
      <c r="B11" s="88" t="s">
        <v>193</v>
      </c>
      <c r="C11" s="88">
        <v>680</v>
      </c>
      <c r="D11" s="103">
        <v>1.7899999999999999E-2</v>
      </c>
      <c r="E11" s="103">
        <v>1.2500000000000001E-2</v>
      </c>
      <c r="F11" s="115" t="s">
        <v>194</v>
      </c>
      <c r="G11"/>
      <c r="H11" s="110"/>
      <c r="I11" s="101">
        <v>3.6600000000000002E-5</v>
      </c>
      <c r="J11" s="101">
        <f t="shared" si="0"/>
        <v>3.9032006245121008E-3</v>
      </c>
      <c r="K11" s="101">
        <v>1.05</v>
      </c>
      <c r="L11" s="106">
        <v>6.8537352165554703E-3</v>
      </c>
      <c r="M11" s="103">
        <v>6.4000000000000003E-3</v>
      </c>
      <c r="N11" s="98">
        <v>2.0106192982974676E-2</v>
      </c>
      <c r="O11" s="103">
        <v>8.0000000000000002E-3</v>
      </c>
      <c r="P11" s="103">
        <f t="shared" ref="P11:Q11" si="1">(($AC$2-1)*$AC$5*$AC$8*N11)/(2*$AC$7*O11)</f>
        <v>3.0180384934918886E-2</v>
      </c>
      <c r="Q11" s="104">
        <f t="shared" si="1"/>
        <v>3.1830988618379071E-3</v>
      </c>
      <c r="R11" s="107">
        <v>7.1964219773832461E-3</v>
      </c>
      <c r="S11" s="98">
        <v>0.13492047910275884</v>
      </c>
      <c r="T11" s="98">
        <v>0.14211690108014208</v>
      </c>
      <c r="U11" s="108" t="s">
        <v>195</v>
      </c>
      <c r="V11"/>
      <c r="W11" s="87" t="s">
        <v>196</v>
      </c>
      <c r="X11"/>
      <c r="Y11"/>
      <c r="Z11"/>
      <c r="AA11"/>
      <c r="AB11" s="65" t="s">
        <v>197</v>
      </c>
      <c r="AC11" s="65">
        <v>1</v>
      </c>
      <c r="AD11" s="65" t="s">
        <v>198</v>
      </c>
      <c r="AE11" s="26"/>
      <c r="AF11"/>
      <c r="AG11"/>
      <c r="AH11"/>
      <c r="AI11"/>
      <c r="AJ11"/>
      <c r="AK11"/>
      <c r="AL11"/>
    </row>
    <row r="12" spans="1:38">
      <c r="A12" s="116"/>
      <c r="B12"/>
      <c r="C12"/>
      <c r="D12"/>
      <c r="E12"/>
      <c r="F12" s="101"/>
      <c r="G12"/>
      <c r="H12" s="23"/>
      <c r="I12" s="101"/>
      <c r="J12" s="117"/>
      <c r="K12" s="101"/>
      <c r="L12" s="23"/>
      <c r="M12" s="117"/>
      <c r="N12" s="117"/>
      <c r="O12" s="243" t="s">
        <v>199</v>
      </c>
      <c r="P12" s="118">
        <f>P11/(AD5*0.001)</f>
        <v>0.79200200845050883</v>
      </c>
      <c r="Q12" s="118">
        <f>Q11/(AD6*0.000001)</f>
        <v>6.8189192393411746</v>
      </c>
      <c r="R12" s="117"/>
      <c r="S12" s="117"/>
      <c r="T12" s="117"/>
      <c r="U12" s="23"/>
      <c r="V12" s="117"/>
      <c r="W12" s="87" t="s">
        <v>200</v>
      </c>
      <c r="X12"/>
      <c r="Y12"/>
      <c r="Z12"/>
      <c r="AA12"/>
      <c r="AB12" s="65" t="s">
        <v>201</v>
      </c>
      <c r="AC12" s="65">
        <v>12</v>
      </c>
      <c r="AD12" s="65" t="s">
        <v>202</v>
      </c>
      <c r="AE12" s="26"/>
      <c r="AF12"/>
      <c r="AG12"/>
      <c r="AH12"/>
      <c r="AI12"/>
      <c r="AJ12"/>
      <c r="AK12"/>
      <c r="AL12"/>
    </row>
    <row r="13" spans="1:38">
      <c r="O13" s="243"/>
      <c r="P13" s="117" t="s">
        <v>203</v>
      </c>
      <c r="Q13" s="120" t="s">
        <v>204</v>
      </c>
      <c r="V13" s="117"/>
      <c r="W13" s="87" t="s">
        <v>205</v>
      </c>
      <c r="X13"/>
      <c r="Y13"/>
      <c r="Z13"/>
      <c r="AA13"/>
      <c r="AB13" s="65" t="s">
        <v>206</v>
      </c>
      <c r="AC13" s="65">
        <v>1.8</v>
      </c>
      <c r="AD13" s="65" t="s">
        <v>202</v>
      </c>
      <c r="AE13" s="26"/>
      <c r="AF13"/>
      <c r="AG13"/>
      <c r="AH13"/>
      <c r="AI13"/>
      <c r="AJ13"/>
      <c r="AK13"/>
      <c r="AL13"/>
    </row>
    <row r="14" spans="1:38" s="97" customFormat="1">
      <c r="H14" s="108"/>
      <c r="L14" s="108"/>
      <c r="Q14" s="108"/>
      <c r="V14" s="121"/>
      <c r="W14" s="87" t="s">
        <v>207</v>
      </c>
      <c r="X14" s="122"/>
      <c r="Y14" s="122"/>
      <c r="Z14" s="122"/>
      <c r="AA14" s="122"/>
      <c r="AB14" s="123" t="s">
        <v>208</v>
      </c>
      <c r="AC14" s="124">
        <v>3.3333333333333335E-7</v>
      </c>
      <c r="AD14" s="123" t="s">
        <v>209</v>
      </c>
      <c r="AE14" s="121" t="s">
        <v>210</v>
      </c>
      <c r="AF14" s="121"/>
      <c r="AG14" s="121"/>
      <c r="AH14" s="121"/>
      <c r="AI14" s="121"/>
      <c r="AK14" s="121"/>
      <c r="AL14" s="121"/>
    </row>
    <row r="15" spans="1:38">
      <c r="V15" s="117"/>
      <c r="W15" s="87" t="s">
        <v>211</v>
      </c>
      <c r="X15"/>
      <c r="Y15"/>
      <c r="Z15"/>
      <c r="AA15"/>
      <c r="AB15"/>
      <c r="AC15"/>
      <c r="AD15"/>
      <c r="AE15"/>
      <c r="AF15"/>
      <c r="AG15"/>
      <c r="AH15"/>
      <c r="AI15"/>
      <c r="AJ15"/>
      <c r="AK15"/>
      <c r="AL15"/>
    </row>
    <row r="16" spans="1:38">
      <c r="V16" s="117"/>
      <c r="W16" s="47"/>
      <c r="X16"/>
      <c r="Y16"/>
      <c r="Z16"/>
      <c r="AA16"/>
      <c r="AB16"/>
      <c r="AC16"/>
      <c r="AD16"/>
      <c r="AE16"/>
      <c r="AF16"/>
      <c r="AG16"/>
      <c r="AH16"/>
      <c r="AI16"/>
      <c r="AJ16"/>
      <c r="AK16"/>
      <c r="AL16"/>
    </row>
    <row r="17" spans="1:23">
      <c r="V17" s="117"/>
      <c r="W17"/>
    </row>
    <row r="18" spans="1:23">
      <c r="A18" s="127"/>
      <c r="B18" s="127"/>
      <c r="C18" s="127"/>
      <c r="D18" s="128"/>
      <c r="E18" s="128"/>
      <c r="F18" s="127"/>
      <c r="G18" s="129"/>
      <c r="H18" s="130"/>
      <c r="I18" s="127"/>
      <c r="J18" s="129"/>
      <c r="K18" s="127"/>
      <c r="L18" s="131"/>
      <c r="M18" s="128"/>
      <c r="N18" s="128"/>
      <c r="O18" s="128"/>
      <c r="P18" s="128"/>
      <c r="Q18" s="132"/>
      <c r="R18" s="133"/>
      <c r="S18" s="128"/>
      <c r="T18" s="128"/>
      <c r="U18" s="134"/>
      <c r="V18"/>
      <c r="W18"/>
    </row>
    <row r="19" spans="1:23">
      <c r="A19" s="135" t="s">
        <v>212</v>
      </c>
      <c r="B19" s="136" t="s">
        <v>213</v>
      </c>
      <c r="C19" s="129">
        <v>4.3000000000000002E-5</v>
      </c>
      <c r="D19" s="137"/>
      <c r="E19" s="137"/>
      <c r="F19" s="129"/>
      <c r="G19" s="137"/>
      <c r="H19" s="138" t="s">
        <v>214</v>
      </c>
      <c r="I19" s="129"/>
      <c r="J19" s="136" t="s">
        <v>215</v>
      </c>
      <c r="K19" s="129" t="s">
        <v>150</v>
      </c>
      <c r="L19" s="138" t="s">
        <v>216</v>
      </c>
      <c r="M19" s="136"/>
      <c r="N19" s="136"/>
      <c r="O19" s="136"/>
      <c r="P19" s="136"/>
      <c r="Q19" s="139"/>
      <c r="R19" s="136"/>
      <c r="S19" s="136"/>
      <c r="T19" s="136"/>
      <c r="U19" s="139"/>
      <c r="V19"/>
      <c r="W19"/>
    </row>
    <row r="20" spans="1:23">
      <c r="A20" s="140" t="s">
        <v>217</v>
      </c>
      <c r="B20" s="127"/>
      <c r="C20" s="127"/>
      <c r="D20" s="127"/>
      <c r="E20" s="127"/>
      <c r="F20" s="127"/>
      <c r="G20" s="127"/>
      <c r="H20" s="134" t="s">
        <v>218</v>
      </c>
      <c r="I20" s="128">
        <v>13.2037</v>
      </c>
      <c r="J20" s="129">
        <f>($AC$12*$AC$14)/(4*$AC$2*C19)</f>
        <v>3.3222591362126251E-3</v>
      </c>
      <c r="K20" s="129">
        <v>1.31</v>
      </c>
      <c r="L20" s="141">
        <f>(($I$20*POWER(I25,$I$21)*POWER($J$20,$I$22))/(POWER(100,3)))/(0.001)</f>
        <v>1.037396598774065</v>
      </c>
      <c r="M20" s="128">
        <v>7.2500000000000004E-3</v>
      </c>
      <c r="N20" s="128">
        <v>2.2776546738526002E-2</v>
      </c>
      <c r="O20" s="128">
        <v>8.3999999999999995E-3</v>
      </c>
      <c r="P20" s="128">
        <f>(($AC$2-1)*$AD$5*$AC$8*N20)/(2*$AC$7*O20)</f>
        <v>0.14212738195635075</v>
      </c>
      <c r="Q20" s="141">
        <f>(($AC$2-1)*$AD$6*$AC$8*O20)/(2*$AC$7*P20)</f>
        <v>3.7949563203009816E-2</v>
      </c>
      <c r="R20" s="133">
        <f>K20*L20*0.001</f>
        <v>1.3589895443940252E-3</v>
      </c>
      <c r="S20" s="128">
        <f>P20+Q20</f>
        <v>0.18007694515936057</v>
      </c>
      <c r="T20" s="128">
        <f>R20+S20</f>
        <v>0.1814359347037546</v>
      </c>
      <c r="U20" s="134" t="str">
        <f>IF(T20 &gt; $AC$11, "X","A+")</f>
        <v>A+</v>
      </c>
      <c r="V20"/>
      <c r="W20" s="126"/>
    </row>
    <row r="21" spans="1:23">
      <c r="A21" s="142" t="s">
        <v>219</v>
      </c>
      <c r="B21" s="137"/>
      <c r="C21" s="137"/>
      <c r="D21" s="137"/>
      <c r="E21" s="137"/>
      <c r="F21" s="137"/>
      <c r="G21" s="137"/>
      <c r="H21" s="139" t="s">
        <v>220</v>
      </c>
      <c r="I21" s="143">
        <v>1.302</v>
      </c>
      <c r="J21" s="136"/>
      <c r="K21" s="136"/>
      <c r="L21" s="141"/>
      <c r="M21" s="136"/>
      <c r="N21" s="136"/>
      <c r="O21" s="136"/>
      <c r="P21" s="136"/>
      <c r="Q21" s="139"/>
      <c r="R21" s="244" t="s">
        <v>221</v>
      </c>
      <c r="S21" s="244"/>
      <c r="T21" s="244"/>
      <c r="U21" s="245"/>
      <c r="V21"/>
      <c r="W21"/>
    </row>
    <row r="22" spans="1:23">
      <c r="A22" s="137"/>
      <c r="B22" s="144"/>
      <c r="C22" s="137"/>
      <c r="D22" s="137"/>
      <c r="E22" s="137"/>
      <c r="F22" s="129"/>
      <c r="G22" s="137"/>
      <c r="H22" s="139" t="s">
        <v>222</v>
      </c>
      <c r="I22" s="128">
        <v>2.6377999999999999</v>
      </c>
      <c r="J22" s="136"/>
      <c r="K22" s="127"/>
      <c r="L22" s="141"/>
      <c r="M22" s="136"/>
      <c r="N22" s="136"/>
      <c r="O22" s="246" t="s">
        <v>199</v>
      </c>
      <c r="P22" s="143">
        <f>P20/(AD5*0.001)</f>
        <v>3.7297460654653154</v>
      </c>
      <c r="Q22" s="145">
        <f>Q20/(AD6*0.000001)</f>
        <v>81.296565982302539</v>
      </c>
      <c r="R22" s="244"/>
      <c r="S22" s="244"/>
      <c r="T22" s="244"/>
      <c r="U22" s="245"/>
      <c r="V22"/>
      <c r="W22"/>
    </row>
    <row r="23" spans="1:23">
      <c r="A23" s="137"/>
      <c r="B23" s="137"/>
      <c r="C23" s="137"/>
      <c r="D23" s="137"/>
      <c r="E23" s="137"/>
      <c r="F23" s="129"/>
      <c r="G23" s="137"/>
      <c r="H23" s="130"/>
      <c r="I23" s="127"/>
      <c r="J23" s="146" t="s">
        <v>216</v>
      </c>
      <c r="K23" s="127" t="s">
        <v>223</v>
      </c>
      <c r="L23" s="131"/>
      <c r="M23" s="127"/>
      <c r="N23" s="136"/>
      <c r="O23" s="246"/>
      <c r="P23" s="136" t="s">
        <v>203</v>
      </c>
      <c r="Q23" s="147" t="s">
        <v>204</v>
      </c>
      <c r="R23" s="148"/>
      <c r="S23" s="148"/>
      <c r="T23" s="148"/>
      <c r="U23" s="149"/>
      <c r="V23"/>
      <c r="W23"/>
    </row>
    <row r="24" spans="1:23">
      <c r="A24" s="127"/>
      <c r="B24" s="127"/>
      <c r="C24" s="127"/>
      <c r="D24" s="128"/>
      <c r="E24" s="128"/>
      <c r="F24" s="127"/>
      <c r="G24" s="129"/>
      <c r="H24" s="139" t="s">
        <v>224</v>
      </c>
      <c r="I24" s="150">
        <v>4000000</v>
      </c>
      <c r="J24" s="151">
        <f t="shared" ref="J24:J29" si="2">(($I$20*POWER(I24,$I$21)*POWER($J$20,$I$22))/(POWER(100,3)))/(0.001)</f>
        <v>1.5087422589650874</v>
      </c>
      <c r="K24" s="152">
        <f>ABS((($J$25-J24)/$J$25)*100)</f>
        <v>45.435435275962085</v>
      </c>
      <c r="L24" s="131"/>
      <c r="M24" s="128"/>
      <c r="N24" s="128"/>
      <c r="O24" s="128"/>
      <c r="P24" s="137"/>
      <c r="Q24" s="153"/>
      <c r="R24" s="247" t="s">
        <v>225</v>
      </c>
      <c r="S24" s="248"/>
      <c r="T24" s="248"/>
      <c r="U24" s="245"/>
      <c r="V24"/>
      <c r="W24" s="47"/>
    </row>
    <row r="25" spans="1:23">
      <c r="A25" s="127"/>
      <c r="B25" s="127"/>
      <c r="C25" s="127"/>
      <c r="D25" s="128"/>
      <c r="E25" s="128"/>
      <c r="F25" s="127"/>
      <c r="G25" s="129"/>
      <c r="H25" s="139" t="s">
        <v>224</v>
      </c>
      <c r="I25" s="150">
        <v>3000000</v>
      </c>
      <c r="J25" s="154">
        <f t="shared" si="2"/>
        <v>1.037396598774065</v>
      </c>
      <c r="K25" s="155">
        <f>(($J$25-J25)/$J$25)*100</f>
        <v>0</v>
      </c>
      <c r="L25" s="131"/>
      <c r="M25" s="128"/>
      <c r="N25" s="128"/>
      <c r="O25" s="128"/>
      <c r="P25" s="137"/>
      <c r="Q25" s="153"/>
      <c r="R25" s="247"/>
      <c r="S25" s="248"/>
      <c r="T25" s="248"/>
      <c r="U25" s="245"/>
      <c r="V25"/>
      <c r="W25" s="47"/>
    </row>
    <row r="26" spans="1:23">
      <c r="A26" s="137"/>
      <c r="B26" s="137"/>
      <c r="C26" s="137"/>
      <c r="D26" s="137"/>
      <c r="E26" s="137"/>
      <c r="F26" s="129"/>
      <c r="G26" s="137"/>
      <c r="H26" s="139" t="s">
        <v>224</v>
      </c>
      <c r="I26" s="150">
        <v>1000000</v>
      </c>
      <c r="J26" s="151">
        <f t="shared" si="2"/>
        <v>0.24816066607021231</v>
      </c>
      <c r="K26" s="152">
        <f>(($J$25-J26)/$J$25)*100</f>
        <v>76.078515549070218</v>
      </c>
      <c r="L26" s="131"/>
      <c r="M26" s="137"/>
      <c r="N26" s="137"/>
      <c r="O26" s="137"/>
      <c r="P26" s="137"/>
      <c r="Q26" s="153"/>
      <c r="R26" s="247"/>
      <c r="S26" s="248"/>
      <c r="T26" s="248"/>
      <c r="U26" s="245"/>
      <c r="V26"/>
      <c r="W26"/>
    </row>
    <row r="27" spans="1:23">
      <c r="A27" s="137"/>
      <c r="B27" s="137"/>
      <c r="C27" s="137"/>
      <c r="D27" s="137"/>
      <c r="E27" s="137"/>
      <c r="F27" s="129"/>
      <c r="G27" s="137"/>
      <c r="H27" s="139" t="s">
        <v>224</v>
      </c>
      <c r="I27" s="150">
        <v>500000</v>
      </c>
      <c r="J27" s="151">
        <f t="shared" si="2"/>
        <v>0.10064492759781785</v>
      </c>
      <c r="K27" s="152">
        <f>(($J$25-J27)/$J$25)*100</f>
        <v>90.298317180068437</v>
      </c>
      <c r="L27" s="131"/>
      <c r="M27" s="137"/>
      <c r="N27" s="137"/>
      <c r="O27" s="137"/>
      <c r="P27" s="137"/>
      <c r="Q27" s="153"/>
      <c r="R27" s="247"/>
      <c r="S27" s="248"/>
      <c r="T27" s="248"/>
      <c r="U27" s="245"/>
    </row>
    <row r="28" spans="1:23">
      <c r="A28" s="127"/>
      <c r="B28" s="127"/>
      <c r="C28" s="127"/>
      <c r="D28" s="128"/>
      <c r="E28" s="128"/>
      <c r="F28" s="129"/>
      <c r="G28" s="129"/>
      <c r="H28" s="139" t="s">
        <v>224</v>
      </c>
      <c r="I28" s="150">
        <v>300000</v>
      </c>
      <c r="J28" s="151">
        <f t="shared" si="2"/>
        <v>5.175410704721576E-2</v>
      </c>
      <c r="K28" s="152">
        <f>(($J$25-J28)/$J$25)*100</f>
        <v>95.011155125399895</v>
      </c>
      <c r="L28" s="131"/>
      <c r="M28" s="128"/>
      <c r="N28" s="128"/>
      <c r="O28" s="137"/>
      <c r="P28" s="137"/>
      <c r="Q28" s="153"/>
      <c r="R28" s="156"/>
      <c r="S28" s="157"/>
      <c r="T28" s="157"/>
      <c r="U28" s="158"/>
    </row>
    <row r="29" spans="1:23">
      <c r="A29" s="127"/>
      <c r="B29" s="137"/>
      <c r="C29" s="137"/>
      <c r="D29" s="137"/>
      <c r="E29" s="137"/>
      <c r="F29" s="129"/>
      <c r="G29" s="137"/>
      <c r="H29" s="139" t="s">
        <v>224</v>
      </c>
      <c r="I29" s="150">
        <v>100000</v>
      </c>
      <c r="J29" s="151">
        <f t="shared" si="2"/>
        <v>1.2380350670017295E-2</v>
      </c>
      <c r="K29" s="152">
        <f>(($J$25-J29)/$J$25)*100</f>
        <v>98.806594249041524</v>
      </c>
      <c r="L29" s="153"/>
      <c r="M29" s="137"/>
      <c r="N29" s="137"/>
      <c r="O29" s="137"/>
      <c r="P29" s="137"/>
      <c r="Q29" s="153"/>
      <c r="R29" s="156"/>
      <c r="S29" s="157"/>
      <c r="T29" s="157"/>
      <c r="U29" s="158"/>
    </row>
    <row r="30" spans="1:23">
      <c r="A30" s="140" t="s">
        <v>226</v>
      </c>
      <c r="B30" s="137"/>
      <c r="C30" s="137"/>
      <c r="D30" s="137"/>
      <c r="E30" s="137"/>
      <c r="F30" s="137"/>
      <c r="G30" s="137"/>
      <c r="H30" s="153"/>
      <c r="I30" s="137"/>
      <c r="J30" s="137"/>
      <c r="K30" s="129"/>
      <c r="L30" s="153"/>
      <c r="M30" s="137"/>
      <c r="N30" s="137"/>
      <c r="O30" s="137"/>
      <c r="P30" s="137"/>
      <c r="Q30" s="153"/>
      <c r="R30" s="156"/>
      <c r="S30" s="157"/>
      <c r="T30" s="157"/>
      <c r="U30" s="158"/>
    </row>
    <row r="31" spans="1:23">
      <c r="A31" s="140" t="s">
        <v>227</v>
      </c>
      <c r="B31" s="137"/>
      <c r="C31" s="137"/>
      <c r="D31" s="137"/>
      <c r="E31" s="137"/>
      <c r="F31" s="137"/>
      <c r="G31" s="137"/>
      <c r="H31" s="153"/>
      <c r="I31" s="137"/>
      <c r="J31" s="137"/>
      <c r="K31" s="129"/>
      <c r="L31" s="153"/>
      <c r="M31" s="137"/>
      <c r="N31" s="137"/>
      <c r="O31" s="137"/>
      <c r="P31" s="137"/>
      <c r="Q31" s="153"/>
      <c r="R31" s="156"/>
      <c r="S31" s="157"/>
      <c r="T31" s="157"/>
      <c r="U31" s="158"/>
    </row>
  </sheetData>
  <mergeCells count="15">
    <mergeCell ref="Q2:Q3"/>
    <mergeCell ref="O12:O13"/>
    <mergeCell ref="R21:U22"/>
    <mergeCell ref="O22:O23"/>
    <mergeCell ref="R24:U27"/>
    <mergeCell ref="A1:H1"/>
    <mergeCell ref="I1:L1"/>
    <mergeCell ref="M1:Q1"/>
    <mergeCell ref="R1:U1"/>
    <mergeCell ref="W1:Y1"/>
    <mergeCell ref="D2:E2"/>
    <mergeCell ref="M2:M3"/>
    <mergeCell ref="N2:N3"/>
    <mergeCell ref="O2:O3"/>
    <mergeCell ref="P2:P3"/>
  </mergeCells>
  <hyperlinks>
    <hyperlink ref="AG10" r:id="rId1" display="https://www.globalsources.com/si/AS/Suzhou-E-U/6008851529613/pdtl/C1100-O-Copper-foil-0-45mm-thickness/1143131148.htm" xr:uid="{51999218-8425-40A4-B564-EBBFCC570061}"/>
    <hyperlink ref="W8" r:id="rId2" display="https://www.ferroxcube.com/upload/media/product/file/MDS/3f46.pdf" xr:uid="{7476C39E-114E-4942-A97C-F54473DD9D06}"/>
    <hyperlink ref="W9" r:id="rId3" display="Ferroxcube | List of P Core 3F46 Materials" xr:uid="{E3626B58-E259-4D29-A695-45BD36B55E95}"/>
    <hyperlink ref="W7" r:id="rId4" location="6" display="https://www.ferroxcube.com/en-global/ak_material/index/power_conversion#6" xr:uid="{BDF2FC12-EE18-4F38-8E02-A8D6B0A88D63}"/>
    <hyperlink ref="W4" r:id="rId5" xr:uid="{DEF05BC8-E1F1-4028-94DC-CC8FD677FA06}"/>
    <hyperlink ref="W5" r:id="rId6" xr:uid="{D3FA2B52-2113-46DB-9C4D-44C397F73010}"/>
    <hyperlink ref="W6" r:id="rId7" xr:uid="{8D0F8294-EA4B-4916-8698-F0F33AD833B7}"/>
    <hyperlink ref="W11" r:id="rId8" display="Digikey-RM6-PC200" xr:uid="{FADA9334-63F7-41A6-BF4B-3C9245C054C8}"/>
    <hyperlink ref="W12" r:id="rId9" xr:uid="{DC37EC91-CB7F-4FE4-93B8-EDFC6E4BACCB}"/>
    <hyperlink ref="W13" r:id="rId10" xr:uid="{6D4CAF67-4EBD-4941-B163-440A2CBCFF5D}"/>
    <hyperlink ref="W14" r:id="rId11" xr:uid="{3E1C8951-13B8-4687-8CE1-868DFD90F1FB}"/>
    <hyperlink ref="W15" r:id="rId12" xr:uid="{57617E87-830E-43B6-8C0C-A8AB6E0CAA6A}"/>
  </hyperlinks>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17331-2110-436C-AFB8-B0768755BBF9}">
  <sheetPr codeName="Sheet3"/>
  <dimension ref="A1:Y48"/>
  <sheetViews>
    <sheetView topLeftCell="A37" workbookViewId="0">
      <selection activeCell="E15" sqref="E15"/>
    </sheetView>
  </sheetViews>
  <sheetFormatPr defaultRowHeight="15"/>
  <cols>
    <col min="1" max="1" width="10" style="31" customWidth="1"/>
    <col min="2" max="2" width="12.7109375" style="32" bestFit="1" customWidth="1"/>
    <col min="3" max="9" width="11.85546875" style="32" bestFit="1" customWidth="1"/>
    <col min="10" max="10" width="11.5703125" style="32" customWidth="1"/>
    <col min="11" max="11" width="11.85546875" style="32" customWidth="1"/>
    <col min="12" max="15" width="11.85546875" style="32" bestFit="1" customWidth="1"/>
    <col min="16" max="16" width="11.5703125" style="32" bestFit="1" customWidth="1"/>
    <col min="17" max="18" width="9.140625" style="32"/>
    <col min="19" max="19" width="11.28515625" style="32" customWidth="1"/>
    <col min="20" max="20" width="10.140625" style="32" bestFit="1" customWidth="1"/>
    <col min="21" max="16384" width="9.140625" style="32"/>
  </cols>
  <sheetData>
    <row r="1" spans="1:25">
      <c r="A1" s="31" t="s">
        <v>21</v>
      </c>
      <c r="B1" s="32" t="s">
        <v>22</v>
      </c>
      <c r="C1" s="32" t="s">
        <v>23</v>
      </c>
      <c r="D1" s="32" t="s">
        <v>24</v>
      </c>
      <c r="E1" s="32" t="s">
        <v>25</v>
      </c>
      <c r="F1" s="32" t="s">
        <v>26</v>
      </c>
      <c r="G1" s="32" t="s">
        <v>27</v>
      </c>
      <c r="H1" s="32" t="s">
        <v>28</v>
      </c>
      <c r="I1" s="32" t="s">
        <v>29</v>
      </c>
      <c r="J1" s="32" t="s">
        <v>30</v>
      </c>
      <c r="K1" s="32" t="s">
        <v>31</v>
      </c>
      <c r="L1" s="32" t="s">
        <v>32</v>
      </c>
      <c r="M1" s="32" t="s">
        <v>33</v>
      </c>
      <c r="N1" s="32" t="s">
        <v>34</v>
      </c>
      <c r="O1" s="32" t="s">
        <v>35</v>
      </c>
      <c r="P1" s="32" t="s">
        <v>36</v>
      </c>
      <c r="Q1" s="33" t="s">
        <v>37</v>
      </c>
      <c r="U1" s="32" t="s">
        <v>38</v>
      </c>
      <c r="V1" s="32">
        <v>7</v>
      </c>
      <c r="W1" s="32" t="s">
        <v>39</v>
      </c>
      <c r="X1" s="32" t="s">
        <v>40</v>
      </c>
      <c r="Y1" s="34" t="s">
        <v>41</v>
      </c>
    </row>
    <row r="2" spans="1:25">
      <c r="A2" s="31" t="s">
        <v>42</v>
      </c>
      <c r="B2" s="32">
        <v>0.05</v>
      </c>
      <c r="C2" s="32">
        <v>2.5000000000000001E-2</v>
      </c>
      <c r="D2" s="32">
        <v>0.1</v>
      </c>
      <c r="E2" s="32">
        <v>2.5000000000000001E-2</v>
      </c>
      <c r="F2" s="32">
        <v>0.1</v>
      </c>
      <c r="G2" s="32">
        <v>2.5000000000000001E-2</v>
      </c>
      <c r="H2" s="32">
        <v>0.1</v>
      </c>
      <c r="I2" s="32">
        <v>2.5000000000000001E-2</v>
      </c>
      <c r="J2" s="32">
        <v>0.1</v>
      </c>
      <c r="K2" s="32">
        <v>2.5000000000000001E-2</v>
      </c>
      <c r="L2" s="32">
        <v>0.1</v>
      </c>
      <c r="M2" s="32">
        <v>2.5000000000000001E-2</v>
      </c>
      <c r="N2" s="32">
        <v>0.1</v>
      </c>
      <c r="O2" s="32">
        <v>2.5000000000000001E-2</v>
      </c>
      <c r="P2" s="32">
        <v>0.1</v>
      </c>
      <c r="Q2" s="35" t="s">
        <v>43</v>
      </c>
      <c r="U2" s="32" t="s">
        <v>44</v>
      </c>
      <c r="V2" s="32">
        <v>8</v>
      </c>
      <c r="W2" s="32" t="s">
        <v>39</v>
      </c>
    </row>
    <row r="3" spans="1:25">
      <c r="A3" s="31" t="s">
        <v>34</v>
      </c>
      <c r="B3" s="32">
        <f>B2*0.001</f>
        <v>5.0000000000000002E-5</v>
      </c>
      <c r="C3" s="32">
        <f t="shared" ref="C3:P3" si="0">C2*0.001</f>
        <v>2.5000000000000001E-5</v>
      </c>
      <c r="D3" s="32">
        <f t="shared" si="0"/>
        <v>1E-4</v>
      </c>
      <c r="E3" s="32">
        <f t="shared" si="0"/>
        <v>2.5000000000000001E-5</v>
      </c>
      <c r="F3" s="32">
        <f t="shared" si="0"/>
        <v>1E-4</v>
      </c>
      <c r="G3" s="32">
        <f t="shared" si="0"/>
        <v>2.5000000000000001E-5</v>
      </c>
      <c r="H3" s="32">
        <f t="shared" si="0"/>
        <v>1E-4</v>
      </c>
      <c r="I3" s="32">
        <f t="shared" si="0"/>
        <v>2.5000000000000001E-5</v>
      </c>
      <c r="J3" s="32">
        <f t="shared" si="0"/>
        <v>1E-4</v>
      </c>
      <c r="K3" s="32">
        <f t="shared" si="0"/>
        <v>2.5000000000000001E-5</v>
      </c>
      <c r="L3" s="32">
        <f t="shared" si="0"/>
        <v>1E-4</v>
      </c>
      <c r="M3" s="32">
        <f t="shared" si="0"/>
        <v>2.5000000000000001E-5</v>
      </c>
      <c r="N3" s="32">
        <f t="shared" si="0"/>
        <v>1E-4</v>
      </c>
      <c r="O3" s="32">
        <f t="shared" si="0"/>
        <v>2.5000000000000001E-5</v>
      </c>
      <c r="P3" s="32">
        <f t="shared" si="0"/>
        <v>1E-4</v>
      </c>
      <c r="Q3" s="36"/>
      <c r="U3" s="32" t="s">
        <v>45</v>
      </c>
      <c r="V3" s="32">
        <f>70*0.000001</f>
        <v>6.9999999999999994E-5</v>
      </c>
      <c r="W3" s="32" t="s">
        <v>34</v>
      </c>
      <c r="X3" s="37" t="s">
        <v>46</v>
      </c>
    </row>
    <row r="4" spans="1:25">
      <c r="A4" s="31" t="s">
        <v>47</v>
      </c>
      <c r="B4" s="32">
        <f>(0.00725+(2*0.445*0.001)+(2*B3))</f>
        <v>8.2399999999999991E-3</v>
      </c>
      <c r="C4" s="32">
        <f t="shared" ref="C4:P4" si="1">B4+(2*$V$3)+(2*C3)</f>
        <v>8.4299999999999983E-3</v>
      </c>
      <c r="D4" s="32">
        <f t="shared" si="1"/>
        <v>8.7699999999999983E-3</v>
      </c>
      <c r="E4" s="32">
        <f t="shared" si="1"/>
        <v>8.9599999999999975E-3</v>
      </c>
      <c r="F4" s="32">
        <f t="shared" si="1"/>
        <v>9.2999999999999975E-3</v>
      </c>
      <c r="G4" s="32">
        <f t="shared" si="1"/>
        <v>9.4899999999999967E-3</v>
      </c>
      <c r="H4" s="32">
        <f t="shared" si="1"/>
        <v>9.8299999999999967E-3</v>
      </c>
      <c r="I4" s="32">
        <f t="shared" si="1"/>
        <v>1.0019999999999996E-2</v>
      </c>
      <c r="J4" s="32">
        <f t="shared" si="1"/>
        <v>1.0359999999999996E-2</v>
      </c>
      <c r="K4" s="32">
        <f t="shared" si="1"/>
        <v>1.0549999999999995E-2</v>
      </c>
      <c r="L4" s="32">
        <f t="shared" si="1"/>
        <v>1.0889999999999995E-2</v>
      </c>
      <c r="M4" s="32">
        <f t="shared" si="1"/>
        <v>1.1079999999999994E-2</v>
      </c>
      <c r="N4" s="32">
        <f t="shared" si="1"/>
        <v>1.1419999999999994E-2</v>
      </c>
      <c r="O4" s="32">
        <f t="shared" si="1"/>
        <v>1.1609999999999994E-2</v>
      </c>
      <c r="P4" s="32">
        <f t="shared" si="1"/>
        <v>1.1949999999999994E-2</v>
      </c>
      <c r="Q4" s="35" t="s">
        <v>48</v>
      </c>
      <c r="R4" s="38"/>
      <c r="U4" s="32" t="s">
        <v>49</v>
      </c>
      <c r="V4" s="32">
        <v>8.3999999999999995E-3</v>
      </c>
      <c r="W4" s="32" t="s">
        <v>34</v>
      </c>
      <c r="X4" s="37" t="s">
        <v>50</v>
      </c>
    </row>
    <row r="5" spans="1:25">
      <c r="A5" s="31" t="s">
        <v>51</v>
      </c>
      <c r="B5" s="39">
        <f>PI()*B4</f>
        <v>2.5886723465579891E-2</v>
      </c>
      <c r="C5" s="39">
        <f t="shared" ref="C5:O5" si="2">PI()*C4</f>
        <v>2.6483626069761949E-2</v>
      </c>
      <c r="D5" s="39">
        <f t="shared" si="2"/>
        <v>2.755176757198248E-2</v>
      </c>
      <c r="E5" s="39">
        <f t="shared" si="2"/>
        <v>2.8148670176164538E-2</v>
      </c>
      <c r="F5" s="39">
        <f t="shared" si="2"/>
        <v>2.9216811678385069E-2</v>
      </c>
      <c r="G5" s="39">
        <f t="shared" si="2"/>
        <v>2.9813714282567128E-2</v>
      </c>
      <c r="H5" s="39">
        <f t="shared" si="2"/>
        <v>3.0881855784787655E-2</v>
      </c>
      <c r="I5" s="39">
        <f t="shared" si="2"/>
        <v>3.1478758388969713E-2</v>
      </c>
      <c r="J5" s="39">
        <f t="shared" si="2"/>
        <v>3.2546899891190244E-2</v>
      </c>
      <c r="K5" s="39">
        <f t="shared" si="2"/>
        <v>3.3143802495372299E-2</v>
      </c>
      <c r="L5" s="39">
        <f t="shared" si="2"/>
        <v>3.4211943997592829E-2</v>
      </c>
      <c r="M5" s="39">
        <f t="shared" si="2"/>
        <v>3.4808846601774891E-2</v>
      </c>
      <c r="N5" s="39">
        <f t="shared" si="2"/>
        <v>3.5876988103995422E-2</v>
      </c>
      <c r="O5" s="39">
        <f t="shared" si="2"/>
        <v>3.6473890708177477E-2</v>
      </c>
      <c r="P5" s="39">
        <f>PI()*P4</f>
        <v>3.7542032210398008E-2</v>
      </c>
      <c r="Q5" s="35" t="s">
        <v>52</v>
      </c>
      <c r="U5" s="40" t="s">
        <v>53</v>
      </c>
      <c r="V5" s="40">
        <v>8.73</v>
      </c>
      <c r="W5" s="40">
        <f>POWER((V5/SQRT(2)),2)</f>
        <v>38.106449999999995</v>
      </c>
      <c r="X5" s="40" t="s">
        <v>54</v>
      </c>
      <c r="Y5" s="40"/>
    </row>
    <row r="6" spans="1:25">
      <c r="A6" s="41" t="s">
        <v>55</v>
      </c>
      <c r="B6" s="42">
        <f>B5/0.001</f>
        <v>25.886723465579891</v>
      </c>
      <c r="C6" s="42">
        <f t="shared" ref="C6:P6" si="3">C5/0.001</f>
        <v>26.48362606976195</v>
      </c>
      <c r="D6" s="42">
        <f t="shared" si="3"/>
        <v>27.551767571982481</v>
      </c>
      <c r="E6" s="42">
        <f t="shared" si="3"/>
        <v>28.148670176164536</v>
      </c>
      <c r="F6" s="42">
        <f t="shared" si="3"/>
        <v>29.216811678385067</v>
      </c>
      <c r="G6" s="42">
        <f t="shared" si="3"/>
        <v>29.813714282567126</v>
      </c>
      <c r="H6" s="42">
        <f t="shared" si="3"/>
        <v>30.881855784787653</v>
      </c>
      <c r="I6" s="42">
        <f t="shared" si="3"/>
        <v>31.478758388969712</v>
      </c>
      <c r="J6" s="42">
        <f t="shared" si="3"/>
        <v>32.546899891190243</v>
      </c>
      <c r="K6" s="42">
        <f t="shared" si="3"/>
        <v>33.143802495372299</v>
      </c>
      <c r="L6" s="42">
        <f t="shared" si="3"/>
        <v>34.211943997592826</v>
      </c>
      <c r="M6" s="42">
        <f t="shared" si="3"/>
        <v>34.808846601774889</v>
      </c>
      <c r="N6" s="42">
        <f t="shared" si="3"/>
        <v>35.876988103995423</v>
      </c>
      <c r="O6" s="42">
        <f t="shared" si="3"/>
        <v>36.473890708177478</v>
      </c>
      <c r="P6" s="42">
        <f t="shared" si="3"/>
        <v>37.542032210398006</v>
      </c>
      <c r="Q6" s="36"/>
      <c r="R6" s="43"/>
      <c r="U6" s="32" t="s">
        <v>56</v>
      </c>
      <c r="V6" s="32">
        <f>V5/4</f>
        <v>2.1825000000000001</v>
      </c>
      <c r="W6" s="40">
        <f>POWER((V6/SQRT(2)),2)</f>
        <v>2.3816531249999997</v>
      </c>
      <c r="X6" s="32" t="s">
        <v>54</v>
      </c>
    </row>
    <row r="7" spans="1:25">
      <c r="A7" s="31" t="s">
        <v>57</v>
      </c>
      <c r="B7" s="32">
        <f>B4/(2*0.001)</f>
        <v>4.1199999999999992</v>
      </c>
      <c r="C7" s="32">
        <f t="shared" ref="C7:P7" si="4">C4/(2*0.001)</f>
        <v>4.214999999999999</v>
      </c>
      <c r="D7" s="32">
        <f t="shared" si="4"/>
        <v>4.3849999999999989</v>
      </c>
      <c r="E7" s="32">
        <f t="shared" si="4"/>
        <v>4.4799999999999986</v>
      </c>
      <c r="F7" s="32">
        <f t="shared" si="4"/>
        <v>4.6499999999999986</v>
      </c>
      <c r="G7" s="32">
        <f t="shared" si="4"/>
        <v>4.7449999999999983</v>
      </c>
      <c r="H7" s="32">
        <f t="shared" si="4"/>
        <v>4.9149999999999983</v>
      </c>
      <c r="I7" s="32">
        <f t="shared" si="4"/>
        <v>5.009999999999998</v>
      </c>
      <c r="J7" s="32">
        <f t="shared" si="4"/>
        <v>5.1799999999999979</v>
      </c>
      <c r="K7" s="32">
        <f t="shared" si="4"/>
        <v>5.2749999999999977</v>
      </c>
      <c r="L7" s="32">
        <f t="shared" si="4"/>
        <v>5.4449999999999976</v>
      </c>
      <c r="M7" s="32">
        <f t="shared" si="4"/>
        <v>5.5399999999999974</v>
      </c>
      <c r="N7" s="32">
        <f t="shared" si="4"/>
        <v>5.7099999999999973</v>
      </c>
      <c r="O7" s="32">
        <f t="shared" si="4"/>
        <v>5.8049999999999971</v>
      </c>
      <c r="P7" s="32">
        <f t="shared" si="4"/>
        <v>5.974999999999997</v>
      </c>
      <c r="Q7" s="35" t="s">
        <v>58</v>
      </c>
      <c r="U7" s="40" t="s">
        <v>59</v>
      </c>
      <c r="V7" s="40">
        <f>61.11/2</f>
        <v>30.555</v>
      </c>
      <c r="W7" s="40">
        <f>POWER((V7/SQRT(2)),2)</f>
        <v>466.80401249999989</v>
      </c>
      <c r="X7" s="40" t="s">
        <v>54</v>
      </c>
    </row>
    <row r="8" spans="1:25">
      <c r="A8" s="31" t="s">
        <v>60</v>
      </c>
      <c r="B8" s="32" t="s">
        <v>61</v>
      </c>
      <c r="C8" s="32" t="s">
        <v>62</v>
      </c>
      <c r="D8" s="32" t="s">
        <v>63</v>
      </c>
      <c r="E8" s="32" t="s">
        <v>64</v>
      </c>
      <c r="F8" s="32" t="s">
        <v>65</v>
      </c>
      <c r="G8" s="32" t="s">
        <v>66</v>
      </c>
      <c r="H8" s="32" t="s">
        <v>67</v>
      </c>
      <c r="I8" s="32" t="s">
        <v>68</v>
      </c>
      <c r="J8" s="32" t="s">
        <v>69</v>
      </c>
      <c r="K8" s="32" t="s">
        <v>70</v>
      </c>
      <c r="L8" s="32" t="s">
        <v>71</v>
      </c>
      <c r="M8" s="32" t="s">
        <v>72</v>
      </c>
      <c r="N8" s="32" t="s">
        <v>73</v>
      </c>
      <c r="O8" s="32" t="s">
        <v>74</v>
      </c>
      <c r="P8" s="32" t="s">
        <v>75</v>
      </c>
      <c r="Q8" s="44"/>
      <c r="U8" s="32" t="s">
        <v>76</v>
      </c>
      <c r="V8" s="32">
        <f>V5/2</f>
        <v>4.3650000000000002</v>
      </c>
      <c r="W8" s="40">
        <f>POWER((V8/SQRT(2)),2)</f>
        <v>9.5266124999999988</v>
      </c>
    </row>
    <row r="9" spans="1:25">
      <c r="A9" s="31" t="s">
        <v>77</v>
      </c>
      <c r="B9" s="39">
        <f>($W$6*$V$9*B5)/($V$3*$V$4)</f>
        <v>1.8076549255847455E-3</v>
      </c>
      <c r="C9" s="39">
        <f>($W$5*$V$9*C5)/($V$3*$V$4)</f>
        <v>2.9589380626561947E-2</v>
      </c>
      <c r="D9" s="39">
        <f>($W$8*$V$9*D5)/($V$3*$V$4)</f>
        <v>7.6956959696010763E-3</v>
      </c>
      <c r="E9" s="39">
        <f>($W$5*$V$9*E5)/($V$3*$V$4)</f>
        <v>3.1449685695610324E-2</v>
      </c>
      <c r="F9" s="39">
        <f>($W$8*$V$9*F5)/($V$3*$V$4)</f>
        <v>8.1607722368631699E-3</v>
      </c>
      <c r="G9" s="39">
        <f>($W$5*$V$9*G5)/($V$3*$V$4)</f>
        <v>3.3309990764658702E-2</v>
      </c>
      <c r="H9" s="39">
        <f>($W$8*$V$9*H5)/($V$3*$V$4)</f>
        <v>8.6258485041252626E-3</v>
      </c>
      <c r="I9" s="39">
        <f>($W$5*$V$9*I5)/($V$3*$V$4)</f>
        <v>3.5170295833707073E-2</v>
      </c>
      <c r="J9" s="39">
        <f>($W$8*$V$9*J5)/($V$3*$V$4)</f>
        <v>9.090924771387357E-3</v>
      </c>
      <c r="K9" s="39">
        <f>($W$5*$V$9*K5)/($V$3*$V$4)</f>
        <v>3.7030600902755451E-2</v>
      </c>
      <c r="L9" s="39">
        <f>($W$8*$V$9*L5)/($V$3*$V$4)</f>
        <v>9.5560010386494514E-3</v>
      </c>
      <c r="M9" s="39">
        <f>($W$5*$V$9*M5)/($V$3*$V$4)</f>
        <v>3.8890905971803828E-2</v>
      </c>
      <c r="N9" s="39">
        <f>($W$8*$V$9*N5)/($V$3*$V$4)</f>
        <v>1.0021077305911548E-2</v>
      </c>
      <c r="O9" s="39">
        <f>($W$5*$V$9*O5)/($V$3*$V$4)</f>
        <v>4.0751211040852199E-2</v>
      </c>
      <c r="P9" s="39">
        <f>($W$6*$V$9*P5)/($V$3*$V$4)</f>
        <v>2.6215383932934101E-3</v>
      </c>
      <c r="Q9" s="44"/>
      <c r="R9" s="43"/>
      <c r="U9" s="45" t="s">
        <v>78</v>
      </c>
      <c r="V9" s="46">
        <v>1.7240000000000001E-8</v>
      </c>
      <c r="W9" s="45" t="s">
        <v>79</v>
      </c>
    </row>
    <row r="10" spans="1:25">
      <c r="A10" s="31" t="s">
        <v>80</v>
      </c>
      <c r="B10" s="39">
        <f>B9/($W$6*0.001)</f>
        <v>0.75899168800441741</v>
      </c>
      <c r="C10" s="39">
        <f>C9/($W$5*0.001)</f>
        <v>0.77649270993655806</v>
      </c>
      <c r="D10" s="39">
        <f>D9/($W$8*0.001)</f>
        <v>0.80781032813091513</v>
      </c>
      <c r="E10" s="39">
        <f>E9/($W$5*0.001)</f>
        <v>0.82531135006305578</v>
      </c>
      <c r="F10" s="39">
        <f>F9/($W$8*0.001)</f>
        <v>0.85662896825741275</v>
      </c>
      <c r="G10" s="39">
        <f>G9/($W$5*0.001)</f>
        <v>0.8741299901895534</v>
      </c>
      <c r="H10" s="39">
        <f>H9/($W$8*0.001)</f>
        <v>0.90544760838391025</v>
      </c>
      <c r="I10" s="39">
        <f>I9/($W$5*0.001)</f>
        <v>0.9229486303160509</v>
      </c>
      <c r="J10" s="39">
        <f>J9/($W$8*0.001)</f>
        <v>0.95426624851040798</v>
      </c>
      <c r="K10" s="39">
        <f>K9/($W$5*0.001)</f>
        <v>0.97176727044254863</v>
      </c>
      <c r="L10" s="39">
        <f>L9/($W$8*0.001)</f>
        <v>1.0030848886369057</v>
      </c>
      <c r="M10" s="39">
        <f>M9/($W$5*0.001)</f>
        <v>1.0205859105690462</v>
      </c>
      <c r="N10" s="39">
        <f>N9/($W$8*0.001)</f>
        <v>1.0519035287634035</v>
      </c>
      <c r="O10" s="39">
        <f>O9/($W$5*0.001)</f>
        <v>1.0694045506955439</v>
      </c>
      <c r="P10" s="39">
        <f>P9/($W$6*0.001)</f>
        <v>1.1007221688899009</v>
      </c>
      <c r="Q10" s="44"/>
      <c r="R10" s="43"/>
      <c r="U10" s="40"/>
      <c r="V10" s="40">
        <v>3</v>
      </c>
      <c r="W10" s="47" t="s">
        <v>81</v>
      </c>
    </row>
    <row r="11" spans="1:25">
      <c r="B11" s="39"/>
      <c r="C11" s="39"/>
      <c r="D11" s="39"/>
      <c r="E11" s="39"/>
      <c r="F11" s="39"/>
      <c r="G11" s="39"/>
      <c r="H11" s="39"/>
      <c r="I11" s="39"/>
      <c r="J11" s="39"/>
      <c r="K11" s="39"/>
      <c r="L11" s="39"/>
      <c r="M11" s="39"/>
      <c r="N11" s="39"/>
      <c r="O11" s="39"/>
      <c r="P11" s="39"/>
      <c r="Q11" s="44"/>
      <c r="R11" s="43"/>
      <c r="U11" s="40"/>
      <c r="V11" s="40"/>
      <c r="W11" s="47"/>
    </row>
    <row r="12" spans="1:25">
      <c r="A12" s="31" t="s">
        <v>82</v>
      </c>
      <c r="B12" s="39" t="s">
        <v>83</v>
      </c>
      <c r="C12" s="39" t="s">
        <v>84</v>
      </c>
      <c r="D12" s="48" t="s">
        <v>85</v>
      </c>
      <c r="E12" s="249" t="s">
        <v>86</v>
      </c>
      <c r="F12" s="249"/>
      <c r="G12" s="249"/>
      <c r="H12" s="249"/>
      <c r="I12" s="31" t="s">
        <v>87</v>
      </c>
      <c r="J12" s="49" t="s">
        <v>88</v>
      </c>
      <c r="K12" s="39" t="s">
        <v>89</v>
      </c>
      <c r="L12" s="39" t="s">
        <v>90</v>
      </c>
      <c r="M12" s="50" t="s">
        <v>91</v>
      </c>
      <c r="N12" s="39" t="s">
        <v>92</v>
      </c>
      <c r="O12" s="39"/>
      <c r="P12" s="39"/>
      <c r="Q12" s="44"/>
      <c r="R12" s="43"/>
      <c r="U12" s="40"/>
      <c r="V12" s="40"/>
      <c r="W12" s="47"/>
    </row>
    <row r="13" spans="1:25">
      <c r="A13" s="31" t="s">
        <v>93</v>
      </c>
      <c r="B13" s="39">
        <f>C10+E10+G10+I10+K10+M10+O10</f>
        <v>6.4606404122123573</v>
      </c>
      <c r="C13" s="39">
        <f>B10+D10+F10+H10+J10+L10+N10+P10</f>
        <v>7.4388554275772734</v>
      </c>
      <c r="D13" s="51">
        <f>B13+C13</f>
        <v>13.89949583978963</v>
      </c>
      <c r="E13" s="249"/>
      <c r="F13" s="249"/>
      <c r="G13" s="249"/>
      <c r="H13" s="249"/>
      <c r="I13" s="32">
        <v>1</v>
      </c>
      <c r="J13" s="49" t="s">
        <v>94</v>
      </c>
      <c r="K13" s="39">
        <f>SQRT(0.5/(B13*0.001))</f>
        <v>8.7972557412284988</v>
      </c>
      <c r="L13" s="39">
        <f>SQRT(0.5/(C13*0.001))</f>
        <v>8.1984535981612492</v>
      </c>
      <c r="M13" s="52">
        <f>K13+L13</f>
        <v>16.995709339389748</v>
      </c>
      <c r="N13" s="53">
        <f>(M13^2) * D13*0.001</f>
        <v>4.0149268609294309</v>
      </c>
      <c r="O13" s="39" t="s">
        <v>95</v>
      </c>
      <c r="P13" s="39"/>
      <c r="Q13" s="44"/>
      <c r="R13" s="43"/>
      <c r="U13" s="40"/>
      <c r="V13" s="40"/>
      <c r="W13" s="47"/>
    </row>
    <row r="14" spans="1:25">
      <c r="A14" s="31" t="s">
        <v>82</v>
      </c>
      <c r="B14" s="32" t="s">
        <v>96</v>
      </c>
      <c r="C14" s="32" t="s">
        <v>97</v>
      </c>
      <c r="D14" s="32" t="s">
        <v>98</v>
      </c>
      <c r="E14" s="54" t="s">
        <v>99</v>
      </c>
      <c r="N14" s="53">
        <f>SQRT(1/(D13*0.001))</f>
        <v>8.4820431222465285</v>
      </c>
      <c r="O14" s="32" t="s">
        <v>100</v>
      </c>
      <c r="R14" s="43"/>
      <c r="U14" s="40"/>
      <c r="V14" s="40">
        <v>4.5</v>
      </c>
      <c r="W14" s="47" t="s">
        <v>101</v>
      </c>
    </row>
    <row r="15" spans="1:25">
      <c r="A15" s="31" t="s">
        <v>102</v>
      </c>
      <c r="B15" s="53">
        <f>C9+E9+G9+I9+K9+M9+O9</f>
        <v>0.24619207083594952</v>
      </c>
      <c r="C15" s="39">
        <f>B9+D9+F9+H9+J9+L9+N9+P9</f>
        <v>5.7579513145416025E-2</v>
      </c>
      <c r="D15" s="55">
        <f>'[1]RM Core Options'!L6</f>
        <v>2.5709452337246324E-3</v>
      </c>
      <c r="E15" s="56">
        <f>B15+C15+D15</f>
        <v>0.3063425292150902</v>
      </c>
      <c r="G15" s="41" t="s">
        <v>103</v>
      </c>
      <c r="H15" s="42">
        <f>C6+E6+G6+I6+K6+M6+O6</f>
        <v>220.35130872278802</v>
      </c>
      <c r="I15" s="42">
        <f>B6+D6+F6+H6+J6+L6+N6+P6</f>
        <v>253.71502270391159</v>
      </c>
      <c r="J15" s="41" t="s">
        <v>104</v>
      </c>
      <c r="R15" s="43"/>
      <c r="U15" s="40"/>
      <c r="V15" s="57">
        <v>8.84</v>
      </c>
      <c r="W15" s="40" t="s">
        <v>105</v>
      </c>
    </row>
    <row r="16" spans="1:25">
      <c r="B16" s="58" t="s">
        <v>106</v>
      </c>
      <c r="G16" s="41" t="s">
        <v>107</v>
      </c>
      <c r="H16" s="42">
        <f>H15+(6*0.06)</f>
        <v>220.71130872278803</v>
      </c>
      <c r="I16" s="42">
        <f>I15+(7*0.06)</f>
        <v>254.13502270391157</v>
      </c>
      <c r="J16" s="41" t="s">
        <v>107</v>
      </c>
      <c r="Q16" s="31" t="s">
        <v>82</v>
      </c>
      <c r="R16" s="39" t="s">
        <v>83</v>
      </c>
      <c r="S16" s="59" t="s">
        <v>108</v>
      </c>
      <c r="T16" s="48" t="s">
        <v>85</v>
      </c>
    </row>
    <row r="17" spans="1:20" ht="16.5" customHeight="1">
      <c r="A17" s="250" t="s">
        <v>109</v>
      </c>
      <c r="B17" s="32" t="s">
        <v>23</v>
      </c>
      <c r="C17" s="32" t="s">
        <v>24</v>
      </c>
      <c r="D17" s="32" t="s">
        <v>25</v>
      </c>
      <c r="E17" s="32" t="s">
        <v>26</v>
      </c>
      <c r="F17" s="32" t="s">
        <v>27</v>
      </c>
      <c r="G17" s="32" t="s">
        <v>28</v>
      </c>
      <c r="H17" s="32" t="s">
        <v>29</v>
      </c>
      <c r="I17" s="32" t="s">
        <v>30</v>
      </c>
      <c r="J17" s="32" t="s">
        <v>31</v>
      </c>
      <c r="K17" s="32" t="s">
        <v>32</v>
      </c>
      <c r="L17" s="32" t="s">
        <v>33</v>
      </c>
      <c r="M17" s="32" t="s">
        <v>34</v>
      </c>
      <c r="N17" s="32" t="s">
        <v>35</v>
      </c>
      <c r="O17" s="32" t="s">
        <v>36</v>
      </c>
      <c r="Q17" s="31" t="s">
        <v>93</v>
      </c>
      <c r="R17" s="39">
        <f>C10+E10+G10+I10+K10+M10+O10</f>
        <v>6.4606404122123573</v>
      </c>
      <c r="S17" s="39">
        <f>(B10+D10+F10+H10+J10+L10+N10+P10)*49</f>
        <v>364.50391595128639</v>
      </c>
      <c r="T17" s="51">
        <f>R17+S17</f>
        <v>370.96455636349873</v>
      </c>
    </row>
    <row r="18" spans="1:20">
      <c r="A18" s="250"/>
      <c r="B18" s="40">
        <v>2.5000000000000001E-2</v>
      </c>
      <c r="C18" s="40">
        <v>0.1</v>
      </c>
      <c r="D18" s="40">
        <v>2.5000000000000001E-2</v>
      </c>
      <c r="E18" s="40">
        <v>0.1</v>
      </c>
      <c r="F18" s="40">
        <v>2.5000000000000001E-2</v>
      </c>
      <c r="G18" s="40">
        <v>0.1</v>
      </c>
      <c r="H18" s="40">
        <v>2.5000000000000001E-2</v>
      </c>
      <c r="I18" s="40">
        <v>0.1</v>
      </c>
      <c r="J18" s="40">
        <v>2.5000000000000001E-2</v>
      </c>
      <c r="K18" s="40">
        <v>0.1</v>
      </c>
      <c r="L18" s="40">
        <v>2.5000000000000001E-2</v>
      </c>
      <c r="M18" s="40">
        <v>0.1</v>
      </c>
      <c r="N18" s="40">
        <v>2.5000000000000001E-2</v>
      </c>
      <c r="O18" s="40">
        <v>0.1</v>
      </c>
    </row>
    <row r="19" spans="1:20" ht="15" customHeight="1">
      <c r="A19" s="31" t="s">
        <v>110</v>
      </c>
      <c r="B19" s="60">
        <f t="shared" ref="B19:O19" si="5">B5*$V$4</f>
        <v>2.1744847711087107E-4</v>
      </c>
      <c r="C19" s="60">
        <f t="shared" si="5"/>
        <v>2.2246245898600037E-4</v>
      </c>
      <c r="D19" s="60">
        <f t="shared" si="5"/>
        <v>2.3143484760465281E-4</v>
      </c>
      <c r="E19" s="60">
        <f t="shared" si="5"/>
        <v>2.3644882947978211E-4</v>
      </c>
      <c r="F19" s="60">
        <f t="shared" si="5"/>
        <v>2.4542121809843456E-4</v>
      </c>
      <c r="G19" s="60">
        <f t="shared" si="5"/>
        <v>2.5043519997356388E-4</v>
      </c>
      <c r="H19" s="60">
        <f t="shared" si="5"/>
        <v>2.5940758859221627E-4</v>
      </c>
      <c r="I19" s="60">
        <f t="shared" si="5"/>
        <v>2.644215704673456E-4</v>
      </c>
      <c r="J19" s="60">
        <f t="shared" si="5"/>
        <v>2.7339395908599804E-4</v>
      </c>
      <c r="K19" s="60">
        <f t="shared" si="5"/>
        <v>2.7840794096112731E-4</v>
      </c>
      <c r="L19" s="60">
        <f t="shared" si="5"/>
        <v>2.8738032957977976E-4</v>
      </c>
      <c r="M19" s="60">
        <f t="shared" si="5"/>
        <v>2.9239431145490908E-4</v>
      </c>
      <c r="N19" s="60">
        <f t="shared" si="5"/>
        <v>3.0136670007356153E-4</v>
      </c>
      <c r="O19" s="60">
        <f t="shared" si="5"/>
        <v>3.063806819486908E-4</v>
      </c>
      <c r="Q19" s="31" t="s">
        <v>111</v>
      </c>
      <c r="R19" s="32">
        <v>1</v>
      </c>
      <c r="S19" s="31" t="s">
        <v>112</v>
      </c>
      <c r="T19" s="53">
        <f>SQRT(R19/(T17*0.001))</f>
        <v>1.6418511875928716</v>
      </c>
    </row>
    <row r="20" spans="1:20">
      <c r="A20" s="31" t="s">
        <v>113</v>
      </c>
      <c r="B20" s="53">
        <f>($V$10*$V$15*B19)/B18</f>
        <v>0.23066934451921201</v>
      </c>
      <c r="C20" s="53">
        <f>(2*($V$10+$V$14)*$V$15*C19/C18)</f>
        <v>0.29498522061543647</v>
      </c>
      <c r="D20" s="53">
        <f>($V$10*$V$15*D19)/D18</f>
        <v>0.24550608633901572</v>
      </c>
      <c r="E20" s="53">
        <f>(2*($V$10+$V$14)*$V$15*E19/E18)</f>
        <v>0.31353114789019104</v>
      </c>
      <c r="F20" s="53">
        <f>($V$10*$V$15*F19)/F18</f>
        <v>0.26034282815881937</v>
      </c>
      <c r="G20" s="53">
        <f>(2*($V$10+$V$14)*$V$15*G19/G18)</f>
        <v>0.33207707516494572</v>
      </c>
      <c r="H20" s="53">
        <f>($V$10*$V$15*H19)/H18</f>
        <v>0.27517956997862303</v>
      </c>
      <c r="I20" s="53">
        <f>(2*($V$10+$V$14)*$V$15*I19/I18)</f>
        <v>0.35062300243970018</v>
      </c>
      <c r="J20" s="53">
        <f>($V$10*$V$15*J19)/J18</f>
        <v>0.29001631179842668</v>
      </c>
      <c r="K20" s="53">
        <f>(2*($V$10+$V$14)*$V$15*K19/K18)</f>
        <v>0.36916892971445475</v>
      </c>
      <c r="L20" s="53">
        <f>($V$10*$V$15*L19)/L18</f>
        <v>0.30485305361823034</v>
      </c>
      <c r="M20" s="53">
        <f>(2*($V$10+$V$14)*$V$15*M19/M18)</f>
        <v>0.38771485698920943</v>
      </c>
      <c r="N20" s="53">
        <f>($V$10*$V$15*N19)/N18</f>
        <v>0.31968979543803405</v>
      </c>
      <c r="O20" s="53">
        <f>(2*($V$10+$V$14)*$V$15*O19/O18)</f>
        <v>0.406260784263964</v>
      </c>
      <c r="Q20" s="31" t="s">
        <v>102</v>
      </c>
      <c r="S20" s="31" t="s">
        <v>94</v>
      </c>
    </row>
    <row r="21" spans="1:20">
      <c r="A21" s="61" t="s">
        <v>114</v>
      </c>
      <c r="B21" s="62">
        <f>SUM(B20:O20)</f>
        <v>4.3806180069282625</v>
      </c>
    </row>
    <row r="22" spans="1:20" ht="15" customHeight="1">
      <c r="A22" s="63" t="s">
        <v>115</v>
      </c>
      <c r="B22" s="55">
        <f>'[1]Resonance Frequency'!D15</f>
        <v>5.9290000000000003E-5</v>
      </c>
      <c r="C22" s="58" t="s">
        <v>116</v>
      </c>
      <c r="Q22" s="31" t="s">
        <v>82</v>
      </c>
      <c r="R22" s="39" t="s">
        <v>83</v>
      </c>
      <c r="S22" s="64" t="s">
        <v>84</v>
      </c>
      <c r="T22" s="48" t="s">
        <v>85</v>
      </c>
    </row>
    <row r="23" spans="1:20" ht="16.5" customHeight="1">
      <c r="A23" s="251" t="s">
        <v>117</v>
      </c>
      <c r="B23" s="62">
        <f>1/(2*PI()*SQRT(B22*B21*0.000000000001)*1000000)</f>
        <v>9.8755596022072236</v>
      </c>
      <c r="Q23" s="31" t="s">
        <v>93</v>
      </c>
      <c r="R23" s="39">
        <f>C10+E10+G10+I10+K10+M10+O10</f>
        <v>6.4606404122123573</v>
      </c>
      <c r="S23" s="39">
        <f>B10+D10+F10+H10+J10+L10+N10+P10</f>
        <v>7.4388554275772734</v>
      </c>
      <c r="T23" s="51">
        <f>R23+S23</f>
        <v>13.89949583978963</v>
      </c>
    </row>
    <row r="24" spans="1:20">
      <c r="A24" s="251"/>
    </row>
    <row r="25" spans="1:20">
      <c r="Q25" s="31" t="s">
        <v>111</v>
      </c>
      <c r="R25" s="32">
        <v>1</v>
      </c>
      <c r="S25" s="31" t="s">
        <v>112</v>
      </c>
      <c r="T25" s="53">
        <f>SQRT(R25/(T23*0.001))</f>
        <v>8.4820431222465285</v>
      </c>
    </row>
    <row r="26" spans="1:20">
      <c r="A26" s="31" t="s">
        <v>118</v>
      </c>
      <c r="B26" s="32">
        <f t="shared" ref="B26:P26" si="6">B7*2</f>
        <v>8.2399999999999984</v>
      </c>
      <c r="C26" s="32">
        <f t="shared" si="6"/>
        <v>8.4299999999999979</v>
      </c>
      <c r="D26" s="32">
        <f t="shared" si="6"/>
        <v>8.7699999999999978</v>
      </c>
      <c r="E26" s="32">
        <f t="shared" si="6"/>
        <v>8.9599999999999973</v>
      </c>
      <c r="F26" s="32">
        <f t="shared" si="6"/>
        <v>9.2999999999999972</v>
      </c>
      <c r="G26" s="32">
        <f t="shared" si="6"/>
        <v>9.4899999999999967</v>
      </c>
      <c r="H26" s="32">
        <f t="shared" si="6"/>
        <v>9.8299999999999965</v>
      </c>
      <c r="I26" s="32">
        <f t="shared" si="6"/>
        <v>10.019999999999996</v>
      </c>
      <c r="J26" s="32">
        <f t="shared" si="6"/>
        <v>10.359999999999996</v>
      </c>
      <c r="K26" s="32">
        <f t="shared" si="6"/>
        <v>10.549999999999995</v>
      </c>
      <c r="L26" s="32">
        <f t="shared" si="6"/>
        <v>10.889999999999995</v>
      </c>
      <c r="M26" s="32">
        <f t="shared" si="6"/>
        <v>11.079999999999995</v>
      </c>
      <c r="N26" s="32">
        <f t="shared" si="6"/>
        <v>11.419999999999995</v>
      </c>
      <c r="O26" s="32">
        <f t="shared" si="6"/>
        <v>11.609999999999994</v>
      </c>
      <c r="P26" s="32">
        <f t="shared" si="6"/>
        <v>11.949999999999994</v>
      </c>
      <c r="Q26" s="31" t="s">
        <v>102</v>
      </c>
      <c r="S26" s="31" t="s">
        <v>94</v>
      </c>
    </row>
    <row r="27" spans="1:20">
      <c r="A27" s="31" t="s">
        <v>119</v>
      </c>
      <c r="B27" s="42">
        <f t="shared" ref="B27:P27" si="7">(B26*2)/$B$26</f>
        <v>2</v>
      </c>
      <c r="C27" s="42">
        <f t="shared" si="7"/>
        <v>2.046116504854369</v>
      </c>
      <c r="D27" s="42">
        <f t="shared" si="7"/>
        <v>2.128640776699029</v>
      </c>
      <c r="E27" s="42">
        <f t="shared" si="7"/>
        <v>2.174757281553398</v>
      </c>
      <c r="F27" s="42">
        <f t="shared" si="7"/>
        <v>2.2572815533980579</v>
      </c>
      <c r="G27" s="42">
        <f t="shared" si="7"/>
        <v>2.3033980582524269</v>
      </c>
      <c r="H27" s="42">
        <f t="shared" si="7"/>
        <v>2.3859223300970869</v>
      </c>
      <c r="I27" s="42">
        <f t="shared" si="7"/>
        <v>2.4320388349514559</v>
      </c>
      <c r="J27" s="42">
        <f t="shared" si="7"/>
        <v>2.5145631067961158</v>
      </c>
      <c r="K27" s="42">
        <f t="shared" si="7"/>
        <v>2.5606796116504849</v>
      </c>
      <c r="L27" s="42">
        <f t="shared" si="7"/>
        <v>2.6432038834951448</v>
      </c>
      <c r="M27" s="42">
        <f t="shared" si="7"/>
        <v>2.6893203883495138</v>
      </c>
      <c r="N27" s="42">
        <f t="shared" si="7"/>
        <v>2.7718446601941742</v>
      </c>
      <c r="O27" s="42">
        <f t="shared" si="7"/>
        <v>2.8179611650485428</v>
      </c>
      <c r="P27" s="42">
        <f t="shared" si="7"/>
        <v>2.9004854368932032</v>
      </c>
    </row>
    <row r="29" spans="1:20">
      <c r="A29" s="31" t="s">
        <v>120</v>
      </c>
      <c r="B29" s="32">
        <f t="shared" ref="B29:P29" si="8">(B4 + $V$3)/2</f>
        <v>4.1549999999999998E-3</v>
      </c>
      <c r="C29" s="32">
        <f t="shared" si="8"/>
        <v>4.2499999999999994E-3</v>
      </c>
      <c r="D29" s="32">
        <f t="shared" si="8"/>
        <v>4.4199999999999995E-3</v>
      </c>
      <c r="E29" s="32">
        <f t="shared" si="8"/>
        <v>4.514999999999999E-3</v>
      </c>
      <c r="F29" s="32">
        <f t="shared" si="8"/>
        <v>4.6849999999999991E-3</v>
      </c>
      <c r="G29" s="32">
        <f t="shared" si="8"/>
        <v>4.7799999999999987E-3</v>
      </c>
      <c r="H29" s="32">
        <f t="shared" si="8"/>
        <v>4.9499999999999987E-3</v>
      </c>
      <c r="I29" s="32">
        <f t="shared" si="8"/>
        <v>5.0449999999999983E-3</v>
      </c>
      <c r="J29" s="32">
        <f t="shared" si="8"/>
        <v>5.2149999999999983E-3</v>
      </c>
      <c r="K29" s="32">
        <f t="shared" si="8"/>
        <v>5.3099999999999979E-3</v>
      </c>
      <c r="L29" s="32">
        <f t="shared" si="8"/>
        <v>5.4799999999999979E-3</v>
      </c>
      <c r="M29" s="32">
        <f t="shared" si="8"/>
        <v>5.5749999999999975E-3</v>
      </c>
      <c r="N29" s="32">
        <f t="shared" si="8"/>
        <v>5.7449999999999975E-3</v>
      </c>
      <c r="O29" s="32">
        <f t="shared" si="8"/>
        <v>5.8399999999999971E-3</v>
      </c>
      <c r="P29" s="32">
        <f t="shared" si="8"/>
        <v>6.0099999999999971E-3</v>
      </c>
    </row>
    <row r="30" spans="1:20">
      <c r="A30" s="31" t="s">
        <v>121</v>
      </c>
      <c r="B30" s="32">
        <f t="shared" ref="B30:P30" si="9">B4/2</f>
        <v>4.1199999999999995E-3</v>
      </c>
      <c r="C30" s="32">
        <f t="shared" si="9"/>
        <v>4.2149999999999991E-3</v>
      </c>
      <c r="D30" s="32">
        <f t="shared" si="9"/>
        <v>4.3849999999999991E-3</v>
      </c>
      <c r="E30" s="32">
        <f t="shared" si="9"/>
        <v>4.4799999999999987E-3</v>
      </c>
      <c r="F30" s="32">
        <f t="shared" si="9"/>
        <v>4.6499999999999988E-3</v>
      </c>
      <c r="G30" s="32">
        <f t="shared" si="9"/>
        <v>4.7449999999999984E-3</v>
      </c>
      <c r="H30" s="32">
        <f t="shared" si="9"/>
        <v>4.9149999999999984E-3</v>
      </c>
      <c r="I30" s="32">
        <f t="shared" si="9"/>
        <v>5.009999999999998E-3</v>
      </c>
      <c r="J30" s="32">
        <f t="shared" si="9"/>
        <v>5.179999999999998E-3</v>
      </c>
      <c r="K30" s="32">
        <f t="shared" si="9"/>
        <v>5.2749999999999976E-3</v>
      </c>
      <c r="L30" s="32">
        <f t="shared" si="9"/>
        <v>5.4449999999999976E-3</v>
      </c>
      <c r="M30" s="32">
        <f t="shared" si="9"/>
        <v>5.5399999999999972E-3</v>
      </c>
      <c r="N30" s="32">
        <f t="shared" si="9"/>
        <v>5.7099999999999972E-3</v>
      </c>
      <c r="O30" s="32">
        <f t="shared" si="9"/>
        <v>5.8049999999999968E-3</v>
      </c>
      <c r="P30" s="32">
        <f t="shared" si="9"/>
        <v>5.9749999999999968E-3</v>
      </c>
    </row>
    <row r="31" spans="1:20">
      <c r="A31" s="31" t="s">
        <v>122</v>
      </c>
      <c r="B31" s="55">
        <f>(B29-B30)</f>
        <v>3.5000000000000309E-5</v>
      </c>
      <c r="C31" s="55">
        <f t="shared" ref="C31:P31" si="10">(C29-C30)</f>
        <v>3.5000000000000309E-5</v>
      </c>
      <c r="D31" s="55">
        <f t="shared" si="10"/>
        <v>3.5000000000000309E-5</v>
      </c>
      <c r="E31" s="55">
        <f t="shared" si="10"/>
        <v>3.5000000000000309E-5</v>
      </c>
      <c r="F31" s="55">
        <f t="shared" si="10"/>
        <v>3.5000000000000309E-5</v>
      </c>
      <c r="G31" s="55">
        <f t="shared" si="10"/>
        <v>3.5000000000000309E-5</v>
      </c>
      <c r="H31" s="55">
        <f t="shared" si="10"/>
        <v>3.5000000000000309E-5</v>
      </c>
      <c r="I31" s="55">
        <f t="shared" si="10"/>
        <v>3.5000000000000309E-5</v>
      </c>
      <c r="J31" s="55">
        <f t="shared" si="10"/>
        <v>3.5000000000000309E-5</v>
      </c>
      <c r="K31" s="55">
        <f t="shared" si="10"/>
        <v>3.5000000000000309E-5</v>
      </c>
      <c r="L31" s="55">
        <f t="shared" si="10"/>
        <v>3.5000000000000309E-5</v>
      </c>
      <c r="M31" s="55">
        <f t="shared" si="10"/>
        <v>3.5000000000000309E-5</v>
      </c>
      <c r="N31" s="55">
        <f t="shared" si="10"/>
        <v>3.5000000000000309E-5</v>
      </c>
      <c r="O31" s="55">
        <f t="shared" si="10"/>
        <v>3.5000000000000309E-5</v>
      </c>
      <c r="P31" s="55">
        <f t="shared" si="10"/>
        <v>3.5000000000000309E-5</v>
      </c>
    </row>
    <row r="32" spans="1:20">
      <c r="A32" s="31" t="s">
        <v>123</v>
      </c>
      <c r="B32" s="55">
        <f>PI()*B31</f>
        <v>1.0995574287564373E-4</v>
      </c>
      <c r="C32" s="55">
        <f t="shared" ref="C32:P32" si="11">PI()*C31</f>
        <v>1.0995574287564373E-4</v>
      </c>
      <c r="D32" s="55">
        <f t="shared" si="11"/>
        <v>1.0995574287564373E-4</v>
      </c>
      <c r="E32" s="55">
        <f t="shared" si="11"/>
        <v>1.0995574287564373E-4</v>
      </c>
      <c r="F32" s="55">
        <f t="shared" si="11"/>
        <v>1.0995574287564373E-4</v>
      </c>
      <c r="G32" s="55">
        <f t="shared" si="11"/>
        <v>1.0995574287564373E-4</v>
      </c>
      <c r="H32" s="55">
        <f t="shared" si="11"/>
        <v>1.0995574287564373E-4</v>
      </c>
      <c r="I32" s="55">
        <f t="shared" si="11"/>
        <v>1.0995574287564373E-4</v>
      </c>
      <c r="J32" s="55">
        <f t="shared" si="11"/>
        <v>1.0995574287564373E-4</v>
      </c>
      <c r="K32" s="55">
        <f t="shared" si="11"/>
        <v>1.0995574287564373E-4</v>
      </c>
      <c r="L32" s="55">
        <f t="shared" si="11"/>
        <v>1.0995574287564373E-4</v>
      </c>
      <c r="M32" s="55">
        <f t="shared" si="11"/>
        <v>1.0995574287564373E-4</v>
      </c>
      <c r="N32" s="55">
        <f t="shared" si="11"/>
        <v>1.0995574287564373E-4</v>
      </c>
      <c r="O32" s="55">
        <f t="shared" si="11"/>
        <v>1.0995574287564373E-4</v>
      </c>
      <c r="P32" s="55">
        <f t="shared" si="11"/>
        <v>1.0995574287564373E-4</v>
      </c>
    </row>
    <row r="33" spans="1:17">
      <c r="A33" s="31" t="s">
        <v>124</v>
      </c>
      <c r="B33" s="32">
        <f>B32/(0.014)</f>
        <v>7.8539816339745529E-3</v>
      </c>
      <c r="C33" s="32">
        <f t="shared" ref="C33:P33" si="12">C32/(0.014)</f>
        <v>7.8539816339745529E-3</v>
      </c>
      <c r="D33" s="32">
        <f t="shared" si="12"/>
        <v>7.8539816339745529E-3</v>
      </c>
      <c r="E33" s="32">
        <f t="shared" si="12"/>
        <v>7.8539816339745529E-3</v>
      </c>
      <c r="F33" s="32">
        <f t="shared" si="12"/>
        <v>7.8539816339745529E-3</v>
      </c>
      <c r="G33" s="32">
        <f t="shared" si="12"/>
        <v>7.8539816339745529E-3</v>
      </c>
      <c r="H33" s="32">
        <f t="shared" si="12"/>
        <v>7.8539816339745529E-3</v>
      </c>
      <c r="I33" s="32">
        <f t="shared" si="12"/>
        <v>7.8539816339745529E-3</v>
      </c>
      <c r="J33" s="32">
        <f t="shared" si="12"/>
        <v>7.8539816339745529E-3</v>
      </c>
      <c r="K33" s="32">
        <f t="shared" si="12"/>
        <v>7.8539816339745529E-3</v>
      </c>
      <c r="L33" s="32">
        <f t="shared" si="12"/>
        <v>7.8539816339745529E-3</v>
      </c>
      <c r="M33" s="32">
        <f t="shared" si="12"/>
        <v>7.8539816339745529E-3</v>
      </c>
      <c r="N33" s="32">
        <f t="shared" si="12"/>
        <v>7.8539816339745529E-3</v>
      </c>
      <c r="O33" s="32">
        <f t="shared" si="12"/>
        <v>7.8539816339745529E-3</v>
      </c>
      <c r="P33" s="32">
        <f t="shared" si="12"/>
        <v>7.8539816339745529E-3</v>
      </c>
    </row>
    <row r="34" spans="1:17">
      <c r="A34" s="31" t="s">
        <v>125</v>
      </c>
      <c r="B34" s="53">
        <f>B33/0.001</f>
        <v>7.853981633974553</v>
      </c>
      <c r="C34" s="53">
        <f t="shared" ref="C34:P34" si="13">C33/0.001</f>
        <v>7.853981633974553</v>
      </c>
      <c r="D34" s="53">
        <f t="shared" si="13"/>
        <v>7.853981633974553</v>
      </c>
      <c r="E34" s="53">
        <f t="shared" si="13"/>
        <v>7.853981633974553</v>
      </c>
      <c r="F34" s="53">
        <f t="shared" si="13"/>
        <v>7.853981633974553</v>
      </c>
      <c r="G34" s="53">
        <f t="shared" si="13"/>
        <v>7.853981633974553</v>
      </c>
      <c r="H34" s="53">
        <f t="shared" si="13"/>
        <v>7.853981633974553</v>
      </c>
      <c r="I34" s="53">
        <f t="shared" si="13"/>
        <v>7.853981633974553</v>
      </c>
      <c r="J34" s="53">
        <f t="shared" si="13"/>
        <v>7.853981633974553</v>
      </c>
      <c r="K34" s="53">
        <f t="shared" si="13"/>
        <v>7.853981633974553</v>
      </c>
      <c r="L34" s="53">
        <f t="shared" si="13"/>
        <v>7.853981633974553</v>
      </c>
      <c r="M34" s="53">
        <f t="shared" si="13"/>
        <v>7.853981633974553</v>
      </c>
      <c r="N34" s="53">
        <f t="shared" si="13"/>
        <v>7.853981633974553</v>
      </c>
      <c r="O34" s="53">
        <f t="shared" si="13"/>
        <v>7.853981633974553</v>
      </c>
      <c r="P34" s="53">
        <f t="shared" si="13"/>
        <v>7.853981633974553</v>
      </c>
    </row>
    <row r="36" spans="1:17">
      <c r="A36" s="31" t="s">
        <v>126</v>
      </c>
      <c r="B36" s="32" t="s">
        <v>61</v>
      </c>
      <c r="C36" s="32" t="s">
        <v>127</v>
      </c>
      <c r="D36" s="32" t="s">
        <v>63</v>
      </c>
      <c r="F36" s="32" t="s">
        <v>65</v>
      </c>
      <c r="H36" s="32" t="s">
        <v>67</v>
      </c>
      <c r="J36" s="32" t="s">
        <v>69</v>
      </c>
      <c r="L36" s="32" t="s">
        <v>71</v>
      </c>
      <c r="N36" s="32" t="s">
        <v>73</v>
      </c>
      <c r="P36" s="32" t="s">
        <v>75</v>
      </c>
    </row>
    <row r="37" spans="1:17">
      <c r="A37" s="31" t="s">
        <v>128</v>
      </c>
      <c r="B37" s="32">
        <v>13</v>
      </c>
      <c r="D37" s="32">
        <v>13</v>
      </c>
      <c r="F37" s="32">
        <v>13</v>
      </c>
      <c r="H37" s="32">
        <v>13</v>
      </c>
      <c r="J37" s="32">
        <v>13</v>
      </c>
      <c r="L37" s="32">
        <v>13</v>
      </c>
      <c r="N37" s="32">
        <v>13</v>
      </c>
      <c r="P37" s="32">
        <v>13</v>
      </c>
    </row>
    <row r="38" spans="1:17">
      <c r="A38" s="31" t="s">
        <v>129</v>
      </c>
      <c r="B38" s="32">
        <v>65</v>
      </c>
    </row>
    <row r="39" spans="1:17">
      <c r="A39" s="31" t="s">
        <v>130</v>
      </c>
      <c r="B39" s="42">
        <f>B37+B6</f>
        <v>38.886723465579891</v>
      </c>
      <c r="C39" s="32">
        <v>0.06</v>
      </c>
      <c r="D39" s="42">
        <f>B39+C39+D6</f>
        <v>66.498491037562374</v>
      </c>
      <c r="E39" s="32">
        <v>0.06</v>
      </c>
      <c r="F39" s="42">
        <f>D39+E39+F6</f>
        <v>95.775302715947447</v>
      </c>
      <c r="G39" s="32">
        <v>0.06</v>
      </c>
      <c r="H39" s="42">
        <f>F39+G39+H6</f>
        <v>126.71715850073511</v>
      </c>
      <c r="I39" s="32">
        <v>0.06</v>
      </c>
      <c r="J39" s="42">
        <f>H39+I39+J6</f>
        <v>159.32405839192535</v>
      </c>
      <c r="K39" s="32">
        <v>0.06</v>
      </c>
      <c r="L39" s="42">
        <f>J39+K39+L6</f>
        <v>193.59600238951816</v>
      </c>
      <c r="M39" s="32">
        <v>0.06</v>
      </c>
      <c r="N39" s="42">
        <f>L39+M39+N6</f>
        <v>229.53299049351358</v>
      </c>
      <c r="O39" s="32">
        <v>0.06</v>
      </c>
      <c r="P39" s="42">
        <f>N39+O39+P6</f>
        <v>267.1350227039116</v>
      </c>
      <c r="Q39" s="42">
        <f>P39-P37</f>
        <v>254.1350227039116</v>
      </c>
    </row>
    <row r="40" spans="1:17">
      <c r="C40" s="42">
        <f>B39+C39</f>
        <v>38.946723465579893</v>
      </c>
      <c r="E40" s="42">
        <f>D39+E39</f>
        <v>66.558491037562376</v>
      </c>
      <c r="G40" s="42">
        <f>F39+G39</f>
        <v>95.835302715947449</v>
      </c>
      <c r="I40" s="42">
        <f>H39+I39</f>
        <v>126.77715850073511</v>
      </c>
      <c r="K40" s="42">
        <f t="shared" ref="K40" si="14">J39+K39</f>
        <v>159.38405839192535</v>
      </c>
      <c r="M40" s="42">
        <f t="shared" ref="M40" si="15">L39+M39</f>
        <v>193.65600238951816</v>
      </c>
      <c r="O40" s="42">
        <f t="shared" ref="O40" si="16">N39+O39</f>
        <v>229.59299049351358</v>
      </c>
    </row>
    <row r="41" spans="1:17">
      <c r="A41" s="31" t="s">
        <v>131</v>
      </c>
      <c r="B41" s="32">
        <f>B38+8.4</f>
        <v>73.400000000000006</v>
      </c>
    </row>
    <row r="42" spans="1:17">
      <c r="A42" s="31" t="s">
        <v>126</v>
      </c>
      <c r="B42" s="32" t="s">
        <v>62</v>
      </c>
      <c r="C42" s="32" t="s">
        <v>74</v>
      </c>
      <c r="E42" s="32" t="s">
        <v>132</v>
      </c>
    </row>
    <row r="43" spans="1:17">
      <c r="A43" s="31" t="s">
        <v>128</v>
      </c>
      <c r="B43" s="32">
        <v>13</v>
      </c>
      <c r="C43" s="42">
        <f>13+H16</f>
        <v>233.71130872278803</v>
      </c>
      <c r="E43" s="32" t="s">
        <v>133</v>
      </c>
    </row>
    <row r="44" spans="1:17">
      <c r="A44" s="31" t="s">
        <v>129</v>
      </c>
      <c r="B44" s="32">
        <v>65</v>
      </c>
      <c r="C44" s="32">
        <v>65</v>
      </c>
    </row>
    <row r="45" spans="1:17">
      <c r="A45" s="31" t="s">
        <v>130</v>
      </c>
      <c r="B45" s="32">
        <v>13</v>
      </c>
      <c r="C45" s="32">
        <v>247.13</v>
      </c>
      <c r="D45" s="32">
        <f>C45-B43</f>
        <v>234.13</v>
      </c>
    </row>
    <row r="46" spans="1:17">
      <c r="A46" s="31" t="s">
        <v>131</v>
      </c>
      <c r="B46" s="32">
        <v>73.400000000000006</v>
      </c>
      <c r="C46" s="32">
        <v>73.400000000000006</v>
      </c>
    </row>
    <row r="48" spans="1:17">
      <c r="A48" s="31" t="s">
        <v>134</v>
      </c>
      <c r="B48" s="42">
        <f>0.5*(B6+0.06)</f>
        <v>12.973361732789945</v>
      </c>
      <c r="C48" s="42"/>
      <c r="D48" s="42">
        <f t="shared" ref="D48:N48" si="17">0.5*(D6+0.06)</f>
        <v>13.80588378599124</v>
      </c>
      <c r="E48" s="42"/>
      <c r="F48" s="42">
        <f t="shared" si="17"/>
        <v>14.638405839192533</v>
      </c>
      <c r="G48" s="42"/>
      <c r="H48" s="42">
        <f t="shared" si="17"/>
        <v>15.470927892393826</v>
      </c>
      <c r="I48" s="42"/>
      <c r="J48" s="42">
        <f t="shared" si="17"/>
        <v>16.303449945595123</v>
      </c>
      <c r="K48" s="42"/>
      <c r="L48" s="42">
        <f t="shared" si="17"/>
        <v>17.135971998796414</v>
      </c>
      <c r="M48" s="42"/>
      <c r="N48" s="42">
        <f t="shared" si="17"/>
        <v>17.968494051997713</v>
      </c>
      <c r="O48" s="42"/>
      <c r="P48" s="42">
        <f>0.5*(P6+0.06)</f>
        <v>18.801016105199004</v>
      </c>
    </row>
  </sheetData>
  <mergeCells count="3">
    <mergeCell ref="E12:H13"/>
    <mergeCell ref="A17:A18"/>
    <mergeCell ref="A23:A24"/>
  </mergeCells>
  <hyperlinks>
    <hyperlink ref="W14" r:id="rId1" location=":~:text=A%20typical%20value%20for%20dielectric,constant%20is%20affected%20by%20temperature." xr:uid="{C0341965-C8DC-44C9-BBD6-6481A69D826B}"/>
    <hyperlink ref="W10" r:id="rId2" xr:uid="{0C33D7D9-ADB7-4AB5-B2C3-FB20D537E23E}"/>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BB77-BA55-4553-A73B-C6C3D679EBB1}">
  <sheetPr codeName="Sheet4"/>
  <dimension ref="A1:AD140"/>
  <sheetViews>
    <sheetView zoomScale="90" zoomScaleNormal="90" workbookViewId="0">
      <selection activeCell="O26" sqref="O26"/>
    </sheetView>
  </sheetViews>
  <sheetFormatPr defaultRowHeight="15.75"/>
  <cols>
    <col min="1" max="1" width="10.28515625" style="1" customWidth="1"/>
    <col min="2" max="2" width="11.85546875" style="1" customWidth="1"/>
    <col min="3" max="4" width="13.140625" style="1" customWidth="1"/>
    <col min="5" max="5" width="13.42578125" style="1" customWidth="1"/>
    <col min="6" max="6" width="11.5703125" style="1" customWidth="1"/>
    <col min="7" max="7" width="12.140625" style="1" customWidth="1"/>
    <col min="8" max="8" width="12" style="1" customWidth="1"/>
    <col min="9" max="9" width="12.85546875" style="1" customWidth="1"/>
    <col min="10" max="10" width="11.28515625" style="1" customWidth="1"/>
    <col min="11" max="12" width="12.42578125" style="1" customWidth="1"/>
    <col min="13" max="13" width="12.7109375" style="1" customWidth="1"/>
    <col min="14" max="14" width="11.42578125" style="1" customWidth="1"/>
    <col min="15" max="17" width="10.42578125" style="1" customWidth="1"/>
    <col min="18" max="19" width="9.140625" style="1"/>
    <col min="20" max="20" width="9.5703125" style="1" bestFit="1" customWidth="1"/>
    <col min="21" max="22" width="9.140625" style="1"/>
    <col min="23" max="23" width="10.7109375" style="1" bestFit="1" customWidth="1"/>
    <col min="24" max="25" width="9.140625" style="1"/>
    <col min="26" max="28" width="9.85546875" style="1" customWidth="1"/>
    <col min="29" max="29" width="10.140625" style="1" customWidth="1"/>
    <col min="30" max="16384" width="9.140625" style="1"/>
  </cols>
  <sheetData>
    <row r="1" spans="1:30">
      <c r="A1" s="3" t="s">
        <v>235</v>
      </c>
      <c r="F1" s="2"/>
      <c r="G1" s="9" t="s">
        <v>4</v>
      </c>
      <c r="H1" s="1" t="s">
        <v>7</v>
      </c>
      <c r="N1" s="9" t="s">
        <v>228</v>
      </c>
      <c r="O1" s="160" t="s">
        <v>229</v>
      </c>
      <c r="P1" s="161" t="s">
        <v>230</v>
      </c>
      <c r="Q1" s="159" t="s">
        <v>231</v>
      </c>
    </row>
    <row r="2" spans="1:30">
      <c r="A2" s="2" t="s">
        <v>236</v>
      </c>
      <c r="B2" s="2"/>
      <c r="C2" s="2"/>
      <c r="D2" s="2"/>
      <c r="E2" s="2"/>
      <c r="H2" s="1" t="s">
        <v>6</v>
      </c>
      <c r="O2" s="29"/>
      <c r="P2" s="162"/>
      <c r="Q2" s="117"/>
    </row>
    <row r="3" spans="1:30">
      <c r="A3" s="3" t="s">
        <v>233</v>
      </c>
      <c r="D3" s="252" t="s">
        <v>234</v>
      </c>
      <c r="E3" s="252"/>
      <c r="H3" s="10" t="s">
        <v>5</v>
      </c>
      <c r="O3" s="29"/>
      <c r="P3" s="162"/>
      <c r="Q3" s="117"/>
    </row>
    <row r="4" spans="1:30">
      <c r="A4" s="3" t="s">
        <v>232</v>
      </c>
      <c r="H4" s="1" t="s">
        <v>9</v>
      </c>
      <c r="O4" s="29"/>
      <c r="P4" s="162"/>
      <c r="Q4" s="117"/>
    </row>
    <row r="5" spans="1:30">
      <c r="O5" s="29"/>
      <c r="P5" s="162"/>
      <c r="Q5" s="117"/>
    </row>
    <row r="6" spans="1:30">
      <c r="A6" s="6"/>
      <c r="B6" s="6"/>
      <c r="C6" s="6"/>
      <c r="D6" s="6"/>
      <c r="E6" s="6"/>
      <c r="F6" s="6"/>
      <c r="G6" s="6"/>
      <c r="H6" s="6"/>
      <c r="I6" s="6"/>
      <c r="J6" s="6"/>
      <c r="K6" s="6"/>
      <c r="L6" s="6"/>
      <c r="M6" s="6"/>
      <c r="N6" s="6"/>
      <c r="O6" s="29"/>
      <c r="P6" s="162"/>
      <c r="Q6" s="28"/>
      <c r="S6" s="6"/>
      <c r="T6" s="6"/>
      <c r="U6" s="6"/>
      <c r="V6" s="6"/>
      <c r="W6" s="6"/>
      <c r="X6" s="6"/>
      <c r="Y6" s="6"/>
      <c r="Z6" s="6"/>
      <c r="AA6" s="6"/>
      <c r="AB6" s="6"/>
      <c r="AC6" s="6"/>
      <c r="AD6" s="6"/>
    </row>
    <row r="7" spans="1:30" ht="15.75" customHeight="1">
      <c r="A7" s="193" t="s">
        <v>10</v>
      </c>
      <c r="B7" s="253"/>
      <c r="C7" s="254"/>
      <c r="D7" s="254"/>
      <c r="E7" s="255"/>
      <c r="F7" s="253"/>
      <c r="G7" s="254"/>
      <c r="H7" s="254"/>
      <c r="I7" s="255"/>
      <c r="J7" s="253"/>
      <c r="K7" s="254"/>
      <c r="L7" s="254"/>
      <c r="M7" s="255"/>
      <c r="N7" s="171"/>
      <c r="O7" s="171"/>
      <c r="P7" s="171"/>
      <c r="Q7" s="171"/>
      <c r="R7" s="168"/>
      <c r="S7" s="168"/>
      <c r="T7" s="168"/>
      <c r="U7" s="168"/>
      <c r="V7" s="168"/>
      <c r="W7" s="168"/>
      <c r="X7" s="168"/>
      <c r="Y7" s="168"/>
      <c r="Z7" s="168"/>
      <c r="AA7" s="168"/>
      <c r="AB7" s="168"/>
      <c r="AC7" s="168"/>
      <c r="AD7" s="6"/>
    </row>
    <row r="8" spans="1:30" ht="16.5" thickBot="1">
      <c r="A8" s="194" t="s">
        <v>11</v>
      </c>
      <c r="B8" s="182" t="s">
        <v>0</v>
      </c>
      <c r="C8" s="183" t="s">
        <v>1</v>
      </c>
      <c r="D8" s="183" t="s">
        <v>237</v>
      </c>
      <c r="E8" s="183" t="s">
        <v>3</v>
      </c>
      <c r="F8" s="182" t="s">
        <v>0</v>
      </c>
      <c r="G8" s="183" t="s">
        <v>1</v>
      </c>
      <c r="H8" s="183" t="s">
        <v>237</v>
      </c>
      <c r="I8" s="183" t="s">
        <v>3</v>
      </c>
      <c r="J8" s="182" t="s">
        <v>0</v>
      </c>
      <c r="K8" s="183" t="s">
        <v>1</v>
      </c>
      <c r="L8" s="183" t="s">
        <v>237</v>
      </c>
      <c r="M8" s="201" t="s">
        <v>3</v>
      </c>
      <c r="N8" s="30"/>
      <c r="O8" s="30"/>
      <c r="P8" s="30"/>
      <c r="Q8" s="30"/>
      <c r="R8" s="30"/>
      <c r="S8" s="30"/>
      <c r="T8" s="30"/>
      <c r="U8" s="30"/>
      <c r="V8" s="30"/>
      <c r="W8" s="30"/>
      <c r="X8" s="30"/>
      <c r="Y8" s="30"/>
      <c r="Z8" s="30"/>
      <c r="AA8" s="30"/>
      <c r="AB8" s="30"/>
      <c r="AC8" s="30"/>
      <c r="AD8" s="6"/>
    </row>
    <row r="9" spans="1:30" ht="16.5" thickTop="1">
      <c r="A9" s="190">
        <v>0</v>
      </c>
      <c r="B9" s="177"/>
      <c r="C9" s="178"/>
      <c r="D9" s="179"/>
      <c r="E9" s="180"/>
      <c r="F9" s="177"/>
      <c r="G9" s="178"/>
      <c r="H9" s="179"/>
      <c r="I9" s="180"/>
      <c r="J9" s="177"/>
      <c r="K9" s="178"/>
      <c r="L9" s="179"/>
      <c r="M9" s="202"/>
      <c r="N9" s="18"/>
      <c r="O9" s="16"/>
      <c r="P9" s="11"/>
      <c r="Q9" s="14"/>
      <c r="R9" s="14"/>
      <c r="S9" s="11"/>
      <c r="T9" s="17"/>
      <c r="U9" s="16"/>
      <c r="V9" s="11"/>
      <c r="W9" s="11"/>
      <c r="X9" s="14"/>
      <c r="Y9" s="11"/>
      <c r="Z9" s="17"/>
      <c r="AA9" s="16"/>
      <c r="AB9" s="11"/>
      <c r="AC9" s="14"/>
      <c r="AD9" s="6"/>
    </row>
    <row r="10" spans="1:30">
      <c r="A10" s="191">
        <v>5</v>
      </c>
      <c r="B10" s="184"/>
      <c r="C10" s="172"/>
      <c r="D10" s="173"/>
      <c r="E10" s="198"/>
      <c r="F10" s="184"/>
      <c r="G10" s="172"/>
      <c r="H10" s="173"/>
      <c r="I10" s="198"/>
      <c r="J10" s="184"/>
      <c r="K10" s="172"/>
      <c r="L10" s="173"/>
      <c r="M10" s="198"/>
      <c r="N10" s="18"/>
      <c r="O10" s="16"/>
      <c r="P10" s="11"/>
      <c r="Q10" s="14"/>
      <c r="R10" s="14"/>
      <c r="S10" s="11"/>
      <c r="T10" s="17"/>
      <c r="U10" s="16"/>
      <c r="V10" s="11"/>
      <c r="W10" s="11"/>
      <c r="X10" s="14"/>
      <c r="Y10" s="11"/>
      <c r="Z10" s="17"/>
      <c r="AA10" s="16"/>
      <c r="AB10" s="11"/>
      <c r="AC10" s="14"/>
      <c r="AD10" s="6"/>
    </row>
    <row r="11" spans="1:30">
      <c r="A11" s="190">
        <v>10</v>
      </c>
      <c r="B11" s="184"/>
      <c r="C11" s="172"/>
      <c r="D11" s="173"/>
      <c r="E11" s="198"/>
      <c r="F11" s="184"/>
      <c r="G11" s="172"/>
      <c r="H11" s="173"/>
      <c r="I11" s="198"/>
      <c r="J11" s="184"/>
      <c r="K11" s="172"/>
      <c r="L11" s="173"/>
      <c r="M11" s="198"/>
      <c r="N11" s="18"/>
      <c r="O11" s="16"/>
      <c r="P11" s="11"/>
      <c r="Q11" s="14"/>
      <c r="R11" s="14"/>
      <c r="S11" s="11"/>
      <c r="T11" s="17"/>
      <c r="U11" s="16"/>
      <c r="V11" s="11"/>
      <c r="W11" s="11"/>
      <c r="X11" s="14"/>
      <c r="Y11" s="11"/>
      <c r="Z11" s="17"/>
      <c r="AA11" s="16"/>
      <c r="AB11" s="11"/>
      <c r="AC11" s="14"/>
      <c r="AD11" s="6"/>
    </row>
    <row r="12" spans="1:30">
      <c r="A12" s="192">
        <v>15</v>
      </c>
      <c r="B12" s="187"/>
      <c r="C12" s="172"/>
      <c r="D12" s="173"/>
      <c r="E12" s="198"/>
      <c r="F12" s="187"/>
      <c r="G12" s="172"/>
      <c r="H12" s="173"/>
      <c r="I12" s="198"/>
      <c r="J12" s="187"/>
      <c r="K12" s="172"/>
      <c r="L12" s="173"/>
      <c r="M12" s="198"/>
      <c r="N12" s="18"/>
      <c r="O12" s="16"/>
      <c r="P12" s="11"/>
      <c r="Q12" s="14"/>
      <c r="R12" s="14"/>
      <c r="S12" s="11"/>
      <c r="T12" s="17"/>
      <c r="U12" s="16"/>
      <c r="V12" s="11"/>
      <c r="W12" s="11"/>
      <c r="X12" s="14"/>
      <c r="Y12" s="11"/>
      <c r="Z12" s="17"/>
      <c r="AA12" s="16"/>
      <c r="AB12" s="11"/>
      <c r="AC12" s="14"/>
      <c r="AD12" s="6"/>
    </row>
    <row r="13" spans="1:30">
      <c r="A13" s="191">
        <v>20</v>
      </c>
      <c r="B13" s="184"/>
      <c r="C13" s="172"/>
      <c r="D13" s="173"/>
      <c r="E13" s="198"/>
      <c r="F13" s="184"/>
      <c r="G13" s="172"/>
      <c r="H13" s="173"/>
      <c r="I13" s="198"/>
      <c r="J13" s="184"/>
      <c r="K13" s="172"/>
      <c r="L13" s="173"/>
      <c r="M13" s="198"/>
      <c r="N13" s="18"/>
      <c r="O13" s="16"/>
      <c r="P13" s="11"/>
      <c r="Q13" s="14"/>
      <c r="R13" s="14"/>
      <c r="S13" s="11"/>
      <c r="T13" s="17"/>
      <c r="U13" s="16"/>
      <c r="V13" s="11"/>
      <c r="W13" s="11"/>
      <c r="X13" s="14"/>
      <c r="Y13" s="11"/>
      <c r="Z13" s="17"/>
      <c r="AA13" s="16"/>
      <c r="AB13" s="11"/>
      <c r="AC13" s="14"/>
      <c r="AD13" s="6"/>
    </row>
    <row r="14" spans="1:30">
      <c r="A14" s="190">
        <v>25</v>
      </c>
      <c r="B14" s="188"/>
      <c r="C14" s="172"/>
      <c r="D14" s="173"/>
      <c r="E14" s="198"/>
      <c r="F14" s="188"/>
      <c r="G14" s="172"/>
      <c r="H14" s="173"/>
      <c r="I14" s="198"/>
      <c r="J14" s="188"/>
      <c r="K14" s="172"/>
      <c r="L14" s="173"/>
      <c r="M14" s="198"/>
      <c r="N14" s="18"/>
      <c r="O14" s="16"/>
      <c r="P14" s="11"/>
      <c r="Q14" s="14"/>
      <c r="R14" s="14"/>
      <c r="S14" s="11"/>
      <c r="T14" s="17"/>
      <c r="U14" s="16"/>
      <c r="V14" s="11"/>
      <c r="W14" s="11"/>
      <c r="X14" s="14"/>
      <c r="Y14" s="11"/>
      <c r="Z14" s="17"/>
      <c r="AA14" s="16"/>
      <c r="AB14" s="11"/>
      <c r="AC14" s="14"/>
      <c r="AD14" s="6"/>
    </row>
    <row r="15" spans="1:30">
      <c r="A15" s="191">
        <v>30</v>
      </c>
      <c r="B15" s="184"/>
      <c r="C15" s="172"/>
      <c r="D15" s="173"/>
      <c r="E15" s="198"/>
      <c r="F15" s="184"/>
      <c r="G15" s="172"/>
      <c r="H15" s="173"/>
      <c r="I15" s="198"/>
      <c r="J15" s="184"/>
      <c r="K15" s="172"/>
      <c r="L15" s="173"/>
      <c r="M15" s="198"/>
      <c r="N15" s="18"/>
      <c r="O15" s="16"/>
      <c r="P15" s="11"/>
      <c r="Q15" s="14"/>
      <c r="R15" s="14"/>
      <c r="S15" s="11"/>
      <c r="T15" s="17"/>
      <c r="U15" s="16"/>
      <c r="V15" s="11"/>
      <c r="W15" s="11"/>
      <c r="X15" s="14"/>
      <c r="Y15" s="11"/>
      <c r="Z15" s="17"/>
      <c r="AA15" s="16"/>
      <c r="AB15" s="11"/>
      <c r="AC15" s="14"/>
      <c r="AD15" s="6"/>
    </row>
    <row r="16" spans="1:30">
      <c r="A16" s="190">
        <v>35</v>
      </c>
      <c r="B16" s="187"/>
      <c r="C16" s="172"/>
      <c r="D16" s="173"/>
      <c r="E16" s="198"/>
      <c r="F16" s="187"/>
      <c r="G16" s="172"/>
      <c r="H16" s="173"/>
      <c r="I16" s="198"/>
      <c r="J16" s="187"/>
      <c r="K16" s="172"/>
      <c r="L16" s="173"/>
      <c r="M16" s="198"/>
      <c r="N16" s="18"/>
      <c r="O16" s="16"/>
      <c r="P16" s="11"/>
      <c r="Q16" s="14"/>
      <c r="R16" s="14"/>
      <c r="S16" s="11"/>
      <c r="T16" s="17"/>
      <c r="U16" s="16"/>
      <c r="V16" s="11"/>
      <c r="W16" s="11"/>
      <c r="X16" s="14"/>
      <c r="Y16" s="14"/>
      <c r="Z16" s="14"/>
      <c r="AA16" s="14"/>
      <c r="AB16" s="11"/>
      <c r="AC16" s="14"/>
      <c r="AD16" s="6"/>
    </row>
    <row r="17" spans="1:30">
      <c r="A17" s="191">
        <v>40</v>
      </c>
      <c r="B17" s="184"/>
      <c r="C17" s="172"/>
      <c r="D17" s="173"/>
      <c r="E17" s="198"/>
      <c r="F17" s="184"/>
      <c r="G17" s="172"/>
      <c r="H17" s="173"/>
      <c r="I17" s="198"/>
      <c r="J17" s="184"/>
      <c r="K17" s="172"/>
      <c r="L17" s="173"/>
      <c r="M17" s="198"/>
      <c r="N17" s="18"/>
      <c r="O17" s="16"/>
      <c r="P17" s="11"/>
      <c r="Q17" s="14"/>
      <c r="R17" s="14"/>
      <c r="S17" s="11"/>
      <c r="T17" s="17"/>
      <c r="U17" s="16"/>
      <c r="V17" s="11"/>
      <c r="W17" s="11"/>
      <c r="X17" s="14"/>
      <c r="Y17" s="14"/>
      <c r="Z17" s="14"/>
      <c r="AA17" s="14"/>
      <c r="AB17" s="11"/>
      <c r="AC17" s="14"/>
      <c r="AD17" s="6"/>
    </row>
    <row r="18" spans="1:30">
      <c r="A18" s="190">
        <v>45</v>
      </c>
      <c r="B18" s="189"/>
      <c r="C18" s="174"/>
      <c r="D18" s="174"/>
      <c r="E18" s="181"/>
      <c r="F18" s="189"/>
      <c r="G18" s="174"/>
      <c r="H18" s="174"/>
      <c r="I18" s="181"/>
      <c r="J18" s="189"/>
      <c r="K18" s="174"/>
      <c r="L18" s="174"/>
      <c r="M18" s="181"/>
      <c r="N18" s="14"/>
      <c r="O18" s="14"/>
      <c r="P18" s="14"/>
      <c r="Q18" s="14"/>
      <c r="R18" s="169"/>
      <c r="S18" s="14"/>
      <c r="T18" s="14"/>
      <c r="U18" s="14"/>
      <c r="V18" s="14"/>
      <c r="W18" s="11"/>
      <c r="X18" s="169"/>
      <c r="Y18" s="14"/>
      <c r="Z18" s="14"/>
      <c r="AA18" s="14"/>
      <c r="AB18" s="14"/>
      <c r="AC18" s="14"/>
      <c r="AD18" s="6"/>
    </row>
    <row r="19" spans="1:30">
      <c r="A19" s="191">
        <v>50</v>
      </c>
      <c r="B19" s="184"/>
      <c r="C19" s="174"/>
      <c r="D19" s="174"/>
      <c r="E19" s="181"/>
      <c r="F19" s="184"/>
      <c r="G19" s="174"/>
      <c r="H19" s="174"/>
      <c r="I19" s="181"/>
      <c r="J19" s="184"/>
      <c r="K19" s="174"/>
      <c r="L19" s="174"/>
      <c r="M19" s="181"/>
      <c r="N19" s="14"/>
      <c r="O19" s="14"/>
      <c r="P19" s="14"/>
      <c r="Q19" s="14"/>
      <c r="R19" s="14"/>
      <c r="S19" s="14"/>
      <c r="T19" s="14"/>
      <c r="U19" s="14"/>
      <c r="V19" s="14"/>
      <c r="W19" s="11"/>
      <c r="X19" s="14"/>
      <c r="Y19" s="14"/>
      <c r="Z19" s="14"/>
      <c r="AA19" s="14"/>
      <c r="AB19" s="14"/>
      <c r="AC19" s="14"/>
      <c r="AD19" s="6"/>
    </row>
    <row r="20" spans="1:30">
      <c r="A20" s="191">
        <v>55</v>
      </c>
      <c r="B20" s="185"/>
      <c r="C20" s="175"/>
      <c r="D20" s="175"/>
      <c r="E20" s="199"/>
      <c r="F20" s="185"/>
      <c r="G20" s="175"/>
      <c r="H20" s="175"/>
      <c r="I20" s="199"/>
      <c r="J20" s="185"/>
      <c r="K20" s="175"/>
      <c r="L20" s="175"/>
      <c r="M20" s="199"/>
      <c r="N20" s="6"/>
      <c r="O20" s="6"/>
      <c r="P20" s="6"/>
      <c r="Q20" s="14"/>
      <c r="R20" s="6"/>
      <c r="S20" s="6"/>
      <c r="T20" s="6"/>
      <c r="U20" s="6"/>
      <c r="V20" s="6"/>
      <c r="W20" s="11"/>
      <c r="X20" s="6"/>
      <c r="Y20" s="6"/>
      <c r="Z20" s="6"/>
      <c r="AA20" s="6"/>
      <c r="AB20" s="6"/>
      <c r="AC20" s="14"/>
      <c r="AD20" s="6"/>
    </row>
    <row r="21" spans="1:30" ht="15.75" customHeight="1">
      <c r="A21" s="192">
        <v>60</v>
      </c>
      <c r="B21" s="186"/>
      <c r="C21" s="176"/>
      <c r="D21" s="176"/>
      <c r="E21" s="200"/>
      <c r="F21" s="186"/>
      <c r="G21" s="176"/>
      <c r="H21" s="176"/>
      <c r="I21" s="200"/>
      <c r="J21" s="186"/>
      <c r="K21" s="176"/>
      <c r="L21" s="176"/>
      <c r="M21" s="200"/>
      <c r="N21" s="6"/>
      <c r="O21" s="6"/>
      <c r="P21" s="6"/>
      <c r="Q21" s="14"/>
      <c r="R21" s="6"/>
      <c r="S21" s="6"/>
      <c r="T21" s="6"/>
      <c r="U21" s="6"/>
      <c r="V21" s="6"/>
      <c r="W21" s="11"/>
      <c r="X21" s="6"/>
      <c r="Y21" s="6"/>
      <c r="Z21" s="6"/>
      <c r="AA21" s="6"/>
      <c r="AB21" s="6"/>
      <c r="AC21" s="14"/>
      <c r="AD21" s="6"/>
    </row>
    <row r="22" spans="1:30">
      <c r="A22" s="6"/>
      <c r="J22" s="6"/>
      <c r="K22" s="165"/>
      <c r="L22" s="166"/>
      <c r="M22" s="6"/>
      <c r="N22" s="6"/>
      <c r="O22" s="6"/>
      <c r="P22" s="6"/>
      <c r="Q22" s="6"/>
      <c r="R22" s="6"/>
      <c r="S22" s="6"/>
      <c r="T22" s="6"/>
      <c r="U22" s="6"/>
      <c r="V22" s="6"/>
      <c r="W22" s="6"/>
      <c r="X22" s="6"/>
      <c r="Y22" s="6"/>
      <c r="Z22" s="6"/>
      <c r="AA22" s="6"/>
      <c r="AB22" s="6"/>
      <c r="AC22" s="6"/>
      <c r="AD22" s="6"/>
    </row>
    <row r="23" spans="1:30" ht="15.75" customHeight="1">
      <c r="A23" s="6"/>
      <c r="J23" s="6"/>
      <c r="K23" s="167"/>
      <c r="L23" s="167"/>
      <c r="M23" s="6"/>
      <c r="N23" s="6"/>
      <c r="O23" s="6"/>
      <c r="P23" s="6"/>
      <c r="Q23" s="6"/>
      <c r="R23" s="6"/>
      <c r="S23" s="6"/>
      <c r="T23" s="6"/>
      <c r="U23" s="6"/>
      <c r="V23" s="170"/>
      <c r="W23" s="170"/>
      <c r="X23" s="170"/>
      <c r="Y23" s="170"/>
      <c r="Z23" s="170"/>
      <c r="AA23" s="170"/>
      <c r="AB23" s="6"/>
      <c r="AC23" s="6"/>
      <c r="AD23" s="6"/>
    </row>
    <row r="24" spans="1:30">
      <c r="A24" s="6"/>
      <c r="B24" s="6"/>
      <c r="C24" s="6"/>
      <c r="D24" s="6"/>
      <c r="E24" s="6"/>
      <c r="F24" s="6"/>
      <c r="G24" s="6"/>
      <c r="H24" s="6"/>
      <c r="I24" s="6"/>
      <c r="J24" s="6"/>
      <c r="K24" s="6"/>
      <c r="L24" s="6"/>
      <c r="M24" s="6"/>
      <c r="N24" s="6"/>
      <c r="O24" s="6"/>
      <c r="P24" s="28"/>
      <c r="Q24" s="28"/>
      <c r="R24" s="6"/>
      <c r="S24" s="6"/>
      <c r="T24" s="6"/>
      <c r="U24" s="6"/>
      <c r="V24" s="170"/>
      <c r="W24" s="170"/>
      <c r="X24" s="170"/>
      <c r="Y24" s="170"/>
      <c r="Z24" s="170"/>
      <c r="AA24" s="170"/>
      <c r="AB24" s="6"/>
      <c r="AC24" s="6"/>
      <c r="AD24" s="6"/>
    </row>
    <row r="25" spans="1:30">
      <c r="A25" s="193" t="s">
        <v>10</v>
      </c>
      <c r="B25" s="253"/>
      <c r="C25" s="254"/>
      <c r="D25" s="254"/>
      <c r="E25" s="255"/>
      <c r="F25" s="253"/>
      <c r="G25" s="254"/>
      <c r="H25" s="254"/>
      <c r="I25" s="255"/>
      <c r="J25" s="253"/>
      <c r="K25" s="254"/>
      <c r="L25" s="254"/>
      <c r="M25" s="255"/>
      <c r="N25" s="171"/>
      <c r="O25" s="171"/>
      <c r="P25" s="171"/>
      <c r="Q25" s="171"/>
      <c r="R25" s="6"/>
    </row>
    <row r="26" spans="1:30" ht="16.5" thickBot="1">
      <c r="A26" s="194" t="s">
        <v>11</v>
      </c>
      <c r="B26" s="182" t="s">
        <v>0</v>
      </c>
      <c r="C26" s="183" t="s">
        <v>1</v>
      </c>
      <c r="D26" s="183" t="s">
        <v>237</v>
      </c>
      <c r="E26" s="183" t="s">
        <v>3</v>
      </c>
      <c r="F26" s="182" t="s">
        <v>0</v>
      </c>
      <c r="G26" s="183" t="s">
        <v>1</v>
      </c>
      <c r="H26" s="183" t="s">
        <v>237</v>
      </c>
      <c r="I26" s="183" t="s">
        <v>3</v>
      </c>
      <c r="J26" s="182" t="s">
        <v>0</v>
      </c>
      <c r="K26" s="183" t="s">
        <v>1</v>
      </c>
      <c r="L26" s="183" t="s">
        <v>237</v>
      </c>
      <c r="M26" s="201" t="s">
        <v>3</v>
      </c>
      <c r="N26" s="30"/>
      <c r="O26" s="30"/>
      <c r="P26" s="30"/>
      <c r="Q26" s="30"/>
      <c r="R26" s="6"/>
    </row>
    <row r="27" spans="1:30" ht="16.5" thickTop="1">
      <c r="A27" s="190">
        <v>0</v>
      </c>
      <c r="B27" s="177"/>
      <c r="C27" s="178"/>
      <c r="D27" s="179"/>
      <c r="E27" s="180"/>
      <c r="F27" s="177"/>
      <c r="G27" s="178"/>
      <c r="H27" s="179"/>
      <c r="I27" s="180"/>
      <c r="J27" s="177"/>
      <c r="K27" s="178"/>
      <c r="L27" s="179"/>
      <c r="M27" s="202"/>
      <c r="N27" s="18"/>
      <c r="O27" s="16"/>
      <c r="P27" s="11"/>
      <c r="Q27" s="14"/>
      <c r="R27" s="6"/>
    </row>
    <row r="28" spans="1:30">
      <c r="A28" s="191">
        <v>5</v>
      </c>
      <c r="B28" s="184"/>
      <c r="C28" s="172"/>
      <c r="D28" s="173"/>
      <c r="E28" s="198"/>
      <c r="F28" s="184"/>
      <c r="G28" s="172"/>
      <c r="H28" s="173"/>
      <c r="I28" s="198"/>
      <c r="J28" s="184"/>
      <c r="K28" s="172"/>
      <c r="L28" s="173"/>
      <c r="M28" s="198"/>
      <c r="N28" s="18"/>
      <c r="O28" s="16"/>
      <c r="P28" s="11"/>
      <c r="Q28" s="14"/>
      <c r="R28" s="6"/>
    </row>
    <row r="29" spans="1:30">
      <c r="A29" s="190">
        <v>10</v>
      </c>
      <c r="B29" s="184"/>
      <c r="C29" s="172"/>
      <c r="D29" s="173"/>
      <c r="E29" s="198"/>
      <c r="F29" s="184"/>
      <c r="G29" s="172"/>
      <c r="H29" s="173"/>
      <c r="I29" s="198"/>
      <c r="J29" s="184"/>
      <c r="K29" s="172"/>
      <c r="L29" s="173"/>
      <c r="M29" s="198"/>
      <c r="N29" s="18"/>
      <c r="O29" s="16"/>
      <c r="P29" s="11"/>
      <c r="Q29" s="14"/>
      <c r="R29" s="6"/>
    </row>
    <row r="30" spans="1:30">
      <c r="A30" s="192">
        <v>15</v>
      </c>
      <c r="B30" s="187"/>
      <c r="C30" s="172"/>
      <c r="D30" s="173"/>
      <c r="E30" s="198"/>
      <c r="F30" s="187"/>
      <c r="G30" s="172"/>
      <c r="H30" s="173"/>
      <c r="I30" s="198"/>
      <c r="J30" s="187"/>
      <c r="K30" s="172"/>
      <c r="L30" s="173"/>
      <c r="M30" s="198"/>
      <c r="N30" s="18"/>
      <c r="O30" s="16"/>
      <c r="P30" s="11"/>
      <c r="Q30" s="14"/>
      <c r="R30" s="6"/>
    </row>
    <row r="31" spans="1:30">
      <c r="A31" s="191">
        <v>20</v>
      </c>
      <c r="B31" s="184"/>
      <c r="C31" s="172"/>
      <c r="D31" s="173"/>
      <c r="E31" s="198"/>
      <c r="F31" s="184"/>
      <c r="G31" s="172"/>
      <c r="H31" s="173"/>
      <c r="I31" s="198"/>
      <c r="J31" s="184"/>
      <c r="K31" s="172"/>
      <c r="L31" s="173"/>
      <c r="M31" s="198"/>
      <c r="N31" s="18"/>
      <c r="O31" s="16"/>
      <c r="P31" s="11"/>
      <c r="Q31" s="14"/>
      <c r="R31" s="6"/>
    </row>
    <row r="32" spans="1:30">
      <c r="A32" s="190">
        <v>25</v>
      </c>
      <c r="B32" s="188"/>
      <c r="C32" s="172"/>
      <c r="D32" s="173"/>
      <c r="E32" s="198"/>
      <c r="F32" s="188"/>
      <c r="G32" s="172"/>
      <c r="H32" s="173"/>
      <c r="I32" s="198"/>
      <c r="J32" s="188"/>
      <c r="K32" s="172"/>
      <c r="L32" s="173"/>
      <c r="M32" s="198"/>
      <c r="N32" s="18"/>
      <c r="O32" s="16"/>
      <c r="P32" s="11"/>
      <c r="Q32" s="14"/>
      <c r="R32" s="6"/>
    </row>
    <row r="33" spans="1:27">
      <c r="A33" s="191">
        <v>30</v>
      </c>
      <c r="B33" s="184"/>
      <c r="C33" s="172"/>
      <c r="D33" s="173"/>
      <c r="E33" s="198"/>
      <c r="F33" s="184"/>
      <c r="G33" s="172"/>
      <c r="H33" s="173"/>
      <c r="I33" s="198"/>
      <c r="J33" s="184"/>
      <c r="K33" s="172"/>
      <c r="L33" s="173"/>
      <c r="M33" s="198"/>
      <c r="N33" s="18"/>
      <c r="O33" s="16"/>
      <c r="P33" s="11"/>
      <c r="Q33" s="14"/>
      <c r="R33" s="6"/>
    </row>
    <row r="34" spans="1:27">
      <c r="A34" s="190">
        <v>35</v>
      </c>
      <c r="B34" s="187"/>
      <c r="C34" s="172"/>
      <c r="D34" s="173"/>
      <c r="E34" s="198"/>
      <c r="F34" s="187"/>
      <c r="G34" s="172"/>
      <c r="H34" s="173"/>
      <c r="I34" s="198"/>
      <c r="J34" s="187"/>
      <c r="K34" s="172"/>
      <c r="L34" s="173"/>
      <c r="M34" s="198"/>
      <c r="N34" s="18"/>
      <c r="O34" s="16"/>
      <c r="P34" s="11"/>
      <c r="Q34" s="14"/>
      <c r="R34" s="6"/>
    </row>
    <row r="35" spans="1:27">
      <c r="A35" s="191">
        <v>40</v>
      </c>
      <c r="B35" s="184"/>
      <c r="C35" s="172"/>
      <c r="D35" s="173"/>
      <c r="E35" s="198"/>
      <c r="F35" s="184"/>
      <c r="G35" s="172"/>
      <c r="H35" s="173"/>
      <c r="I35" s="198"/>
      <c r="J35" s="184"/>
      <c r="K35" s="172"/>
      <c r="L35" s="173"/>
      <c r="M35" s="198"/>
      <c r="N35" s="18"/>
      <c r="O35" s="16"/>
      <c r="P35" s="11"/>
      <c r="Q35" s="14"/>
      <c r="R35" s="6"/>
    </row>
    <row r="36" spans="1:27" ht="15.75" customHeight="1">
      <c r="A36" s="190">
        <v>45</v>
      </c>
      <c r="B36" s="189"/>
      <c r="C36" s="174"/>
      <c r="D36" s="174"/>
      <c r="E36" s="181"/>
      <c r="F36" s="189"/>
      <c r="G36" s="174"/>
      <c r="H36" s="174"/>
      <c r="I36" s="181"/>
      <c r="J36" s="189"/>
      <c r="K36" s="174"/>
      <c r="L36" s="174"/>
      <c r="M36" s="181"/>
      <c r="N36" s="14"/>
      <c r="O36" s="14"/>
      <c r="P36" s="14"/>
      <c r="Q36" s="14"/>
      <c r="R36" s="6"/>
    </row>
    <row r="37" spans="1:27" ht="15.75" customHeight="1">
      <c r="A37" s="191">
        <v>50</v>
      </c>
      <c r="B37" s="184"/>
      <c r="C37" s="174"/>
      <c r="D37" s="174"/>
      <c r="E37" s="181"/>
      <c r="F37" s="184"/>
      <c r="G37" s="174"/>
      <c r="H37" s="174"/>
      <c r="I37" s="181"/>
      <c r="J37" s="184"/>
      <c r="K37" s="174"/>
      <c r="L37" s="174"/>
      <c r="M37" s="181"/>
      <c r="N37" s="14"/>
      <c r="O37" s="14"/>
      <c r="P37" s="14"/>
      <c r="Q37" s="14"/>
      <c r="R37" s="6"/>
    </row>
    <row r="38" spans="1:27">
      <c r="A38" s="191">
        <v>55</v>
      </c>
      <c r="B38" s="185"/>
      <c r="C38" s="175"/>
      <c r="D38" s="175"/>
      <c r="E38" s="199"/>
      <c r="F38" s="185"/>
      <c r="G38" s="175"/>
      <c r="H38" s="175"/>
      <c r="I38" s="199"/>
      <c r="J38" s="185"/>
      <c r="K38" s="175"/>
      <c r="L38" s="175"/>
      <c r="M38" s="199"/>
      <c r="N38" s="6"/>
      <c r="O38" s="6"/>
      <c r="P38" s="6"/>
      <c r="Q38" s="14"/>
      <c r="R38" s="6"/>
    </row>
    <row r="39" spans="1:27">
      <c r="A39" s="192">
        <v>60</v>
      </c>
      <c r="B39" s="186"/>
      <c r="C39" s="176"/>
      <c r="D39" s="176"/>
      <c r="E39" s="200"/>
      <c r="F39" s="186"/>
      <c r="G39" s="176"/>
      <c r="H39" s="176"/>
      <c r="I39" s="200"/>
      <c r="J39" s="186"/>
      <c r="K39" s="176"/>
      <c r="L39" s="176"/>
      <c r="M39" s="200"/>
      <c r="N39" s="6"/>
      <c r="O39" s="6"/>
      <c r="P39" s="6"/>
      <c r="Q39" s="14"/>
      <c r="R39" s="6"/>
    </row>
    <row r="40" spans="1:27" ht="15.75" customHeight="1">
      <c r="A40" s="6"/>
      <c r="J40" s="6"/>
      <c r="K40" s="167"/>
      <c r="L40" s="167"/>
      <c r="M40" s="6"/>
      <c r="N40" s="6"/>
      <c r="O40" s="6"/>
      <c r="P40" s="6"/>
      <c r="Q40" s="6"/>
      <c r="V40" s="163"/>
      <c r="W40" s="163"/>
      <c r="X40" s="163"/>
      <c r="Y40" s="163"/>
      <c r="Z40" s="163"/>
      <c r="AA40" s="163"/>
    </row>
    <row r="41" spans="1:27">
      <c r="J41" s="6"/>
      <c r="K41" s="167"/>
      <c r="L41" s="167"/>
      <c r="M41" s="6"/>
      <c r="N41" s="6"/>
      <c r="O41" s="6"/>
      <c r="P41" s="6"/>
      <c r="Q41" s="6"/>
      <c r="V41" s="163"/>
      <c r="W41" s="163"/>
      <c r="X41" s="163"/>
      <c r="Y41" s="163"/>
      <c r="Z41" s="163"/>
      <c r="AA41" s="163"/>
    </row>
    <row r="42" spans="1:27">
      <c r="J42" s="6"/>
      <c r="K42" s="167"/>
      <c r="L42" s="167"/>
      <c r="M42" s="6"/>
      <c r="N42" s="6"/>
      <c r="O42" s="6"/>
      <c r="P42" s="6"/>
      <c r="Q42" s="6"/>
    </row>
    <row r="43" spans="1:27">
      <c r="J43" s="6"/>
      <c r="K43" s="6"/>
      <c r="L43" s="6"/>
      <c r="M43" s="6"/>
      <c r="N43" s="6"/>
      <c r="O43" s="6"/>
      <c r="P43" s="6"/>
      <c r="Q43" s="6"/>
    </row>
    <row r="44" spans="1:27">
      <c r="J44" s="6"/>
      <c r="K44" s="6"/>
      <c r="L44" s="6"/>
      <c r="M44" s="6"/>
      <c r="N44" s="6"/>
      <c r="O44" s="6"/>
      <c r="P44" s="6"/>
      <c r="Q44" s="6"/>
    </row>
    <row r="45" spans="1:27">
      <c r="J45" s="6"/>
      <c r="K45" s="6"/>
      <c r="L45" s="6"/>
      <c r="M45" s="6"/>
      <c r="N45" s="6"/>
      <c r="O45" s="6"/>
      <c r="P45" s="6"/>
      <c r="Q45" s="6"/>
    </row>
    <row r="46" spans="1:27">
      <c r="J46" s="6"/>
      <c r="K46" s="6"/>
      <c r="L46" s="6"/>
      <c r="M46" s="6"/>
      <c r="N46" s="6"/>
      <c r="O46" s="6"/>
      <c r="P46" s="6"/>
      <c r="Q46" s="6"/>
    </row>
    <row r="47" spans="1:27">
      <c r="B47" s="9"/>
      <c r="J47" s="6"/>
      <c r="K47" s="6"/>
      <c r="L47" s="6"/>
      <c r="M47" s="6"/>
      <c r="N47" s="6"/>
      <c r="O47" s="6"/>
      <c r="P47" s="6"/>
      <c r="Q47" s="6"/>
    </row>
    <row r="48" spans="1:27">
      <c r="J48" s="6"/>
      <c r="K48" s="6"/>
      <c r="L48" s="6"/>
      <c r="M48" s="6"/>
      <c r="N48" s="6"/>
      <c r="O48" s="6"/>
      <c r="P48" s="6"/>
      <c r="Q48" s="6"/>
    </row>
    <row r="49" spans="1:27">
      <c r="J49" s="6"/>
      <c r="K49" s="6"/>
      <c r="L49" s="6"/>
      <c r="M49" s="6"/>
      <c r="N49" s="6"/>
      <c r="O49" s="6"/>
      <c r="P49" s="6"/>
      <c r="Q49" s="6"/>
    </row>
    <row r="50" spans="1:27">
      <c r="J50" s="6"/>
      <c r="K50" s="6"/>
      <c r="L50" s="6"/>
      <c r="M50" s="6"/>
      <c r="N50" s="6"/>
      <c r="O50" s="6"/>
      <c r="P50" s="6"/>
      <c r="Q50" s="6"/>
    </row>
    <row r="51" spans="1:27">
      <c r="J51" s="6"/>
      <c r="K51" s="6"/>
      <c r="L51" s="6"/>
      <c r="M51" s="6"/>
      <c r="N51" s="6"/>
      <c r="O51" s="6"/>
      <c r="P51" s="6"/>
      <c r="Q51" s="6"/>
    </row>
    <row r="52" spans="1:27" ht="15.75" customHeight="1">
      <c r="A52" s="164"/>
      <c r="B52" s="164"/>
      <c r="C52" s="164"/>
      <c r="D52" s="164"/>
      <c r="E52" s="164"/>
      <c r="F52" s="164"/>
      <c r="G52" s="164"/>
      <c r="H52" s="164"/>
      <c r="I52" s="164"/>
      <c r="J52" s="6"/>
      <c r="K52" s="165"/>
      <c r="L52" s="166"/>
      <c r="M52" s="6"/>
      <c r="N52" s="6"/>
      <c r="O52" s="6"/>
      <c r="P52" s="6"/>
      <c r="Q52" s="6"/>
    </row>
    <row r="53" spans="1:27">
      <c r="A53" s="164"/>
      <c r="B53" s="164"/>
      <c r="C53" s="164"/>
      <c r="D53" s="164"/>
      <c r="E53" s="164"/>
      <c r="F53" s="164"/>
      <c r="G53" s="164"/>
      <c r="H53" s="164"/>
      <c r="I53" s="164"/>
      <c r="J53" s="6"/>
      <c r="K53" s="165"/>
      <c r="L53" s="166"/>
      <c r="M53" s="6"/>
      <c r="N53" s="6"/>
      <c r="O53" s="6"/>
      <c r="P53" s="6"/>
      <c r="Q53" s="6"/>
    </row>
    <row r="54" spans="1:27">
      <c r="A54" s="25"/>
      <c r="J54" s="6"/>
      <c r="K54" s="167"/>
      <c r="L54" s="167"/>
      <c r="M54" s="6"/>
      <c r="N54" s="6"/>
      <c r="O54" s="6"/>
      <c r="P54" s="6"/>
      <c r="Q54" s="6"/>
    </row>
    <row r="55" spans="1:27">
      <c r="J55" s="6"/>
      <c r="K55" s="167"/>
      <c r="L55" s="167"/>
      <c r="M55" s="6"/>
      <c r="N55" s="6"/>
      <c r="O55" s="6"/>
      <c r="P55" s="6"/>
      <c r="Q55" s="6"/>
    </row>
    <row r="56" spans="1:27" ht="15.75" customHeight="1">
      <c r="J56" s="6"/>
      <c r="K56" s="167"/>
      <c r="L56" s="167"/>
      <c r="M56" s="6"/>
      <c r="N56" s="6"/>
      <c r="O56" s="6"/>
      <c r="P56" s="6"/>
      <c r="Q56" s="6"/>
      <c r="V56" s="217"/>
      <c r="W56" s="217"/>
      <c r="X56" s="217"/>
      <c r="Y56" s="217"/>
      <c r="Z56" s="217"/>
      <c r="AA56" s="217"/>
    </row>
    <row r="57" spans="1:27">
      <c r="J57" s="6"/>
      <c r="K57" s="167"/>
      <c r="L57" s="167"/>
      <c r="M57" s="6"/>
      <c r="N57" s="6"/>
      <c r="O57" s="6"/>
      <c r="P57" s="6"/>
      <c r="Q57" s="6"/>
      <c r="V57" s="217"/>
      <c r="W57" s="217"/>
      <c r="X57" s="217"/>
      <c r="Y57" s="217"/>
      <c r="Z57" s="217"/>
      <c r="AA57" s="217"/>
    </row>
    <row r="58" spans="1:27">
      <c r="J58" s="6"/>
      <c r="K58" s="167"/>
      <c r="L58" s="167"/>
      <c r="M58" s="6"/>
      <c r="N58" s="6"/>
      <c r="O58" s="6"/>
      <c r="P58" s="6"/>
      <c r="Q58" s="6"/>
    </row>
    <row r="59" spans="1:27">
      <c r="J59" s="6"/>
      <c r="K59" s="6"/>
      <c r="L59" s="6"/>
      <c r="M59" s="6"/>
      <c r="N59" s="6"/>
      <c r="O59" s="6"/>
      <c r="P59" s="6"/>
      <c r="Q59" s="6"/>
    </row>
    <row r="60" spans="1:27">
      <c r="J60" s="6"/>
      <c r="K60" s="6"/>
      <c r="L60" s="6"/>
      <c r="M60" s="6"/>
      <c r="N60" s="6"/>
      <c r="O60" s="6"/>
      <c r="P60" s="6"/>
      <c r="Q60" s="6"/>
    </row>
    <row r="61" spans="1:27">
      <c r="J61" s="6"/>
      <c r="K61" s="6"/>
      <c r="L61" s="6"/>
      <c r="M61" s="6"/>
      <c r="N61" s="6"/>
      <c r="O61" s="6"/>
      <c r="P61" s="6"/>
      <c r="Q61" s="6"/>
    </row>
    <row r="62" spans="1:27">
      <c r="J62" s="6"/>
      <c r="K62" s="6"/>
      <c r="L62" s="6"/>
      <c r="M62" s="6"/>
      <c r="N62" s="6"/>
      <c r="O62" s="6"/>
      <c r="P62" s="6"/>
      <c r="Q62" s="6"/>
    </row>
    <row r="63" spans="1:27">
      <c r="J63" s="6"/>
      <c r="K63" s="6"/>
      <c r="L63" s="6"/>
      <c r="M63" s="6"/>
      <c r="N63" s="6"/>
      <c r="O63" s="6"/>
      <c r="P63" s="6"/>
      <c r="Q63" s="6"/>
    </row>
    <row r="64" spans="1:27">
      <c r="J64" s="6"/>
      <c r="K64" s="6"/>
      <c r="L64" s="6"/>
      <c r="M64" s="6"/>
      <c r="N64" s="6"/>
      <c r="O64" s="6"/>
      <c r="P64" s="6"/>
      <c r="Q64" s="6"/>
    </row>
    <row r="65" spans="10:17">
      <c r="J65" s="6"/>
      <c r="K65" s="6"/>
      <c r="L65" s="6"/>
      <c r="M65" s="6"/>
      <c r="N65" s="6"/>
      <c r="O65" s="6"/>
      <c r="P65" s="6"/>
      <c r="Q65" s="6"/>
    </row>
    <row r="66" spans="10:17">
      <c r="J66" s="6"/>
      <c r="K66" s="6"/>
      <c r="L66" s="6"/>
      <c r="M66" s="6"/>
      <c r="N66" s="6"/>
      <c r="O66" s="6"/>
      <c r="P66" s="6"/>
      <c r="Q66" s="6"/>
    </row>
    <row r="67" spans="10:17">
      <c r="J67" s="6"/>
      <c r="K67" s="6"/>
      <c r="L67" s="6"/>
      <c r="M67" s="6"/>
      <c r="N67" s="6"/>
      <c r="O67" s="6"/>
      <c r="P67" s="6"/>
      <c r="Q67" s="6"/>
    </row>
    <row r="68" spans="10:17">
      <c r="J68" s="6"/>
      <c r="K68" s="6"/>
      <c r="L68" s="6"/>
      <c r="M68" s="6"/>
      <c r="N68" s="6"/>
      <c r="O68" s="6"/>
      <c r="P68" s="6"/>
      <c r="Q68" s="6"/>
    </row>
    <row r="69" spans="10:17">
      <c r="J69" s="6"/>
      <c r="K69" s="6"/>
      <c r="L69" s="6"/>
      <c r="M69" s="6"/>
      <c r="N69" s="6"/>
      <c r="O69" s="6"/>
      <c r="P69" s="6"/>
      <c r="Q69" s="6"/>
    </row>
    <row r="70" spans="10:17">
      <c r="J70" s="6"/>
      <c r="K70" s="6"/>
      <c r="L70" s="6"/>
      <c r="M70" s="6"/>
      <c r="N70" s="6"/>
      <c r="O70" s="6"/>
      <c r="P70" s="6"/>
      <c r="Q70" s="6"/>
    </row>
    <row r="71" spans="10:17">
      <c r="J71" s="6"/>
      <c r="K71" s="6"/>
      <c r="L71" s="6"/>
      <c r="M71" s="6"/>
      <c r="N71" s="6"/>
      <c r="O71" s="6"/>
      <c r="P71" s="6"/>
      <c r="Q71" s="6"/>
    </row>
    <row r="72" spans="10:17">
      <c r="J72" s="6"/>
      <c r="K72" s="6"/>
      <c r="L72" s="6"/>
      <c r="M72" s="6"/>
      <c r="N72" s="6"/>
      <c r="O72" s="6"/>
      <c r="P72" s="6"/>
      <c r="Q72" s="6"/>
    </row>
    <row r="73" spans="10:17">
      <c r="J73" s="6"/>
      <c r="K73" s="6"/>
      <c r="L73" s="6"/>
      <c r="M73" s="6"/>
      <c r="N73" s="6"/>
      <c r="O73" s="6"/>
      <c r="P73" s="6"/>
      <c r="Q73" s="6"/>
    </row>
    <row r="74" spans="10:17">
      <c r="J74" s="6"/>
      <c r="K74" s="6"/>
      <c r="L74" s="6"/>
      <c r="M74" s="6"/>
      <c r="N74" s="6"/>
      <c r="O74" s="6"/>
      <c r="P74" s="6"/>
      <c r="Q74" s="6"/>
    </row>
    <row r="75" spans="10:17">
      <c r="J75" s="6"/>
      <c r="K75" s="6"/>
      <c r="L75" s="6"/>
      <c r="M75" s="6"/>
      <c r="N75" s="6"/>
      <c r="O75" s="6"/>
      <c r="P75" s="6"/>
      <c r="Q75" s="6"/>
    </row>
    <row r="76" spans="10:17">
      <c r="J76" s="6"/>
      <c r="K76" s="6"/>
      <c r="L76" s="6"/>
      <c r="M76" s="6"/>
      <c r="N76" s="6"/>
      <c r="O76" s="6"/>
      <c r="P76" s="6"/>
      <c r="Q76" s="6"/>
    </row>
    <row r="77" spans="10:17">
      <c r="J77" s="6"/>
      <c r="K77" s="6"/>
      <c r="L77" s="6"/>
      <c r="M77" s="6"/>
      <c r="N77" s="6"/>
      <c r="O77" s="6"/>
      <c r="P77" s="6"/>
      <c r="Q77" s="6"/>
    </row>
    <row r="78" spans="10:17">
      <c r="J78" s="6"/>
      <c r="K78" s="6"/>
      <c r="L78" s="6"/>
      <c r="M78" s="6"/>
      <c r="N78" s="6"/>
      <c r="O78" s="6"/>
      <c r="P78" s="6"/>
      <c r="Q78" s="6"/>
    </row>
    <row r="79" spans="10:17">
      <c r="J79" s="6"/>
      <c r="K79" s="6"/>
      <c r="L79" s="6"/>
      <c r="M79" s="6"/>
      <c r="N79" s="6"/>
      <c r="O79" s="6"/>
      <c r="P79" s="6"/>
      <c r="Q79" s="6"/>
    </row>
    <row r="80" spans="10:17">
      <c r="J80" s="6"/>
      <c r="K80" s="6"/>
      <c r="L80" s="6"/>
      <c r="M80" s="6"/>
      <c r="N80" s="6"/>
      <c r="O80" s="6"/>
      <c r="P80" s="6"/>
      <c r="Q80" s="6"/>
    </row>
    <row r="81" spans="10:17">
      <c r="J81" s="6"/>
      <c r="K81" s="6"/>
      <c r="L81" s="6"/>
      <c r="M81" s="6"/>
      <c r="N81" s="6"/>
      <c r="O81" s="6"/>
      <c r="P81" s="6"/>
      <c r="Q81" s="6"/>
    </row>
    <row r="82" spans="10:17">
      <c r="J82" s="6"/>
      <c r="K82" s="6"/>
      <c r="L82" s="6"/>
      <c r="M82" s="6"/>
      <c r="N82" s="6"/>
      <c r="O82" s="6"/>
      <c r="P82" s="6"/>
      <c r="Q82" s="6"/>
    </row>
    <row r="83" spans="10:17">
      <c r="J83" s="6"/>
      <c r="K83" s="6"/>
      <c r="L83" s="6"/>
      <c r="M83" s="6"/>
      <c r="N83" s="6"/>
      <c r="O83" s="6"/>
      <c r="P83" s="6"/>
      <c r="Q83" s="6"/>
    </row>
    <row r="84" spans="10:17">
      <c r="J84" s="6"/>
      <c r="K84" s="6"/>
      <c r="L84" s="6"/>
      <c r="M84" s="6"/>
      <c r="N84" s="6"/>
      <c r="O84" s="6"/>
      <c r="P84" s="6"/>
      <c r="Q84" s="6"/>
    </row>
    <row r="85" spans="10:17">
      <c r="J85" s="6"/>
      <c r="K85" s="6"/>
      <c r="L85" s="6"/>
      <c r="M85" s="6"/>
      <c r="N85" s="6"/>
      <c r="O85" s="6"/>
      <c r="P85" s="6"/>
      <c r="Q85" s="6"/>
    </row>
    <row r="86" spans="10:17">
      <c r="J86" s="6"/>
      <c r="K86" s="6"/>
      <c r="L86" s="6"/>
      <c r="M86" s="6"/>
      <c r="N86" s="6"/>
      <c r="O86" s="6"/>
      <c r="P86" s="6"/>
      <c r="Q86" s="6"/>
    </row>
    <row r="87" spans="10:17">
      <c r="J87" s="6"/>
      <c r="K87" s="6"/>
      <c r="L87" s="6"/>
      <c r="M87" s="6"/>
      <c r="N87" s="6"/>
      <c r="O87" s="6"/>
      <c r="P87" s="6"/>
      <c r="Q87" s="6"/>
    </row>
    <row r="88" spans="10:17">
      <c r="J88" s="6"/>
      <c r="K88" s="6"/>
      <c r="L88" s="6"/>
      <c r="M88" s="6"/>
      <c r="N88" s="6"/>
      <c r="O88" s="6"/>
      <c r="P88" s="6"/>
      <c r="Q88" s="6"/>
    </row>
    <row r="89" spans="10:17">
      <c r="J89" s="6"/>
      <c r="K89" s="6"/>
      <c r="L89" s="6"/>
      <c r="M89" s="6"/>
      <c r="N89" s="6"/>
      <c r="O89" s="6"/>
      <c r="P89" s="6"/>
      <c r="Q89" s="6"/>
    </row>
    <row r="90" spans="10:17">
      <c r="J90" s="6"/>
      <c r="K90" s="6"/>
      <c r="L90" s="6"/>
      <c r="M90" s="6"/>
      <c r="N90" s="6"/>
      <c r="O90" s="6"/>
      <c r="P90" s="6"/>
      <c r="Q90" s="6"/>
    </row>
    <row r="91" spans="10:17">
      <c r="J91" s="6"/>
      <c r="K91" s="6"/>
      <c r="L91" s="6"/>
      <c r="M91" s="6"/>
      <c r="N91" s="6"/>
      <c r="O91" s="6"/>
      <c r="P91" s="6"/>
      <c r="Q91" s="6"/>
    </row>
    <row r="92" spans="10:17">
      <c r="J92" s="6"/>
      <c r="K92" s="6"/>
      <c r="L92" s="6"/>
      <c r="M92" s="6"/>
      <c r="N92" s="6"/>
      <c r="O92" s="6"/>
      <c r="P92" s="6"/>
      <c r="Q92" s="6"/>
    </row>
    <row r="93" spans="10:17">
      <c r="J93" s="6"/>
      <c r="K93" s="6"/>
      <c r="L93" s="6"/>
      <c r="M93" s="6"/>
      <c r="N93" s="6"/>
      <c r="O93" s="6"/>
      <c r="P93" s="6"/>
      <c r="Q93" s="6"/>
    </row>
    <row r="94" spans="10:17">
      <c r="J94" s="6"/>
      <c r="K94" s="6"/>
      <c r="L94" s="6"/>
      <c r="M94" s="6"/>
      <c r="N94" s="6"/>
      <c r="O94" s="6"/>
      <c r="P94" s="6"/>
      <c r="Q94" s="6"/>
    </row>
    <row r="95" spans="10:17">
      <c r="J95" s="6"/>
      <c r="K95" s="6"/>
      <c r="L95" s="6"/>
      <c r="M95" s="6"/>
      <c r="N95" s="6"/>
      <c r="O95" s="6"/>
      <c r="P95" s="6"/>
      <c r="Q95" s="6"/>
    </row>
    <row r="96" spans="10:17">
      <c r="J96" s="6"/>
      <c r="K96" s="6"/>
      <c r="L96" s="6"/>
      <c r="M96" s="6"/>
      <c r="N96" s="6"/>
      <c r="O96" s="6"/>
      <c r="P96" s="6"/>
      <c r="Q96" s="6"/>
    </row>
    <row r="97" spans="10:17">
      <c r="J97" s="6"/>
      <c r="K97" s="6"/>
      <c r="L97" s="6"/>
      <c r="M97" s="6"/>
      <c r="N97" s="6"/>
      <c r="O97" s="6"/>
      <c r="P97" s="6"/>
      <c r="Q97" s="6"/>
    </row>
    <row r="98" spans="10:17">
      <c r="J98" s="6"/>
      <c r="K98" s="6"/>
      <c r="L98" s="6"/>
      <c r="M98" s="6"/>
      <c r="N98" s="6"/>
      <c r="O98" s="6"/>
      <c r="P98" s="6"/>
      <c r="Q98" s="6"/>
    </row>
    <row r="99" spans="10:17">
      <c r="J99" s="6"/>
      <c r="K99" s="6"/>
      <c r="L99" s="6"/>
      <c r="M99" s="6"/>
      <c r="N99" s="6"/>
      <c r="O99" s="6"/>
      <c r="P99" s="6"/>
      <c r="Q99" s="6"/>
    </row>
    <row r="100" spans="10:17">
      <c r="J100" s="6"/>
      <c r="K100" s="6"/>
      <c r="L100" s="6"/>
      <c r="M100" s="6"/>
      <c r="N100" s="6"/>
      <c r="O100" s="6"/>
      <c r="P100" s="6"/>
      <c r="Q100" s="6"/>
    </row>
    <row r="101" spans="10:17">
      <c r="J101" s="6"/>
      <c r="K101" s="6"/>
      <c r="L101" s="6"/>
      <c r="M101" s="6"/>
      <c r="N101" s="6"/>
      <c r="O101" s="6"/>
      <c r="P101" s="6"/>
      <c r="Q101" s="6"/>
    </row>
    <row r="102" spans="10:17">
      <c r="J102" s="6"/>
      <c r="K102" s="6"/>
      <c r="L102" s="6"/>
      <c r="M102" s="6"/>
      <c r="N102" s="6"/>
      <c r="O102" s="6"/>
      <c r="P102" s="6"/>
      <c r="Q102" s="6"/>
    </row>
    <row r="103" spans="10:17">
      <c r="J103" s="6"/>
      <c r="K103" s="6"/>
      <c r="L103" s="6"/>
      <c r="M103" s="6"/>
      <c r="N103" s="6"/>
      <c r="O103" s="6"/>
      <c r="P103" s="6"/>
      <c r="Q103" s="6"/>
    </row>
    <row r="104" spans="10:17">
      <c r="J104" s="6"/>
      <c r="K104" s="6"/>
      <c r="L104" s="6"/>
      <c r="M104" s="6"/>
      <c r="N104" s="6"/>
      <c r="O104" s="6"/>
      <c r="P104" s="6"/>
      <c r="Q104" s="6"/>
    </row>
    <row r="105" spans="10:17">
      <c r="J105" s="6"/>
      <c r="K105" s="6"/>
      <c r="L105" s="6"/>
      <c r="M105" s="6"/>
      <c r="N105" s="6"/>
      <c r="O105" s="6"/>
      <c r="P105" s="6"/>
      <c r="Q105" s="6"/>
    </row>
    <row r="106" spans="10:17">
      <c r="J106" s="6"/>
      <c r="K106" s="6"/>
      <c r="L106" s="6"/>
      <c r="M106" s="6"/>
      <c r="N106" s="6"/>
      <c r="O106" s="6"/>
      <c r="P106" s="6"/>
      <c r="Q106" s="6"/>
    </row>
    <row r="107" spans="10:17">
      <c r="J107" s="6"/>
      <c r="K107" s="6"/>
      <c r="L107" s="6"/>
      <c r="M107" s="6"/>
      <c r="N107" s="6"/>
      <c r="O107" s="6"/>
      <c r="P107" s="6"/>
      <c r="Q107" s="6"/>
    </row>
    <row r="108" spans="10:17">
      <c r="J108" s="6"/>
      <c r="K108" s="6"/>
      <c r="L108" s="6"/>
      <c r="M108" s="6"/>
      <c r="N108" s="6"/>
      <c r="O108" s="6"/>
      <c r="P108" s="6"/>
      <c r="Q108" s="6"/>
    </row>
    <row r="109" spans="10:17">
      <c r="J109" s="6"/>
      <c r="K109" s="6"/>
      <c r="L109" s="6"/>
      <c r="M109" s="6"/>
      <c r="N109" s="6"/>
      <c r="O109" s="6"/>
      <c r="P109" s="6"/>
      <c r="Q109" s="6"/>
    </row>
    <row r="110" spans="10:17">
      <c r="J110" s="6"/>
      <c r="K110" s="6"/>
      <c r="L110" s="6"/>
      <c r="M110" s="6"/>
      <c r="N110" s="6"/>
      <c r="O110" s="6"/>
      <c r="P110" s="6"/>
      <c r="Q110" s="6"/>
    </row>
    <row r="111" spans="10:17">
      <c r="J111" s="6"/>
      <c r="K111" s="6"/>
      <c r="L111" s="6"/>
      <c r="M111" s="6"/>
      <c r="N111" s="6"/>
      <c r="O111" s="6"/>
      <c r="P111" s="6"/>
      <c r="Q111" s="6"/>
    </row>
    <row r="112" spans="10:17">
      <c r="J112" s="6"/>
      <c r="K112" s="6"/>
      <c r="L112" s="6"/>
      <c r="M112" s="6"/>
      <c r="N112" s="6"/>
      <c r="O112" s="6"/>
      <c r="P112" s="6"/>
      <c r="Q112" s="6"/>
    </row>
    <row r="113" spans="10:17">
      <c r="J113" s="6"/>
      <c r="K113" s="6"/>
      <c r="L113" s="6"/>
      <c r="M113" s="6"/>
      <c r="N113" s="6"/>
      <c r="O113" s="6"/>
      <c r="P113" s="6"/>
      <c r="Q113" s="6"/>
    </row>
    <row r="114" spans="10:17">
      <c r="J114" s="6"/>
      <c r="K114" s="6"/>
      <c r="L114" s="6"/>
      <c r="M114" s="6"/>
      <c r="N114" s="6"/>
      <c r="O114" s="6"/>
      <c r="P114" s="6"/>
      <c r="Q114" s="6"/>
    </row>
    <row r="115" spans="10:17">
      <c r="J115" s="6"/>
      <c r="K115" s="6"/>
      <c r="L115" s="6"/>
      <c r="M115" s="6"/>
      <c r="N115" s="6"/>
      <c r="O115" s="6"/>
      <c r="P115" s="6"/>
      <c r="Q115" s="6"/>
    </row>
    <row r="116" spans="10:17">
      <c r="J116" s="6"/>
      <c r="K116" s="6"/>
      <c r="L116" s="6"/>
      <c r="M116" s="6"/>
      <c r="N116" s="6"/>
      <c r="O116" s="6"/>
      <c r="P116" s="6"/>
      <c r="Q116" s="6"/>
    </row>
    <row r="117" spans="10:17">
      <c r="J117" s="6"/>
      <c r="K117" s="6"/>
      <c r="L117" s="6"/>
      <c r="M117" s="6"/>
      <c r="N117" s="6"/>
      <c r="O117" s="6"/>
      <c r="P117" s="6"/>
      <c r="Q117" s="6"/>
    </row>
    <row r="118" spans="10:17">
      <c r="J118" s="6"/>
      <c r="K118" s="6"/>
      <c r="L118" s="6"/>
      <c r="M118" s="6"/>
      <c r="N118" s="6"/>
      <c r="O118" s="6"/>
      <c r="P118" s="6"/>
      <c r="Q118" s="6"/>
    </row>
    <row r="119" spans="10:17">
      <c r="J119" s="6"/>
      <c r="K119" s="6"/>
      <c r="L119" s="6"/>
      <c r="M119" s="6"/>
      <c r="N119" s="6"/>
      <c r="O119" s="6"/>
      <c r="P119" s="6"/>
      <c r="Q119" s="6"/>
    </row>
    <row r="120" spans="10:17">
      <c r="J120" s="6"/>
      <c r="K120" s="6"/>
      <c r="L120" s="6"/>
      <c r="M120" s="6"/>
      <c r="N120" s="6"/>
      <c r="O120" s="6"/>
      <c r="P120" s="6"/>
      <c r="Q120" s="6"/>
    </row>
    <row r="121" spans="10:17">
      <c r="J121" s="6"/>
      <c r="K121" s="6"/>
      <c r="L121" s="6"/>
      <c r="M121" s="6"/>
      <c r="N121" s="6"/>
      <c r="O121" s="6"/>
      <c r="P121" s="6"/>
      <c r="Q121" s="6"/>
    </row>
    <row r="122" spans="10:17">
      <c r="J122" s="6"/>
      <c r="K122" s="6"/>
      <c r="L122" s="6"/>
      <c r="M122" s="6"/>
      <c r="N122" s="6"/>
      <c r="O122" s="6"/>
      <c r="P122" s="6"/>
      <c r="Q122" s="6"/>
    </row>
    <row r="123" spans="10:17">
      <c r="J123" s="6"/>
      <c r="K123" s="6"/>
      <c r="L123" s="6"/>
      <c r="M123" s="6"/>
      <c r="N123" s="6"/>
      <c r="O123" s="6"/>
      <c r="P123" s="6"/>
      <c r="Q123" s="6"/>
    </row>
    <row r="124" spans="10:17">
      <c r="J124" s="6"/>
      <c r="K124" s="6"/>
      <c r="L124" s="6"/>
      <c r="M124" s="6"/>
      <c r="N124" s="6"/>
      <c r="O124" s="6"/>
      <c r="P124" s="6"/>
      <c r="Q124" s="6"/>
    </row>
    <row r="125" spans="10:17">
      <c r="J125" s="6"/>
      <c r="K125" s="6"/>
      <c r="L125" s="6"/>
      <c r="M125" s="6"/>
      <c r="N125" s="6"/>
      <c r="O125" s="6"/>
      <c r="P125" s="6"/>
      <c r="Q125" s="6"/>
    </row>
    <row r="126" spans="10:17">
      <c r="J126" s="6"/>
      <c r="K126" s="6"/>
      <c r="L126" s="6"/>
      <c r="M126" s="6"/>
      <c r="N126" s="6"/>
      <c r="O126" s="6"/>
      <c r="P126" s="6"/>
      <c r="Q126" s="6"/>
    </row>
    <row r="127" spans="10:17">
      <c r="J127" s="6"/>
      <c r="K127" s="6"/>
      <c r="L127" s="6"/>
      <c r="M127" s="6"/>
      <c r="N127" s="6"/>
      <c r="O127" s="6"/>
      <c r="P127" s="6"/>
      <c r="Q127" s="6"/>
    </row>
    <row r="128" spans="10:17">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sheetData>
  <mergeCells count="8">
    <mergeCell ref="V56:AA57"/>
    <mergeCell ref="D3:E3"/>
    <mergeCell ref="B25:E25"/>
    <mergeCell ref="B7:E7"/>
    <mergeCell ref="F7:I7"/>
    <mergeCell ref="J7:M7"/>
    <mergeCell ref="F25:I25"/>
    <mergeCell ref="J25:M25"/>
  </mergeCells>
  <pageMargins left="0.25" right="0.25" top="0.5" bottom="0.5" header="0.3" footer="0.3"/>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DC Measurements</vt:lpstr>
      <vt:lpstr>AC Analysis</vt:lpstr>
      <vt:lpstr>RM7_N49_Geo Calc</vt:lpstr>
      <vt:lpstr>DC Meas Data 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2021-11-08T19:05:00Z</dcterms:modified>
</cp:coreProperties>
</file>