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4.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queryTables/queryTable16.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7.xml" ContentType="application/vnd.openxmlformats-officedocument.spreadsheetml.queryTable+xml"/>
  <Override PartName="/xl/tables/table21.xml" ContentType="application/vnd.openxmlformats-officedocument.spreadsheetml.table+xml"/>
  <Override PartName="/xl/queryTables/queryTable18.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1.xml" ContentType="application/vnd.openxmlformats-officedocument.spreadsheetml.queryTable+xml"/>
  <Override PartName="/xl/tables/table27.xml" ContentType="application/vnd.openxmlformats-officedocument.spreadsheetml.table+xml"/>
  <Override PartName="/xl/queryTables/queryTable22.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queryTables/queryTable24.xml" ContentType="application/vnd.openxmlformats-officedocument.spreadsheetml.queryTable+xml"/>
  <Override PartName="/xl/tables/table33.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charts/chart75.xml" ContentType="application/vnd.openxmlformats-officedocument.drawingml.chart+xml"/>
  <Override PartName="/xl/charts/style57.xml" ContentType="application/vnd.ms-office.chartstyle+xml"/>
  <Override PartName="/xl/charts/colors57.xml" ContentType="application/vnd.ms-office.chartcolorstyle+xml"/>
  <Override PartName="/xl/charts/chart76.xml" ContentType="application/vnd.openxmlformats-officedocument.drawingml.chart+xml"/>
  <Override PartName="/xl/charts/style58.xml" ContentType="application/vnd.ms-office.chartstyle+xml"/>
  <Override PartName="/xl/charts/colors58.xml" ContentType="application/vnd.ms-office.chartcolorstyle+xml"/>
  <Override PartName="/xl/charts/chart7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1.xml" ContentType="application/vnd.openxmlformats-officedocument.drawingml.chartshapes+xml"/>
  <Override PartName="/xl/charts/chart78.xml" ContentType="application/vnd.openxmlformats-officedocument.drawingml.chart+xml"/>
  <Override PartName="/xl/charts/style60.xml" ContentType="application/vnd.ms-office.chartstyle+xml"/>
  <Override PartName="/xl/charts/colors60.xml" ContentType="application/vnd.ms-office.chartcolorstyle+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style61.xml" ContentType="application/vnd.ms-office.chartstyle+xml"/>
  <Override PartName="/xl/charts/colors61.xml" ContentType="application/vnd.ms-office.chartcolorstyle+xml"/>
  <Override PartName="/xl/charts/chart8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tables/table43.xml" ContentType="application/vnd.openxmlformats-officedocument.spreadsheetml.table+xml"/>
  <Override PartName="/xl/tables/table44.xml" ContentType="application/vnd.openxmlformats-officedocument.spreadsheetml.table+xml"/>
  <Override PartName="/xl/drawings/drawing24.xml" ContentType="application/vnd.openxmlformats-officedocument.drawing+xml"/>
  <Override PartName="/xl/tables/table45.xml" ContentType="application/vnd.openxmlformats-officedocument.spreadsheetml.table+xml"/>
  <Override PartName="/xl/charts/chart8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25.xml" ContentType="application/vnd.openxmlformats-officedocument.drawingml.chartshapes+xml"/>
  <Override PartName="/xl/charts/chartEx1.xml" ContentType="application/vnd.ms-office.chartex+xml"/>
  <Override PartName="/xl/charts/style64.xml" ContentType="application/vnd.ms-office.chartstyle+xml"/>
  <Override PartName="/xl/charts/colors64.xml" ContentType="application/vnd.ms-office.chartcolorstyle+xml"/>
  <Override PartName="/xl/tables/table46.xml" ContentType="application/vnd.openxmlformats-officedocument.spreadsheetml.table+xml"/>
  <Override PartName="/xl/queryTables/queryTable28.xml" ContentType="application/vnd.openxmlformats-officedocument.spreadsheetml.queryTable+xml"/>
  <Override PartName="/xl/tables/table47.xml" ContentType="application/vnd.openxmlformats-officedocument.spreadsheetml.table+xml"/>
  <Override PartName="/xl/queryTables/queryTable29.xml" ContentType="application/vnd.openxmlformats-officedocument.spreadsheetml.queryTable+xml"/>
  <Override PartName="/xl/tables/table48.xml" ContentType="application/vnd.openxmlformats-officedocument.spreadsheetml.table+xml"/>
  <Override PartName="/xl/queryTables/queryTable30.xml" ContentType="application/vnd.openxmlformats-officedocument.spreadsheetml.queryTable+xml"/>
  <Override PartName="/xl/tables/table49.xml" ContentType="application/vnd.openxmlformats-officedocument.spreadsheetml.table+xml"/>
  <Override PartName="/xl/queryTables/queryTable31.xml" ContentType="application/vnd.openxmlformats-officedocument.spreadsheetml.queryTable+xml"/>
  <Override PartName="/xl/tables/table50.xml" ContentType="application/vnd.openxmlformats-officedocument.spreadsheetml.table+xml"/>
  <Override PartName="/xl/queryTables/queryTable32.xml" ContentType="application/vnd.openxmlformats-officedocument.spreadsheetml.queryTable+xml"/>
  <Override PartName="/xl/tables/table51.xml" ContentType="application/vnd.openxmlformats-officedocument.spreadsheetml.table+xml"/>
  <Override PartName="/xl/queryTables/queryTable33.xml" ContentType="application/vnd.openxmlformats-officedocument.spreadsheetml.queryTable+xml"/>
  <Override PartName="/xl/tables/table52.xml" ContentType="application/vnd.openxmlformats-officedocument.spreadsheetml.table+xml"/>
  <Override PartName="/xl/queryTables/queryTable34.xml" ContentType="application/vnd.openxmlformats-officedocument.spreadsheetml.queryTable+xml"/>
  <Override PartName="/xl/tables/table53.xml" ContentType="application/vnd.openxmlformats-officedocument.spreadsheetml.table+xml"/>
  <Override PartName="/xl/queryTables/queryTable35.xml" ContentType="application/vnd.openxmlformats-officedocument.spreadsheetml.queryTable+xml"/>
  <Override PartName="/xl/tables/table54.xml" ContentType="application/vnd.openxmlformats-officedocument.spreadsheetml.table+xml"/>
  <Override PartName="/xl/queryTables/queryTable36.xml" ContentType="application/vnd.openxmlformats-officedocument.spreadsheetml.queryTable+xml"/>
  <Override PartName="/xl/drawings/drawing26.xml" ContentType="application/vnd.openxmlformats-officedocument.drawing+xml"/>
  <Override PartName="/xl/tables/table55.xml" ContentType="application/vnd.openxmlformats-officedocument.spreadsheetml.table+xml"/>
  <Override PartName="/xl/queryTables/queryTable37.xml" ContentType="application/vnd.openxmlformats-officedocument.spreadsheetml.queryTable+xml"/>
  <Override PartName="/xl/charts/chart84.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tables/table56.xml" ContentType="application/vnd.openxmlformats-officedocument.spreadsheetml.table+xml"/>
  <Override PartName="/xl/queryTables/queryTable38.xml" ContentType="application/vnd.openxmlformats-officedocument.spreadsheetml.queryTable+xml"/>
  <Override PartName="/xl/charts/chart85.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29.xml" ContentType="application/vnd.openxmlformats-officedocument.drawingml.chartshapes+xml"/>
  <Override PartName="/xl/pivotTables/pivotTable1.xml" ContentType="application/vnd.openxmlformats-officedocument.spreadsheetml.pivotTable+xml"/>
  <Override PartName="/xl/tables/table57.xml" ContentType="application/vnd.openxmlformats-officedocument.spreadsheetml.table+xml"/>
  <Override PartName="/xl/tables/table58.xml" ContentType="application/vnd.openxmlformats-officedocument.spreadsheetml.table+xml"/>
  <Override PartName="/xl/queryTables/queryTable39.xml" ContentType="application/vnd.openxmlformats-officedocument.spreadsheetml.queryTable+xml"/>
  <Override PartName="/xl/tables/table59.xml" ContentType="application/vnd.openxmlformats-officedocument.spreadsheetml.table+xml"/>
  <Override PartName="/xl/queryTables/queryTable4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74B24ADC-9004-4347-B89E-87D3F927E0AE}" xr6:coauthVersionLast="47" xr6:coauthVersionMax="47" xr10:uidLastSave="{00000000-0000-0000-0000-000000000000}"/>
  <bookViews>
    <workbookView xWindow="-120" yWindow="-120" windowWidth="38640" windowHeight="21840" activeTab="16"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oct" sheetId="45" r:id="rId12"/>
    <sheet name="powerrange" sheetId="39" r:id="rId13"/>
    <sheet name="gauss" sheetId="41" r:id="rId14"/>
    <sheet name="externo" sheetId="7" r:id="rId15"/>
    <sheet name="res_mes" sheetId="12" r:id="rId16"/>
    <sheet name="acum_porc" sheetId="32" r:id="rId17"/>
    <sheet name="acum_abs" sheetId="33" r:id="rId18"/>
    <sheet name="estadisticas" sheetId="35" r:id="rId19"/>
    <sheet name="jugadores_2024" sheetId="36" r:id="rId20"/>
    <sheet name="apuestas_2024" sheetId="46" r:id="rId21"/>
  </sheets>
  <externalReferences>
    <externalReference r:id="rId22"/>
  </externalReferences>
  <definedNames>
    <definedName name="_xlchart.v1.0" hidden="1">gauss!$B$3:$B$41</definedName>
    <definedName name="DatosExternos_1" localSheetId="5" hidden="1">abr!$A$6:$E$35</definedName>
    <definedName name="DatosExternos_1" localSheetId="17" hidden="1">acum_abs!$A$1:$J$96</definedName>
    <definedName name="DatosExternos_1" localSheetId="16" hidden="1">acum_porc!$A$1:$K$100</definedName>
    <definedName name="DatosExternos_1" localSheetId="9" hidden="1">ago!$A$6:$E$47</definedName>
    <definedName name="DatosExternos_1" localSheetId="20" hidden="1">apuestas_2024!$A$1:$C$392</definedName>
    <definedName name="DatosExternos_1" localSheetId="2" hidden="1">ene!$A$6:$E$42</definedName>
    <definedName name="DatosExternos_1" localSheetId="18" hidden="1">estadisticas!$A$1:$E$64</definedName>
    <definedName name="DatosExternos_1" localSheetId="14" hidden="1">externo!$A$3:$E$27</definedName>
    <definedName name="DatosExternos_1" localSheetId="3" hidden="1">feb!$A$6:$E$41</definedName>
    <definedName name="DatosExternos_1" localSheetId="0" hidden="1">in!$A$1:$H$373</definedName>
    <definedName name="DatosExternos_1" localSheetId="19" hidden="1">jugadores_2024!$A$1:$C$92</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1" hidden="1">oct!$A$6:$E$45</definedName>
    <definedName name="DatosExternos_1" localSheetId="1" hidden="1">omie!$A$4:$B$303</definedName>
    <definedName name="DatosExternos_1" localSheetId="10" hidden="1">sep!$A$6:$E$45</definedName>
    <definedName name="DatosExternos_10" localSheetId="1" hidden="1">omie!$AB$4:$AC$34</definedName>
    <definedName name="DatosExternos_11" localSheetId="1" hidden="1">omie!$AE$4:$AF$29</definedName>
    <definedName name="DatosExternos_2" localSheetId="5" hidden="1">abr!$P$6:$Q$36</definedName>
    <definedName name="DatosExternos_2" localSheetId="2" hidden="1">ene!$P$6:$Q$37</definedName>
    <definedName name="DatosExternos_2" localSheetId="14"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5" hidden="1">res_mes!$H$1:$M$36</definedName>
    <definedName name="DatosExternos_3" localSheetId="14" hidden="1">externo!$K$3:$M$34</definedName>
    <definedName name="DatosExternos_3" localSheetId="1" hidden="1">omie!$G$4:$H$33</definedName>
    <definedName name="DatosExternos_3" localSheetId="15" hidden="1">res_mes!$O$1:$T$26</definedName>
    <definedName name="DatosExternos_4" localSheetId="14" hidden="1">externo!$O$3:$AD$34</definedName>
    <definedName name="DatosExternos_4" localSheetId="1" hidden="1">omie!$J$4:$K$35</definedName>
    <definedName name="DatosExternos_4" localSheetId="15" hidden="1">res_mes!$V$1:$AA$30</definedName>
    <definedName name="DatosExternos_5" localSheetId="1" hidden="1">omie!$M$4:$N$34</definedName>
    <definedName name="DatosExternos_5" localSheetId="15" hidden="1">res_mes!$AC$1:$AH$44</definedName>
    <definedName name="DatosExternos_6" localSheetId="1" hidden="1">omie!$P$4:$Q$35</definedName>
    <definedName name="DatosExternos_6" localSheetId="15"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3" r:id="rId2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8" i="32" l="1"/>
  <c r="L30" i="32"/>
  <c r="L62" i="32"/>
  <c r="N62" i="32" s="1"/>
  <c r="L63" i="32"/>
  <c r="L19" i="32"/>
  <c r="N19" i="32" s="1"/>
  <c r="L2" i="32"/>
  <c r="L64" i="32"/>
  <c r="L46" i="32"/>
  <c r="L65" i="32"/>
  <c r="L66" i="32"/>
  <c r="L26" i="32"/>
  <c r="L67" i="32"/>
  <c r="L14" i="32"/>
  <c r="L52" i="32"/>
  <c r="L31" i="32"/>
  <c r="N31" i="32" s="1"/>
  <c r="L27" i="32"/>
  <c r="L47" i="32"/>
  <c r="L68" i="32"/>
  <c r="L69" i="32"/>
  <c r="L53" i="32"/>
  <c r="L48" i="32"/>
  <c r="L70" i="32"/>
  <c r="L71" i="32"/>
  <c r="L3" i="32"/>
  <c r="L4" i="32"/>
  <c r="L39" i="32"/>
  <c r="L54" i="32"/>
  <c r="L5" i="32"/>
  <c r="L72" i="32"/>
  <c r="L32" i="32"/>
  <c r="L73" i="32"/>
  <c r="L74" i="32"/>
  <c r="L6" i="32"/>
  <c r="N6" i="32" s="1"/>
  <c r="L49" i="32"/>
  <c r="L75" i="32"/>
  <c r="L15" i="32"/>
  <c r="L76" i="32"/>
  <c r="L20" i="32"/>
  <c r="L21" i="32"/>
  <c r="L77" i="32"/>
  <c r="L78" i="32"/>
  <c r="N78" i="32" s="1"/>
  <c r="L79" i="32"/>
  <c r="L7" i="32"/>
  <c r="L8" i="32"/>
  <c r="L80" i="32"/>
  <c r="N80" i="32" s="1"/>
  <c r="L33" i="32"/>
  <c r="L55" i="32"/>
  <c r="L40" i="32"/>
  <c r="L9" i="32"/>
  <c r="L81" i="32"/>
  <c r="L34" i="32"/>
  <c r="N34" i="32" s="1"/>
  <c r="L41" i="32"/>
  <c r="L82" i="32"/>
  <c r="L10" i="32"/>
  <c r="L11" i="32"/>
  <c r="L56" i="32"/>
  <c r="L83" i="32"/>
  <c r="N83" i="32" s="1"/>
  <c r="L57" i="32"/>
  <c r="L42" i="32"/>
  <c r="L16" i="32"/>
  <c r="L84" i="32"/>
  <c r="L85" i="32"/>
  <c r="N85" i="32" s="1"/>
  <c r="L12" i="32"/>
  <c r="N12" i="32" s="1"/>
  <c r="L17" i="32"/>
  <c r="L86" i="32"/>
  <c r="L23" i="32"/>
  <c r="L87" i="32"/>
  <c r="L50" i="32"/>
  <c r="L58" i="32"/>
  <c r="N58" i="32" s="1"/>
  <c r="L28" i="32"/>
  <c r="L88" i="32"/>
  <c r="L89" i="32"/>
  <c r="L90" i="32"/>
  <c r="L91" i="32"/>
  <c r="L92" i="32"/>
  <c r="L24" i="32"/>
  <c r="L93" i="32"/>
  <c r="N93" i="32" s="1"/>
  <c r="L51" i="32"/>
  <c r="L94" i="32"/>
  <c r="L35" i="32"/>
  <c r="L59" i="32"/>
  <c r="L43" i="32"/>
  <c r="L44" i="32"/>
  <c r="L36" i="32"/>
  <c r="L22" i="32"/>
  <c r="L95" i="32"/>
  <c r="N95" i="32" s="1"/>
  <c r="L29" i="32"/>
  <c r="L13" i="32"/>
  <c r="L60" i="32"/>
  <c r="L25" i="32"/>
  <c r="L61" i="32"/>
  <c r="L96" i="32"/>
  <c r="N96" i="32" s="1"/>
  <c r="L45" i="32"/>
  <c r="N45" i="32" s="1"/>
  <c r="L97" i="32"/>
  <c r="L98" i="32"/>
  <c r="L37" i="32"/>
  <c r="L99" i="32"/>
  <c r="L38" i="32"/>
  <c r="N38" i="32" s="1"/>
  <c r="L100" i="32"/>
  <c r="N18" i="32"/>
  <c r="N30" i="32"/>
  <c r="N63" i="32"/>
  <c r="N2" i="32"/>
  <c r="N64" i="32"/>
  <c r="N46" i="32"/>
  <c r="N65" i="32"/>
  <c r="N67" i="32"/>
  <c r="N14" i="32"/>
  <c r="N27" i="32"/>
  <c r="N47" i="32"/>
  <c r="N68" i="32"/>
  <c r="N69" i="32"/>
  <c r="N3" i="32"/>
  <c r="N4" i="32"/>
  <c r="N39" i="32"/>
  <c r="N54" i="32"/>
  <c r="N5" i="32"/>
  <c r="N32" i="32"/>
  <c r="N73" i="32"/>
  <c r="N74" i="32"/>
  <c r="N15" i="32"/>
  <c r="N76" i="32"/>
  <c r="N77" i="32"/>
  <c r="N79" i="32"/>
  <c r="N7" i="32"/>
  <c r="N8" i="32"/>
  <c r="N40" i="32"/>
  <c r="N9" i="32"/>
  <c r="N81" i="32"/>
  <c r="N41" i="32"/>
  <c r="N82" i="32"/>
  <c r="N10" i="32"/>
  <c r="N11" i="32"/>
  <c r="N56" i="32"/>
  <c r="N16" i="32"/>
  <c r="N84" i="32"/>
  <c r="N17" i="32"/>
  <c r="N86" i="32"/>
  <c r="N23" i="32"/>
  <c r="N87" i="32"/>
  <c r="N89" i="32"/>
  <c r="N90" i="32"/>
  <c r="N91" i="32"/>
  <c r="N92" i="32"/>
  <c r="N24" i="32"/>
  <c r="N51" i="32"/>
  <c r="N94" i="32"/>
  <c r="N35" i="32"/>
  <c r="N59" i="32"/>
  <c r="N36" i="32"/>
  <c r="N22" i="32"/>
  <c r="N13" i="32"/>
  <c r="N60" i="32"/>
  <c r="N25" i="32"/>
  <c r="N61" i="32"/>
  <c r="N37" i="32"/>
  <c r="N99" i="32"/>
  <c r="Q31" i="45"/>
  <c r="Q30" i="45"/>
  <c r="Q29" i="45"/>
  <c r="Q28" i="45"/>
  <c r="Q27" i="45"/>
  <c r="Q26" i="45"/>
  <c r="Q25" i="45"/>
  <c r="Q24" i="45"/>
  <c r="Q23" i="45"/>
  <c r="Q22" i="45"/>
  <c r="Q21" i="45"/>
  <c r="Q20" i="45"/>
  <c r="Q19" i="45"/>
  <c r="Q18" i="45"/>
  <c r="Q17" i="45"/>
  <c r="Q16" i="45"/>
  <c r="Q15" i="45"/>
  <c r="Q14" i="45"/>
  <c r="Q13" i="45"/>
  <c r="Q12" i="45"/>
  <c r="Q11" i="45"/>
  <c r="Q10" i="45"/>
  <c r="Q9" i="45"/>
  <c r="Q8" i="45"/>
  <c r="AE4" i="7"/>
  <c r="AE5" i="7"/>
  <c r="AE6" i="7"/>
  <c r="AE7" i="7"/>
  <c r="AE8" i="7"/>
  <c r="AE9" i="7"/>
  <c r="AE10" i="7"/>
  <c r="AE11" i="7"/>
  <c r="AE12" i="7"/>
  <c r="AE13" i="7"/>
  <c r="AE14" i="7"/>
  <c r="AE15" i="7"/>
  <c r="AE16" i="7"/>
  <c r="AE17" i="7"/>
  <c r="AE18" i="7"/>
  <c r="AE19" i="7"/>
  <c r="AE20" i="7"/>
  <c r="AE21" i="7"/>
  <c r="AE22" i="7"/>
  <c r="AE23" i="7"/>
  <c r="AE24" i="7"/>
  <c r="AE25" i="7"/>
  <c r="AE26" i="7"/>
  <c r="AE27" i="7"/>
  <c r="AE28" i="7"/>
  <c r="N52" i="32" l="1"/>
  <c r="N21" i="32"/>
  <c r="N48" i="32"/>
  <c r="N29" i="32"/>
  <c r="N50" i="32"/>
  <c r="N20" i="32"/>
  <c r="N53" i="32"/>
  <c r="N100" i="32"/>
  <c r="N72" i="32"/>
  <c r="N98" i="32"/>
  <c r="N44" i="32"/>
  <c r="N88" i="32"/>
  <c r="N42" i="32"/>
  <c r="N55" i="32"/>
  <c r="N75" i="32"/>
  <c r="N71" i="32"/>
  <c r="N26" i="32"/>
  <c r="N97" i="32"/>
  <c r="N43" i="32"/>
  <c r="N28" i="32"/>
  <c r="N57" i="32"/>
  <c r="N33" i="32"/>
  <c r="N49" i="32"/>
  <c r="N70" i="32"/>
  <c r="N66" i="32"/>
  <c r="U13" i="39" l="1"/>
  <c r="U12" i="39"/>
  <c r="U23" i="39"/>
  <c r="U10" i="39"/>
  <c r="U9" i="39"/>
  <c r="U21" i="39"/>
  <c r="P16" i="32" l="1"/>
  <c r="P10" i="32"/>
  <c r="P8" i="32"/>
  <c r="Q16" i="32"/>
  <c r="P18" i="32"/>
  <c r="Q7" i="45"/>
  <c r="F18" i="39" l="1"/>
  <c r="Q37" i="45"/>
  <c r="Q36" i="45"/>
  <c r="C38" i="39" s="1"/>
  <c r="Q35" i="45"/>
  <c r="C37" i="39" s="1"/>
  <c r="Q34" i="45"/>
  <c r="C36" i="39" s="1"/>
  <c r="Q33" i="45"/>
  <c r="C35" i="39" s="1"/>
  <c r="Q32" i="45"/>
  <c r="C34" i="39" s="1"/>
  <c r="C33" i="39"/>
  <c r="C32" i="39"/>
  <c r="C31" i="39"/>
  <c r="C30" i="39"/>
  <c r="C29" i="39"/>
  <c r="C28" i="39"/>
  <c r="C27" i="39"/>
  <c r="C26" i="39"/>
  <c r="C25" i="39"/>
  <c r="C24" i="39"/>
  <c r="C23" i="39"/>
  <c r="C22" i="39"/>
  <c r="C21" i="39"/>
  <c r="C20" i="39"/>
  <c r="C19" i="39"/>
  <c r="C18" i="39"/>
  <c r="C17" i="39"/>
  <c r="C16" i="39"/>
  <c r="C15" i="39"/>
  <c r="C14" i="39"/>
  <c r="C13" i="39"/>
  <c r="C12" i="39"/>
  <c r="C11" i="39"/>
  <c r="C10" i="39"/>
  <c r="C9" i="39"/>
  <c r="B5" i="45"/>
  <c r="B4" i="45"/>
  <c r="B3" i="45" s="1"/>
  <c r="AF3" i="1"/>
  <c r="M45" i="45"/>
  <c r="M46" i="39" s="1"/>
  <c r="L45" i="45"/>
  <c r="L46" i="39" s="1"/>
  <c r="M44" i="45"/>
  <c r="M45" i="39" s="1"/>
  <c r="L44" i="45"/>
  <c r="L45" i="39" s="1"/>
  <c r="M43" i="45"/>
  <c r="M44" i="39" s="1"/>
  <c r="L43" i="45"/>
  <c r="L44" i="39" s="1"/>
  <c r="M42" i="45"/>
  <c r="M43" i="39" s="1"/>
  <c r="L42" i="45"/>
  <c r="L43" i="39" s="1"/>
  <c r="M41" i="45"/>
  <c r="M42" i="39" s="1"/>
  <c r="L41" i="45"/>
  <c r="L42" i="39" s="1"/>
  <c r="M40" i="45"/>
  <c r="M41" i="39" s="1"/>
  <c r="L40" i="45"/>
  <c r="L41" i="39" s="1"/>
  <c r="M39" i="45"/>
  <c r="M40" i="39" s="1"/>
  <c r="L39" i="45"/>
  <c r="L40" i="39" s="1"/>
  <c r="M38" i="45"/>
  <c r="M39" i="39" s="1"/>
  <c r="L38" i="45"/>
  <c r="L39" i="39" s="1"/>
  <c r="M37" i="45"/>
  <c r="M38" i="39" s="1"/>
  <c r="L37" i="45"/>
  <c r="L38" i="39" s="1"/>
  <c r="M36" i="45"/>
  <c r="M37" i="39" s="1"/>
  <c r="L36" i="45"/>
  <c r="L37" i="39" s="1"/>
  <c r="M35" i="45"/>
  <c r="M36" i="39" s="1"/>
  <c r="L35" i="45"/>
  <c r="L36" i="39" s="1"/>
  <c r="M34" i="45"/>
  <c r="M35" i="39" s="1"/>
  <c r="L34" i="45"/>
  <c r="L35" i="39" s="1"/>
  <c r="M33" i="45"/>
  <c r="M34" i="39" s="1"/>
  <c r="L33" i="45"/>
  <c r="L34" i="39" s="1"/>
  <c r="M32" i="45"/>
  <c r="M33" i="39" s="1"/>
  <c r="L32" i="45"/>
  <c r="L33" i="39" s="1"/>
  <c r="M31" i="45"/>
  <c r="M32" i="39" s="1"/>
  <c r="L31" i="45"/>
  <c r="L32" i="39" s="1"/>
  <c r="M30" i="45"/>
  <c r="M31" i="39" s="1"/>
  <c r="L30" i="45"/>
  <c r="L31" i="39" s="1"/>
  <c r="M29" i="45"/>
  <c r="M30" i="39" s="1"/>
  <c r="L29" i="45"/>
  <c r="L30" i="39" s="1"/>
  <c r="M28" i="45"/>
  <c r="M29" i="39" s="1"/>
  <c r="L28" i="45"/>
  <c r="L29" i="39" s="1"/>
  <c r="M27" i="45"/>
  <c r="M28" i="39" s="1"/>
  <c r="L27" i="45"/>
  <c r="L28" i="39" s="1"/>
  <c r="M26" i="45"/>
  <c r="M27" i="39" s="1"/>
  <c r="L26" i="45"/>
  <c r="L27" i="39" s="1"/>
  <c r="M25" i="45"/>
  <c r="M26" i="39" s="1"/>
  <c r="L25" i="45"/>
  <c r="L26" i="39" s="1"/>
  <c r="M24" i="45"/>
  <c r="M25" i="39" s="1"/>
  <c r="L24" i="45"/>
  <c r="L25" i="39" s="1"/>
  <c r="M23" i="45"/>
  <c r="M24" i="39" s="1"/>
  <c r="L23" i="45"/>
  <c r="L24" i="39" s="1"/>
  <c r="M22" i="45"/>
  <c r="M23" i="39" s="1"/>
  <c r="L22" i="45"/>
  <c r="L23" i="39" s="1"/>
  <c r="M21" i="45"/>
  <c r="M22" i="39" s="1"/>
  <c r="L21" i="45"/>
  <c r="L22" i="39" s="1"/>
  <c r="M20" i="45"/>
  <c r="M21" i="39" s="1"/>
  <c r="L20" i="45"/>
  <c r="L21" i="39" s="1"/>
  <c r="M19" i="45"/>
  <c r="M20" i="39" s="1"/>
  <c r="L19" i="45"/>
  <c r="L20" i="39" s="1"/>
  <c r="M18" i="45"/>
  <c r="M19" i="39" s="1"/>
  <c r="L18" i="45"/>
  <c r="L19" i="39" s="1"/>
  <c r="M17" i="45"/>
  <c r="M18" i="39" s="1"/>
  <c r="L17" i="45"/>
  <c r="L18" i="39" s="1"/>
  <c r="M16" i="45"/>
  <c r="M17" i="39" s="1"/>
  <c r="L16" i="45"/>
  <c r="L17" i="39" s="1"/>
  <c r="M15" i="45"/>
  <c r="M16" i="39" s="1"/>
  <c r="L15" i="45"/>
  <c r="L16" i="39" s="1"/>
  <c r="M14" i="45"/>
  <c r="M15" i="39" s="1"/>
  <c r="L14" i="45"/>
  <c r="L15" i="39" s="1"/>
  <c r="M13" i="45"/>
  <c r="M14" i="39" s="1"/>
  <c r="L13" i="45"/>
  <c r="L14" i="39" s="1"/>
  <c r="M12" i="45"/>
  <c r="M13" i="39" s="1"/>
  <c r="L12" i="45"/>
  <c r="L13" i="39" s="1"/>
  <c r="M11" i="45"/>
  <c r="M12" i="39" s="1"/>
  <c r="L11" i="45"/>
  <c r="L12" i="39" s="1"/>
  <c r="M10" i="45"/>
  <c r="M11" i="39" s="1"/>
  <c r="L10" i="45"/>
  <c r="L11" i="39" s="1"/>
  <c r="M9" i="45"/>
  <c r="M10" i="39" s="1"/>
  <c r="L9" i="45"/>
  <c r="L10" i="39" s="1"/>
  <c r="M8" i="45"/>
  <c r="M9" i="39" s="1"/>
  <c r="L8" i="45"/>
  <c r="L9" i="39" s="1"/>
  <c r="M7" i="45"/>
  <c r="M8" i="39" s="1"/>
  <c r="L7" i="45"/>
  <c r="L8" i="39" s="1"/>
  <c r="H4" i="45"/>
  <c r="N3" i="45"/>
  <c r="H2" i="45"/>
  <c r="B2" i="45"/>
  <c r="B1" i="45"/>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F15" i="39" l="1"/>
  <c r="F7" i="45"/>
  <c r="G7" i="45" s="1"/>
  <c r="F19" i="45"/>
  <c r="G19" i="45" s="1"/>
  <c r="F31" i="45"/>
  <c r="G31" i="45" s="1"/>
  <c r="F43" i="45"/>
  <c r="G43" i="45" s="1"/>
  <c r="F20" i="45"/>
  <c r="G20" i="45" s="1"/>
  <c r="F8" i="45"/>
  <c r="G8" i="45" s="1"/>
  <c r="F32" i="45"/>
  <c r="G32" i="45" s="1"/>
  <c r="F44" i="45"/>
  <c r="G44" i="45" s="1"/>
  <c r="F9" i="45"/>
  <c r="G9" i="45" s="1"/>
  <c r="F21" i="45"/>
  <c r="G21" i="45" s="1"/>
  <c r="F33" i="45"/>
  <c r="G33" i="45" s="1"/>
  <c r="F45" i="45"/>
  <c r="G45" i="45" s="1"/>
  <c r="F10" i="45"/>
  <c r="G10" i="45" s="1"/>
  <c r="F22" i="45"/>
  <c r="G22" i="45" s="1"/>
  <c r="F34" i="45"/>
  <c r="G34" i="45" s="1"/>
  <c r="F16" i="45"/>
  <c r="G16" i="45" s="1"/>
  <c r="F11" i="45"/>
  <c r="G11" i="45" s="1"/>
  <c r="F23" i="45"/>
  <c r="G23" i="45" s="1"/>
  <c r="F35" i="45"/>
  <c r="G35" i="45" s="1"/>
  <c r="F12" i="45"/>
  <c r="G12" i="45" s="1"/>
  <c r="F24" i="45"/>
  <c r="G24" i="45" s="1"/>
  <c r="F36" i="45"/>
  <c r="G36" i="45" s="1"/>
  <c r="F26" i="45"/>
  <c r="G26" i="45" s="1"/>
  <c r="F28" i="45"/>
  <c r="G28" i="45" s="1"/>
  <c r="F13" i="45"/>
  <c r="G13" i="45" s="1"/>
  <c r="F25" i="45"/>
  <c r="G25" i="45" s="1"/>
  <c r="F37" i="45"/>
  <c r="G37" i="45" s="1"/>
  <c r="F38" i="45"/>
  <c r="G38" i="45" s="1"/>
  <c r="F40" i="45"/>
  <c r="G40" i="45" s="1"/>
  <c r="F17" i="45"/>
  <c r="G17" i="45" s="1"/>
  <c r="F14" i="45"/>
  <c r="G14" i="45" s="1"/>
  <c r="F29" i="45"/>
  <c r="G29" i="45" s="1"/>
  <c r="F15" i="45"/>
  <c r="G15" i="45" s="1"/>
  <c r="F27" i="45"/>
  <c r="G27" i="45" s="1"/>
  <c r="F39" i="45"/>
  <c r="G39" i="45" s="1"/>
  <c r="F18" i="45"/>
  <c r="G18" i="45" s="1"/>
  <c r="F30" i="45"/>
  <c r="G30" i="45" s="1"/>
  <c r="F42" i="45"/>
  <c r="G42" i="45" s="1"/>
  <c r="F41" i="45"/>
  <c r="G41" i="45" s="1"/>
  <c r="L49" i="41"/>
  <c r="M50" i="41" s="1"/>
  <c r="R45" i="41"/>
  <c r="R46" i="41" s="1"/>
  <c r="P3" i="45"/>
  <c r="U34" i="39"/>
  <c r="N22" i="45" l="1"/>
  <c r="N7" i="45"/>
  <c r="N34" i="45"/>
  <c r="H16" i="45"/>
  <c r="H32" i="45"/>
  <c r="H40" i="45"/>
  <c r="H38" i="45"/>
  <c r="H36" i="45"/>
  <c r="H37" i="45"/>
  <c r="H39" i="45"/>
  <c r="H20" i="45"/>
  <c r="H18" i="45"/>
  <c r="H27" i="45"/>
  <c r="H13" i="45"/>
  <c r="H35" i="45"/>
  <c r="H31" i="45"/>
  <c r="H29" i="45"/>
  <c r="H28" i="45"/>
  <c r="H23" i="45"/>
  <c r="H14" i="45"/>
  <c r="H11" i="45"/>
  <c r="H24" i="45"/>
  <c r="H42" i="45"/>
  <c r="H45" i="45"/>
  <c r="H8" i="45"/>
  <c r="H33" i="45"/>
  <c r="H21" i="45"/>
  <c r="H41" i="45"/>
  <c r="H9" i="45"/>
  <c r="H10" i="45"/>
  <c r="H34" i="45"/>
  <c r="H12" i="45"/>
  <c r="H30" i="45"/>
  <c r="H26" i="45"/>
  <c r="H43" i="45"/>
  <c r="H22" i="45"/>
  <c r="H17" i="45"/>
  <c r="H15" i="45"/>
  <c r="H25" i="45"/>
  <c r="H44" i="45"/>
  <c r="H19" i="45"/>
  <c r="H7" i="45"/>
  <c r="N39" i="45"/>
  <c r="O22" i="45"/>
  <c r="O7" i="45"/>
  <c r="N31" i="45"/>
  <c r="N19" i="45"/>
  <c r="N43" i="45"/>
  <c r="N9" i="45"/>
  <c r="N14" i="45"/>
  <c r="N28" i="45"/>
  <c r="N10" i="45"/>
  <c r="N33" i="45"/>
  <c r="O14" i="45"/>
  <c r="N32" i="45"/>
  <c r="N37" i="45"/>
  <c r="N20" i="45"/>
  <c r="N18" i="45"/>
  <c r="N17" i="45"/>
  <c r="N12" i="45"/>
  <c r="N45" i="45"/>
  <c r="N35" i="45"/>
  <c r="O31" i="45"/>
  <c r="N40" i="45"/>
  <c r="N44" i="45"/>
  <c r="N11" i="45"/>
  <c r="N23" i="45"/>
  <c r="N27" i="45"/>
  <c r="O39" i="45"/>
  <c r="O21" i="45"/>
  <c r="O10" i="45"/>
  <c r="O26" i="45"/>
  <c r="N21" i="45"/>
  <c r="N16" i="45"/>
  <c r="N15" i="45"/>
  <c r="N25" i="45"/>
  <c r="N26" i="45"/>
  <c r="N30" i="45"/>
  <c r="N36" i="45"/>
  <c r="O18" i="45"/>
  <c r="O32" i="45"/>
  <c r="N24" i="45"/>
  <c r="N8" i="45"/>
  <c r="O27" i="45"/>
  <c r="O8" i="45"/>
  <c r="O41" i="45"/>
  <c r="O36" i="45"/>
  <c r="O38" i="45"/>
  <c r="O13" i="45"/>
  <c r="O40" i="45"/>
  <c r="O29" i="45"/>
  <c r="O17" i="45"/>
  <c r="O42" i="45"/>
  <c r="O30" i="45"/>
  <c r="O24" i="45"/>
  <c r="N29" i="45"/>
  <c r="N41" i="45"/>
  <c r="N42" i="45"/>
  <c r="N38" i="45"/>
  <c r="O25" i="45"/>
  <c r="N13" i="45"/>
  <c r="O44" i="45"/>
  <c r="O33" i="45"/>
  <c r="O28" i="45"/>
  <c r="K14" i="33"/>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K14" i="45" l="1"/>
  <c r="K15" i="39" s="1"/>
  <c r="K22" i="45"/>
  <c r="K23" i="39" s="1"/>
  <c r="K34" i="45"/>
  <c r="K35" i="39" s="1"/>
  <c r="K8" i="45"/>
  <c r="K9" i="39" s="1"/>
  <c r="K43" i="45"/>
  <c r="K44" i="39" s="1"/>
  <c r="K35" i="45"/>
  <c r="K36" i="39" s="1"/>
  <c r="K28" i="45"/>
  <c r="K29" i="39" s="1"/>
  <c r="K16" i="45"/>
  <c r="K17" i="39" s="1"/>
  <c r="K9" i="45"/>
  <c r="K10" i="39" s="1"/>
  <c r="K41" i="45"/>
  <c r="K42" i="39" s="1"/>
  <c r="K27" i="45"/>
  <c r="K28" i="39" s="1"/>
  <c r="K38" i="45"/>
  <c r="K39" i="39" s="1"/>
  <c r="K29" i="45"/>
  <c r="K30" i="39" s="1"/>
  <c r="K13" i="45"/>
  <c r="K14" i="39" s="1"/>
  <c r="K37" i="45"/>
  <c r="K38" i="39" s="1"/>
  <c r="K36" i="45"/>
  <c r="K37" i="39" s="1"/>
  <c r="K10" i="45"/>
  <c r="K11" i="39" s="1"/>
  <c r="K33" i="45"/>
  <c r="K34" i="39" s="1"/>
  <c r="K40" i="45"/>
  <c r="K41" i="39" s="1"/>
  <c r="K30" i="45"/>
  <c r="K31" i="39" s="1"/>
  <c r="K24" i="45"/>
  <c r="K25" i="39" s="1"/>
  <c r="K32" i="45"/>
  <c r="K33" i="39" s="1"/>
  <c r="K19" i="45"/>
  <c r="K20" i="39" s="1"/>
  <c r="O34" i="45"/>
  <c r="K17" i="45"/>
  <c r="K18" i="39" s="1"/>
  <c r="K21" i="45"/>
  <c r="K22" i="39" s="1"/>
  <c r="K45" i="45"/>
  <c r="K46" i="39" s="1"/>
  <c r="K31" i="45"/>
  <c r="K32" i="39" s="1"/>
  <c r="K15" i="45"/>
  <c r="K16" i="39" s="1"/>
  <c r="K7" i="45"/>
  <c r="K8" i="39" s="1"/>
  <c r="K18" i="45"/>
  <c r="K19" i="39" s="1"/>
  <c r="K25" i="45"/>
  <c r="K26" i="39" s="1"/>
  <c r="K20" i="45"/>
  <c r="K21" i="39" s="1"/>
  <c r="K23" i="45"/>
  <c r="K24" i="39" s="1"/>
  <c r="K12" i="45"/>
  <c r="K13" i="39" s="1"/>
  <c r="K39" i="45"/>
  <c r="K40" i="39" s="1"/>
  <c r="K44" i="45"/>
  <c r="K45" i="39" s="1"/>
  <c r="K26" i="45"/>
  <c r="K27" i="39" s="1"/>
  <c r="K42" i="45"/>
  <c r="K43" i="39" s="1"/>
  <c r="K11" i="45"/>
  <c r="K12" i="39" s="1"/>
  <c r="O9" i="45"/>
  <c r="O43" i="45"/>
  <c r="O20" i="45"/>
  <c r="O16" i="45"/>
  <c r="O45" i="45"/>
  <c r="O15" i="45"/>
  <c r="O23" i="45"/>
  <c r="O37" i="45"/>
  <c r="O12" i="45"/>
  <c r="O35" i="45"/>
  <c r="O11" i="45"/>
  <c r="O19" i="45"/>
  <c r="Q7" i="44"/>
  <c r="F5" i="41"/>
  <c r="F4" i="41"/>
  <c r="F3" i="41"/>
  <c r="Q37" i="44"/>
  <c r="B5" i="44"/>
  <c r="B4" i="44"/>
  <c r="B3" i="44" s="1"/>
  <c r="AC3" i="1"/>
  <c r="M45" i="44"/>
  <c r="L45" i="44"/>
  <c r="M44" i="44"/>
  <c r="L44" i="44"/>
  <c r="M43" i="44"/>
  <c r="L43" i="44"/>
  <c r="M42" i="44"/>
  <c r="L42" i="44"/>
  <c r="M41" i="44"/>
  <c r="L41" i="44"/>
  <c r="M40" i="44"/>
  <c r="L40" i="44"/>
  <c r="M39" i="44"/>
  <c r="L39" i="44"/>
  <c r="M38" i="44"/>
  <c r="L38" i="44"/>
  <c r="M37" i="44"/>
  <c r="L37" i="44"/>
  <c r="M36" i="44"/>
  <c r="L36" i="44"/>
  <c r="M35" i="44"/>
  <c r="L35" i="44"/>
  <c r="M34" i="44"/>
  <c r="L34" i="44"/>
  <c r="M33" i="44"/>
  <c r="L33" i="44"/>
  <c r="M32" i="44"/>
  <c r="L32" i="44"/>
  <c r="M31" i="44"/>
  <c r="L31" i="44"/>
  <c r="M30" i="44"/>
  <c r="L30" i="44"/>
  <c r="M29" i="44"/>
  <c r="L29" i="44"/>
  <c r="M28" i="44"/>
  <c r="L28" i="44"/>
  <c r="M27" i="44"/>
  <c r="L27" i="44"/>
  <c r="M26" i="44"/>
  <c r="L26" i="44"/>
  <c r="M25" i="44"/>
  <c r="L25" i="44"/>
  <c r="M24" i="44"/>
  <c r="L24" i="44"/>
  <c r="M23" i="44"/>
  <c r="L23" i="44"/>
  <c r="M22" i="44"/>
  <c r="L22" i="44"/>
  <c r="M21" i="44"/>
  <c r="L21" i="44"/>
  <c r="M20" i="44"/>
  <c r="L20" i="44"/>
  <c r="M19" i="44"/>
  <c r="L19" i="44"/>
  <c r="M18" i="44"/>
  <c r="L18" i="44"/>
  <c r="M17" i="44"/>
  <c r="L17" i="44"/>
  <c r="M16" i="44"/>
  <c r="L16" i="44"/>
  <c r="M15" i="44"/>
  <c r="L15" i="44"/>
  <c r="M14" i="44"/>
  <c r="L14" i="44"/>
  <c r="M13" i="44"/>
  <c r="L13" i="44"/>
  <c r="M12" i="44"/>
  <c r="L12" i="44"/>
  <c r="M11" i="44"/>
  <c r="L11" i="44"/>
  <c r="M10" i="44"/>
  <c r="L10" i="44"/>
  <c r="M9" i="44"/>
  <c r="L9" i="44"/>
  <c r="M8" i="44"/>
  <c r="L8" i="44"/>
  <c r="M7" i="44"/>
  <c r="L7" i="44"/>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O25" i="44"/>
  <c r="K40" i="44"/>
  <c r="K19" i="44"/>
  <c r="K9" i="44"/>
  <c r="K43" i="44"/>
  <c r="K39" i="44"/>
  <c r="K21" i="44"/>
  <c r="K7" i="44"/>
  <c r="K32" i="44"/>
  <c r="K17" i="44"/>
  <c r="K42" i="44"/>
  <c r="K33" i="44"/>
  <c r="K23" i="44"/>
  <c r="K30" i="44"/>
  <c r="K27" i="44"/>
  <c r="K34" i="44"/>
  <c r="K29" i="44"/>
  <c r="K25" i="44"/>
  <c r="K28" i="44"/>
  <c r="K15" i="44"/>
  <c r="K10" i="44"/>
  <c r="K16" i="44"/>
  <c r="K24" i="44"/>
  <c r="K13" i="44"/>
  <c r="K18" i="44"/>
  <c r="K26" i="44"/>
  <c r="K41" i="44"/>
  <c r="K14" i="44"/>
  <c r="K11" i="44"/>
  <c r="K35" i="44"/>
  <c r="K37" i="44"/>
  <c r="K12" i="44"/>
  <c r="K45" i="44"/>
  <c r="K44" i="44"/>
  <c r="K20" i="44"/>
  <c r="K31" i="44"/>
  <c r="K38" i="44"/>
  <c r="K22" i="44"/>
  <c r="K36" i="44"/>
  <c r="O32" i="44"/>
  <c r="O43" i="44"/>
  <c r="O21" i="44"/>
  <c r="O38" i="44"/>
  <c r="O30" i="44"/>
  <c r="O16" i="44"/>
  <c r="O20" i="44"/>
  <c r="O45" i="44"/>
  <c r="O14" i="44"/>
  <c r="O42" i="44"/>
  <c r="O24" i="44"/>
  <c r="O26" i="44"/>
  <c r="O22" i="44"/>
  <c r="O36" i="44"/>
  <c r="O19" i="44"/>
  <c r="O39" i="44"/>
  <c r="O41" i="44"/>
  <c r="O9" i="44"/>
  <c r="F16" i="39" l="1"/>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Q37" i="42" l="1"/>
  <c r="Q2" i="32"/>
  <c r="P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7" i="4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I2" i="1"/>
  <c r="AJ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AA3" i="32" l="1"/>
  <c r="M32" i="32" l="1"/>
  <c r="M9" i="32"/>
  <c r="M23" i="32"/>
  <c r="M74" i="32"/>
  <c r="M99" i="32"/>
  <c r="M81" i="32"/>
  <c r="M87" i="32"/>
  <c r="M85" i="32"/>
  <c r="M95" i="32"/>
  <c r="M51" i="32"/>
  <c r="M18" i="32"/>
  <c r="M68" i="32"/>
  <c r="M15" i="32"/>
  <c r="M41" i="32"/>
  <c r="M13" i="32"/>
  <c r="M64" i="32"/>
  <c r="M79" i="32"/>
  <c r="M46" i="32"/>
  <c r="M37" i="32"/>
  <c r="M8" i="32"/>
  <c r="M69" i="32"/>
  <c r="M76" i="32"/>
  <c r="M10" i="32"/>
  <c r="M89" i="32"/>
  <c r="M45" i="32"/>
  <c r="M11" i="32"/>
  <c r="M90" i="32"/>
  <c r="M25" i="32"/>
  <c r="M16" i="32"/>
  <c r="M96" i="32"/>
  <c r="M4" i="32"/>
  <c r="M24" i="32"/>
  <c r="M94" i="32"/>
  <c r="M63" i="32"/>
  <c r="M61" i="32"/>
  <c r="M2" i="32"/>
  <c r="M77" i="32"/>
  <c r="M84" i="32"/>
  <c r="M3" i="32"/>
  <c r="M7" i="32"/>
  <c r="M39" i="32"/>
  <c r="M67" i="32"/>
  <c r="M12" i="32"/>
  <c r="M14" i="32"/>
  <c r="M5" i="32"/>
  <c r="M40" i="32"/>
  <c r="M17" i="32"/>
  <c r="M73" i="32"/>
  <c r="M22" i="32"/>
  <c r="M27" i="32"/>
  <c r="M34" i="32"/>
  <c r="M54" i="32"/>
  <c r="M100" i="32"/>
  <c r="M20" i="32"/>
  <c r="M60" i="32"/>
  <c r="M31" i="32"/>
  <c r="M36" i="32"/>
  <c r="M52" i="32"/>
  <c r="M75" i="32"/>
  <c r="M82" i="32"/>
  <c r="M92" i="32"/>
  <c r="M30" i="32"/>
  <c r="M97" i="32"/>
  <c r="M72" i="32"/>
  <c r="M93" i="32"/>
  <c r="M42" i="32"/>
  <c r="M57" i="32"/>
  <c r="M56" i="32"/>
  <c r="M71" i="32"/>
  <c r="M66" i="32"/>
  <c r="M47" i="32"/>
  <c r="M6" i="32"/>
  <c r="M19" i="32"/>
  <c r="M58" i="32"/>
  <c r="M65" i="32"/>
  <c r="M88" i="32"/>
  <c r="M50" i="32"/>
  <c r="M28" i="32"/>
  <c r="M26" i="32"/>
  <c r="M49" i="32"/>
  <c r="M55" i="32"/>
  <c r="M29" i="32"/>
  <c r="M70" i="32"/>
  <c r="M83" i="32"/>
  <c r="M35" i="32"/>
  <c r="M78" i="32"/>
  <c r="M62" i="32"/>
  <c r="M48" i="32"/>
  <c r="M38" i="32"/>
  <c r="M80" i="32"/>
  <c r="M53" i="32"/>
  <c r="M98" i="32"/>
  <c r="M44" i="32"/>
  <c r="M21" i="32"/>
  <c r="M91" i="32"/>
  <c r="M59" i="32"/>
  <c r="M43" i="32"/>
  <c r="M86" i="32"/>
  <c r="M33" i="32"/>
  <c r="V2"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M114" i="32"/>
  <c r="M116" i="32" s="1"/>
  <c r="M117" i="32" s="1"/>
  <c r="M115"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29" i="7" l="1"/>
  <c r="AE30" i="7"/>
  <c r="AE31" i="7"/>
  <c r="AE32" i="7"/>
  <c r="AE33" i="7"/>
  <c r="AE34" i="7"/>
  <c r="M3" i="15"/>
  <c r="B4" i="15"/>
  <c r="B5" i="15"/>
  <c r="K3" i="1"/>
  <c r="H4" i="15" l="1"/>
  <c r="B3" i="15"/>
  <c r="H2" i="15"/>
  <c r="AI1" i="1"/>
  <c r="AJ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4" xr16:uid="{F961D745-BB12-4E6A-93B1-DDDA9906DB75}" keepAlive="1" name="Consulta - apuestas_2024" description="Conexión a la consulta 'apuestas_2024' en el libro." type="5" refreshedVersion="8" background="1" saveData="1">
    <dbPr connection="Provider=Microsoft.Mashup.OleDb.1;Data Source=$Workbook$;Location=apuestas_2024;Extended Properties=&quot;&quot;" command="SELECT * FROM [apuestas_2024]"/>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D043EF0-29EB-49D8-B336-EA35CF775977}" keepAlive="1" name="Consulta - apuestas_oct24" description="Conexión a la consulta 'apuestas_oct24' en el libro." type="5" refreshedVersion="8" background="1" saveData="1">
    <dbPr connection="Provider=Microsoft.Mashup.OleDb.1;Data Source=$Workbook$;Location=apuestas_oct24;Extended Properties=&quot;&quot;" command="SELECT * FROM [apuestas_oct24]"/>
  </connection>
  <connection id="14"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5"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6"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7"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8"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9"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20"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1"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2"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3"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4"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5"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6"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7"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8"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9"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30"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1"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2" xr16:uid="{7BB66B36-1B05-4927-BF0E-AD770E50E200}" keepAlive="1" name="Consulta - omie_octubre" description="Conexión a la consulta 'omie_octubre' en el libro." type="5" refreshedVersion="8" background="1" saveData="1">
    <dbPr connection="Provider=Microsoft.Mashup.OleDb.1;Data Source=$Workbook$;Location=omie_octubre;Extended Properties=&quot;&quot;" command="SELECT * FROM [omie_octubre]"/>
  </connection>
  <connection id="33"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4"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5"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6" xr16:uid="{5C66E2B5-894D-467E-80BE-79865E6E72F1}"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7"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8"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9"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40"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1"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2"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3"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4" xr16:uid="{23E77798-FA77-4DD7-9FE8-295CFCABFABD}" keepAlive="1" name="Consulta - resultados_oct" description="Conexión a la consulta 'resultados_oct' en el libro." type="5" refreshedVersion="0" background="1">
    <dbPr connection="Provider=Microsoft.Mashup.OleDb.1;Data Source=$Workbook$;Location=resultados_oct;Extended Properties=&quot;&quot;" command="SELECT * FROM [resultados_oct]"/>
  </connection>
  <connection id="45"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6"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7"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8"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<sst xmlns="http://schemas.openxmlformats.org/spreadsheetml/2006/main" count="6957" uniqueCount="1160">
  <si>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</si>
  <si>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</si>
  <si>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</si>
  <si>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</si>
  <si>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</si>
  <si>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</si>
  <si>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</si>
  <si>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</si>
  <si>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</si>
  <si>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</si>
  <si>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</si>
  <si>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</si>
  <si>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</si>
  <si>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</si>
  <si>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</si>
  <si>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</si>
  <si>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</si>
  <si>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</si>
  <si>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</si>
  <si>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</si>
  <si>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</si>
  <si>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</si>
  <si>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</si>
  <si>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</si>
  <si>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</si>
  <si>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</si>
  <si>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</si>
  <si>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</si>
  <si>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</si>
  <si>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</si>
  <si>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</si>
  <si>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</si>
  <si>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</si>
  <si>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</si>
  <si>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</si>
  <si>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</si>
  <si>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</si>
  <si>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</si>
  <si>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</si>
  <si>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</si>
  <si>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</si>
  <si>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</si>
  <si>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</si>
  <si>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</si>
  <si>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</si>
  <si>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</si>
  <si>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</si>
  <si>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</si>
  <si>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</si>
  <si>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</si>
  <si>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</si>
  <si>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</si>
  <si>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</si>
  <si>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</si>
  <si>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</si>
  <si>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</si>
  <si>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</si>
  <si>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</si>
  <si>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</si>
  <si>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</si>
  <si>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</si>
  <si>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</si>
  <si>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</si>
  <si>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</si>
  <si>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</si>
  <si>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</si>
  <si>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</si>
  <si>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</si>
  <si>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</si>
  <si>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</si>
  <si>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</si>
  <si>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</si>
  <si>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</si>
  <si>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</si>
  <si>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</si>
  <si>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</si>
  <si>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</si>
  <si>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</si>
  <si>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</si>
  <si>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</si>
  <si>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</si>
  <si>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</si>
  <si>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</si>
  <si>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</si>
  <si>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</si>
  <si>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</si>
  <si>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</si>
  <si>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</si>
  <si>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</si>
  <si>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</si>
  <si>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</si>
  <si>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</si>
  <si>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</si>
  <si>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</si>
  <si>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</si>
  <si>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</si>
  <si>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</si>
  <si>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</si>
  <si>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</si>
  <si>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</si>
  <si>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</si>
  <si>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</si>
  <si>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</si>
  <si>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</si>
  <si>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</si>
  <si>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</si>
  <si>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</si>
  <si>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</si>
  <si>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</si>
  <si>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</si>
  <si>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</si>
  <si>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</si>
  <si>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</si>
  <si>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</si>
  <si>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</si>
  <si>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</si>
  <si>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</si>
  <si>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</si>
  <si>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</si>
  <si>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</si>
  <si>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</si>
  <si>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</si>
  <si>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</si>
  <si>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</si>
  <si>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</si>
  <si>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</si>
  <si>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</si>
  <si>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</si>
  <si>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</si>
  <si>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</si>
  <si>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</si>
  <si>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</si>
  <si>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</si>
  <si>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</si>
  <si>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</si>
  <si>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</si>
  <si>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</si>
  <si>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</si>
  <si>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</si>
  <si>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</si>
  <si>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</si>
  <si>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</si>
  <si>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</si>
  <si>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</si>
  <si>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</si>
  <si>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</si>
  <si>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</si>
  <si>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</si>
  <si>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</si>
  <si>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</si>
  <si>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</si>
  <si>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</si>
  <si>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</si>
  <si>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</si>
  <si>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</si>
  <si>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</si>
  <si>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</si>
  <si>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</si>
  <si>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</si>
  <si>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</si>
  <si>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</si>
  <si>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</si>
  <si>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</si>
  <si>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</si>
  <si>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</si>
  <si>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</si>
  <si>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</si>
  <si>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</si>
  <si>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</si>
  <si>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</si>
  <si>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</si>
  <si>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</si>
  <si>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</si>
  <si>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</si>
  <si>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</si>
  <si>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</si>
  <si>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</si>
  <si>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</si>
  <si>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</si>
  <si>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</si>
  <si>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</si>
  <si>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</si>
  <si>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</si>
  <si>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</si>
  <si>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</si>
  <si>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</si>
  <si>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</si>
  <si>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</si>
  <si>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</si>
  <si>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</si>
  <si>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</si>
  <si>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</si>
  <si>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</si>
  <si>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</si>
  <si>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</si>
  <si>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</si>
  <si>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</si>
  <si>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</si>
  <si>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</si>
  <si>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</si>
  <si>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</si>
  <si>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</si>
  <si>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</si>
  <si>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</si>
  <si>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</si>
  <si>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</si>
  <si>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</si>
  <si>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</si>
  <si>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</si>
  <si>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</si>
  <si>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</si>
  <si>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</si>
  <si>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</si>
  <si>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</si>
  <si>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</si>
  <si>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</si>
  <si>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</si>
  <si>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</si>
  <si>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</si>
  <si>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</si>
  <si>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</si>
  <si>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</si>
  <si>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</si>
  <si>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</si>
  <si>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</si>
  <si>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</si>
  <si>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</si>
  <si>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</si>
  <si>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</si>
  <si>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</si>
  <si>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</si>
  <si>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</si>
  <si>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</si>
  <si>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</si>
  <si>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</si>
  <si>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</si>
  <si>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</si>
  <si>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</si>
  <si>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</si>
  <si>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</si>
  <si>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</si>
  <si>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</si>
  <si>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</si>
  <si>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</si>
  <si>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</si>
  <si>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</si>
  <si>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</si>
  <si>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</si>
  <si>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</si>
  <si>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</si>
  <si>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</si>
  <si>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</si>
  <si>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</si>
  <si>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</si>
  <si>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</si>
  <si>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</si>
  <si>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</si>
  <si>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</si>
  <si>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</si>
  <si>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</si>
  <si>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</si>
  <si>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</si>
  <si>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</si>
  <si>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</si>
  <si>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</si>
  <si>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</si>
  <si>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</si>
  <si>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</si>
  <si>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</si>
  <si>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</si>
  <si>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</si>
  <si>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</si>
  <si>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</si>
  <si>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</si>
  <si>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</si>
  <si>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</si>
  <si>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</si>
  <si>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</si>
  <si>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</si>
  <si>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</si>
  <si>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</si>
  <si>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</si>
  <si>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</si>
  <si>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</si>
  <si>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</si>
  <si>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</si>
  <si>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</si>
  <si>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</si>
  <si>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</si>
  <si>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</si>
  <si>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</si>
  <si>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</si>
  <si>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</si>
  <si>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</si>
  <si>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</si>
  <si>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</si>
  <si>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</si>
  <si>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</si>
  <si>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</si>
  <si>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</si>
  <si>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</si>
  <si>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</si>
  <si>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</si>
  <si>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</si>
  <si>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</si>
  <si>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</si>
  <si>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</si>
  <si>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</si>
  <si>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</si>
  <si>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</si>
  <si>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</si>
  <si>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</si>
  <si>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</si>
  <si>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</si>
  <si>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</si>
  <si>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</si>
  <si>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</si>
  <si>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</si>
  <si>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</si>
  <si>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</si>
  <si>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</si>
  <si>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</si>
  <si>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</si>
  <si>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</si>
  <si>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</si>
  <si>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</si>
  <si>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</si>
  <si>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</si>
  <si>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</si>
  <si>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</si>
  <si>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</si>
  <si>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</si>
  <si>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</si>
  <si>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</si>
  <si>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</si>
  <si>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</si>
  <si>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</si>
  <si>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</si>
  <si>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</si>
  <si>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</si>
  <si>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</si>
  <si>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</si>
  <si>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</si>
  <si>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</si>
  <si>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</si>
  <si>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</si>
  <si>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</si>
  <si>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</si>
  <si>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</si>
  <si>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</si>
  <si>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</si>
  <si>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</si>
  <si>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</si>
  <si>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</si>
  <si>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</si>
  <si>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</si>
  <si>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</si>
  <si>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</si>
  <si>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</si>
  <si>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</si>
  <si>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</si>
  <si>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</si>
  <si>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</si>
  <si>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</si>
  <si>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</si>
  <si>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</si>
  <si>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</si>
  <si>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</si>
  <si>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</si>
  <si>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</si>
  <si>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</si>
  <si>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</si>
  <si>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</si>
  <si>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</si>
  <si>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</si>
  <si>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</si>
  <si>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</si>
  <si>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</si>
  <si>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</si>
  <si>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</si>
  <si>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</si>
  <si>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</si>
  <si>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</si>
  <si>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</si>
  <si>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</si>
  <si>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</si>
  <si>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</si>
  <si>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</si>
  <si>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</si>
  <si>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</si>
  <si>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</si>
  <si>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</si>
  <si>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</si>
  <si>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</si>
  <si>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</si>
  <si>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</si>
  <si>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</si>
  <si>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</si>
  <si>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</si>
  <si>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</si>
  <si>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</si>
  <si>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</si>
  <si>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</si>
  <si>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</si>
  <si>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</si>
  <si>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</si>
  <si>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</si>
  <si>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</si>
  <si>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</si>
  <si>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</si>
  <si>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</si>
  <si>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</si>
  <si>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</si>
  <si>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</si>
  <si>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</si>
  <si>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</si>
  <si>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</si>
  <si>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</si>
  <si>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</si>
  <si>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</si>
  <si>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</si>
  <si>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</si>
  <si>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</si>
  <si>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</si>
  <si>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</si>
  <si>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</si>
  <si>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</si>
  <si>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</si>
  <si>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</si>
  <si>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</si>
  <si>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</si>
  <si>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</si>
  <si>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</si>
  <si>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</si>
  <si>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</si>
  <si>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</si>
  <si>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</si>
  <si>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</si>
  <si>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</si>
  <si>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</si>
  <si>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</si>
  <si>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</si>
  <si>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</si>
  <si>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</si>
  <si>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</si>
  <si>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</si>
  <si>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</si>
  <si>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</si>
  <si>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</si>
  <si>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</si>
  <si>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</si>
  <si>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</si>
  <si>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</si>
  <si>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</si>
  <si>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</si>
  <si>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</si>
  <si>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</si>
  <si>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</si>
  <si>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</si>
  <si>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</si>
  <si>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</si>
  <si>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</si>
  <si>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</si>
  <si>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</si>
  <si>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</si>
  <si>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</si>
  <si>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</si>
  <si>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</si>
  <si>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</si>
  <si>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</si>
  <si>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</si>
  <si>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</si>
  <si>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</si>
  <si>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</si>
  <si>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</si>
  <si>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</si>
  <si>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</si>
  <si>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</si>
  <si>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</si>
  <si>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</si>
  <si>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</si>
  <si>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</si>
  <si>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</si>
  <si>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</si>
  <si>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</si>
  <si>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</si>
  <si>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</si>
  <si>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</si>
  <si>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</si>
  <si>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</si>
  <si>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</si>
  <si>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</si>
  <si>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</si>
  <si>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</si>
  <si>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</si>
  <si>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</si>
  <si>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</si>
  <si>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</si>
  <si>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</si>
  <si>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</si>
  <si>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</si>
  <si>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</si>
  <si>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</si>
  <si>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</si>
  <si>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</si>
  <si>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</si>
  <si>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</si>
  <si>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</si>
  <si>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</si>
  <si>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</si>
  <si>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</si>
  <si>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</si>
  <si>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</si>
  <si>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</si>
  <si>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</si>
  <si>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</si>
  <si>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</si>
  <si>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</si>
  <si>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</si>
  <si>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</si>
  <si>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</si>
  <si>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</si>
  <si>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</si>
  <si>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</si>
  <si>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</si>
  <si>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</si>
  <si>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</si>
  <si>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</si>
  <si>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</si>
  <si>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</si>
  <si>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</si>
  <si>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</si>
  <si>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</si>
  <si>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</si>
  <si>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</si>
  <si>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</si>
  <si>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</si>
  <si>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</si>
  <si>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</si>
  <si>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</si>
  <si>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</si>
  <si>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</si>
  <si>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</si>
  <si>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</si>
  <si>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</si>
  <si>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</si>
  <si>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</si>
  <si>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</si>
  <si>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</si>
  <si>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</si>
  <si>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</si>
  <si>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</si>
  <si>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</si>
  <si>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</si>
  <si>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</si>
  <si>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</si>
  <si>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</si>
  <si>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</si>
  <si>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</si>
  <si>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</si>
  <si>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</si>
  <si>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</si>
  <si>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</si>
  <si>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</si>
  <si>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</si>
  <si>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</si>
  <si>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</si>
  <si>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</si>
  <si>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</si>
  <si>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</si>
  <si>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</si>
  <si>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</si>
  <si>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</si>
  <si>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</si>
  <si>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</si>
  <si>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</si>
  <si>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</si>
  <si>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</si>
  <si>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</si>
  <si>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</si>
  <si>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</si>
  <si>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</si>
  <si>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</si>
  <si>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</si>
  <si>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</si>
  <si>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</si>
  <si>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</si>
  <si>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</si>
  <si>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</si>
  <si>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</si>
  <si>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</si>
  <si>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</si>
  <si>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</si>
  <si>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</si>
  <si>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</si>
  <si>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</si>
  <si>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</si>
  <si>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</si>
  <si>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</si>
  <si>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</si>
  <si>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</si>
  <si>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</si>
  <si>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</si>
  <si>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</si>
  <si>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</si>
  <si>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</si>
  <si>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</si>
  <si>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</si>
  <si>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</si>
  <si>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</si>
  <si>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</si>
  <si>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</si>
  <si>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</si>
  <si>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</si>
  <si>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</si>
  <si>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</si>
  <si>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</si>
  <si>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</si>
  <si>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</si>
  <si>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</si>
  <si>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</si>
  <si>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</si>
  <si>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</si>
  <si>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</si>
  <si>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</si>
  <si>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</si>
  <si>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</si>
  <si>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</si>
  <si>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</si>
  <si>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</si>
  <si>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</si>
  <si>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</si>
  <si>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</si>
  <si>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</si>
  <si>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</si>
  <si>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</si>
  <si>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</si>
  <si>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</si>
  <si>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</si>
  <si>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</si>
  <si>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</si>
  <si>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</si>
  <si>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</si>
  <si>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</si>
  <si>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</si>
  <si>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</si>
  <si>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</si>
  <si>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</si>
  <si>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</si>
  <si>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</si>
  <si>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</si>
  <si>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</si>
  <si>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</si>
  <si>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</si>
  <si>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</si>
  <si>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</si>
  <si>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</si>
  <si>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</si>
  <si>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</si>
  <si>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</si>
  <si>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</si>
  <si>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</si>
  <si>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</si>
  <si>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</si>
  <si>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</si>
  <si>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</si>
  <si>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</si>
  <si>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</si>
  <si>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</si>
  <si>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</si>
  <si>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</si>
  <si>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</si>
  <si>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</si>
  <si>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</si>
  <si>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</si>
  <si>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</si>
  <si>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</si>
  <si>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</si>
  <si>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</si>
  <si>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</si>
  <si>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</si>
  <si>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</si>
  <si>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</si>
  <si>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</si>
  <si>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</si>
  <si>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</si>
  <si>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</si>
  <si>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</si>
  <si>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</si>
  <si>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</si>
  <si>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</si>
  <si>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</si>
  <si>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</si>
  <si>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</si>
  <si>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</si>
  <si>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</si>
  <si>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</si>
  <si>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</si>
  <si>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</si>
  <si>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</si>
  <si>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</si>
  <si>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</si>
  <si>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</si>
  <si>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</si>
  <si>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</si>
  <si>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</si>
  <si>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</si>
  <si>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</si>
  <si>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</si>
  <si>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</si>
  <si>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</si>
  <si>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</si>
  <si>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</si>
  <si>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</si>
  <si>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</si>
  <si>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</si>
  <si>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</si>
  <si>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</si>
  <si>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</si>
  <si>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</si>
  <si>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</si>
  <si>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</si>
  <si>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</si>
  <si>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</si>
  <si>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</si>
  <si>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</si>
  <si>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</si>
  <si>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</si>
  <si>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</si>
  <si>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</si>
  <si>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</si>
  <si>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</si>
  <si>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</si>
  <si>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</si>
  <si>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</si>
  <si>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</si>
  <si>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</si>
  <si>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</si>
  <si>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</si>
  <si>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</si>
  <si>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</si>
  <si>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</si>
  <si>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</si>
  <si>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</si>
  <si>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</si>
  <si>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</si>
  <si>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</si>
  <si>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</si>
  <si>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</si>
  <si>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</si>
  <si>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</si>
  <si>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</si>
  <si>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</si>
  <si>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</si>
  <si>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</si>
  <si>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</si>
  <si>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</si>
  <si>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</si>
  <si>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</si>
  <si>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</si>
  <si>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</si>
  <si>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</si>
  <si>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</si>
  <si>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</si>
  <si>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</si>
  <si>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</si>
  <si>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</si>
  <si>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</si>
  <si>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</si>
  <si>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</si>
  <si>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</si>
  <si>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</si>
  <si>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</si>
  <si>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</si>
  <si>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</si>
  <si>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</si>
  <si>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</si>
  <si>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</si>
  <si>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</si>
  <si>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</si>
  <si>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</si>
  <si>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</si>
  <si>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</si>
  <si>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</si>
  <si>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</si>
  <si>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</si>
  <si>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</si>
  <si>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</si>
  <si>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</si>
  <si>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</si>
  <si>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</si>
  <si>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</si>
  <si>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</si>
  <si>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</si>
  <si>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</si>
  <si>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</si>
  <si>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</si>
  <si>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</si>
  <si>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</si>
  <si>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</si>
  <si>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</si>
  <si>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</si>
  <si>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</si>
  <si>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</si>
  <si>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</si>
  <si>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</si>
  <si>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</si>
  <si>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</si>
  <si>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</si>
  <si>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</si>
  <si>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</si>
  <si>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</si>
  <si>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</si>
  <si>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</si>
  <si>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</si>
  <si>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</si>
  <si>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</si>
  <si>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</si>
  <si>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</si>
  <si>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</si>
  <si>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</si>
  <si>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</si>
  <si>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</si>
  <si>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</si>
  <si>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</si>
  <si>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</si>
  <si>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</si>
  <si>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</si>
  <si>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</si>
  <si>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</si>
  <si>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</si>
  <si>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</si>
  <si>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</si>
  <si>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</si>
  <si>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</si>
  <si>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</si>
  <si>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</si>
  <si>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</si>
  <si>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</si>
  <si>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</si>
  <si>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</si>
  <si>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</si>
  <si>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</si>
  <si>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</si>
  <si>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</si>
  <si>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</si>
  <si>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</si>
  <si>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</si>
  <si>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</si>
  <si>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</si>
  <si>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</si>
  <si>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</si>
  <si>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</si>
  <si>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</si>
  <si>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</si>
  <si>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</si>
  <si>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</si>
  <si>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</si>
  <si>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</si>
  <si>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</si>
  <si>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</si>
  <si>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</si>
  <si>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</si>
  <si>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</si>
  <si>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</si>
  <si>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</si>
  <si>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</si>
  <si>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</si>
  <si>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</si>
  <si>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</si>
  <si>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</si>
  <si>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</si>
  <si>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</si>
  <si>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</si>
  <si>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</si>
  <si>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</si>
  <si>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</si>
  <si>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</si>
  <si>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</si>
  <si>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</si>
  <si>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</si>
  <si>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</si>
  <si>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</si>
  <si>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</si>
  <si>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</si>
  <si>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</si>
  <si>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</si>
  <si>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</si>
  <si>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</si>
  <si>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</si>
  <si>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</si>
  <si>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</si>
  <si>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</si>
  <si>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</si>
  <si>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</si>
  <si>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</si>
  <si>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</si>
  <si>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</si>
  <si>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</si>
  <si>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</si>
  <si>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</si>
  <si>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</si>
  <si>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</si>
  <si>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</si>
  <si>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</si>
  <si>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</si>
  <si>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</si>
  <si>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</si>
  <si>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</si>
  <si>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</si>
  <si>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</si>
  <si>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</si>
  <si>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</si>
  <si>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</si>
  <si>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</si>
  <si>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</si>
  <si>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</si>
  <si>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</si>
  <si>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</si>
  <si>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</si>
  <si>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</si>
  <si>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</si>
  <si>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</si>
  <si>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</si>
  <si>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</si>
  <si>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</si>
  <si>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</si>
  <si>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</si>
  <si>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</si>
  <si>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</si>
  <si>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</si>
  <si>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</si>
  <si>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</si>
  <si>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</si>
  <si>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</si>
  <si>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</si>
  <si>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</si>
  <si>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</si>
  <si>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</si>
  <si>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</si>
  <si>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</si>
  <si>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</si>
  <si>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</si>
  <si>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</si>
  <si>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</si>
  <si>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</si>
  <si>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</si>
  <si>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</si>
  <si>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</si>
  <si>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</si>
  <si>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</si>
  <si>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</si>
  <si>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</si>
  <si>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</si>
  <si>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</si>
  <si>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</si>
  <si>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</si>
  <si>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</si>
  <si>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</si>
  <si>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</si>
  <si>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</si>
  <si>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</si>
  <si>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</si>
  <si>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</si>
  <si>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</si>
  <si>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</si>
  <si>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</si>
  <si>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</si>
  <si>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</si>
  <si>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</si>
  <si>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</si>
  <si>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</si>
  <si>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</si>
  <si>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</si>
  <si>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</si>
  <si>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</si>
  <si>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</si>
  <si>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</si>
  <si>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</si>
  <si>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</si>
  <si>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</si>
  <si>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</si>
  <si>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</si>
  <si>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</si>
  <si>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</si>
  <si>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</si>
  <si>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</si>
  <si>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</si>
  <si>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</si>
  <si>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</si>
  <si>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</si>
  <si>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</si>
  <si>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</si>
  <si>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</si>
  <si>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</si>
  <si>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</si>
  <si>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</si>
  <si>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</si>
  <si>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</si>
  <si>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</si>
  <si>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</si>
  <si>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</si>
  <si>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</si>
  <si>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</si>
  <si>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</si>
  <si>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</si>
  <si>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</si>
  <si>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</si>
  <si>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</si>
  <si>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</si>
  <si>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</si>
  <si>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</si>
  <si>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</si>
  <si>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</si>
  <si>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</si>
  <si>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</si>
  <si>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</si>
  <si>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</si>
  <si>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</si>
  <si>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</si>
  <si>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</si>
  <si>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</si>
  <si>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</si>
  <si>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</si>
  <si>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</si>
  <si>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</si>
  <si>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</si>
  <si>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</si>
  <si>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</si>
  <si>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</si>
  <si>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</si>
  <si>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</si>
  <si>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</si>
  <si>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</si>
  <si>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</si>
  <si>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</si>
  <si>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</si>
  <si>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</si>
  <si>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</si>
  <si>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</si>
  <si>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</si>
  <si>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</si>
  <si>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</si>
  <si>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</si>
  <si>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</si>
  <si>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</si>
  <si>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</si>
  <si>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</si>
  <si>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</si>
  <si>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</si>
  <si>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</si>
  <si>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</si>
  <si>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</si>
  <si>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</si>
  <si>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</si>
  <si>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</si>
  <si>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</si>
  <si>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</si>
  <si>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</si>
  <si>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</si>
  <si>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</si>
  <si>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</si>
  <si>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</si>
  <si>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</si>
  <si>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</si>
  <si>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</si>
  <si>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</si>
  <si>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</si>
  <si>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</si>
  <si>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</si>
  <si>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</si>
  <si>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</si>
  <si>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</si>
  <si>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</si>
  <si>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</si>
  <si>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</si>
  <si>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</si>
  <si>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</si>
  <si>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</si>
  <si>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</si>
  <si>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</si>
  <si>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</si>
  <si>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</si>
  <si>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</si>
  <si>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</si>
  <si>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</si>
  <si>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</si>
  <si>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</si>
  <si>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</si>
  <si>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</si>
  <si>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</si>
  <si>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</si>
  <si>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</si>
  <si>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</si>
  <si>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</si>
  <si>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</si>
  <si>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</si>
  <si>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</si>
  <si>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</si>
  <si>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</si>
  <si>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</si>
  <si>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</si>
  <si>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</si>
  <si>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Josep Vidal</t>
  </si>
  <si>
    <t>Jagoba Riveiro Zafra</t>
  </si>
  <si>
    <t>Jose Manuel Otero Lopez</t>
  </si>
  <si>
    <t>Ruben Sanjuan Escribano</t>
  </si>
  <si>
    <t>SEPTIEMBRE</t>
  </si>
  <si>
    <t>SEPTIEMBRE 2024</t>
  </si>
  <si>
    <t>Zona StarPower probable</t>
  </si>
  <si>
    <t>Zona StarPower posible</t>
  </si>
  <si>
    <t>#N/A</t>
  </si>
  <si>
    <t>Oct 2024</t>
  </si>
  <si>
    <t>Javier Sáez</t>
  </si>
  <si>
    <t>Tengo la bola de cristal... :)</t>
  </si>
  <si>
    <t>Javier Saez</t>
  </si>
  <si>
    <t>Análisis de futurosy pasados, salpimentado con bolsa de cristal</t>
  </si>
  <si>
    <t>Algún día acertaré y cuando me de por estudiar el mercado eléctrico, igual quedo entre los 20 primeros</t>
  </si>
  <si>
    <t>Pablo Suárez Sebastián</t>
  </si>
  <si>
    <t>Pablo Suárez</t>
  </si>
  <si>
    <t>En octubre espero varios cambios. Demanda algo inferior, y eólica generalmente superior pero este septiembre ha hecho mucho viento con que espero un incremento medio de 0,5-1GW adicional, que se compensa casi con la menor solar. O sea que renovables sólo algo superiores a septiembre. Por parte del gas, espero ligera subida respecto a septiembre. El efecto neto, espero algo más alto que en septiembre, hasta los 77,2€/MWh. Rango probable +/-4€, y posible hasta +/-10€. Veo a OMIP infraestimando ligeramente en esta ocasión.</t>
  </si>
  <si>
    <t>Jorge Gonzalez Arconada</t>
  </si>
  <si>
    <t>mis previsiones eran muy optimistas por lo que veo, lanzo octubre un poco mas de lo que puse en septiembre por que espero que siga bajando, pero me quede muy corto en septiembre.</t>
  </si>
  <si>
    <t>jorge koneqta</t>
  </si>
  <si>
    <t>Si empieza el viento y la hidro en máximos de hace 10 años, los precios bajarán muchos más.</t>
  </si>
  <si>
    <t>Rafael Tejada Tejada Bonilla</t>
  </si>
  <si>
    <t>Cristoauditor Monasor Merino</t>
  </si>
  <si>
    <t>Pura potra</t>
  </si>
  <si>
    <t>Cristo</t>
  </si>
  <si>
    <t>Todo apuntaba a precios altos en septiembre, todo lo contrario ha sido y gracias a la inestabilidad meteorológica que seguirá en octubre y posiblemente en noviembre. Los temporales se descuelgan del atlántico norte y nos están afectando bastante, los embalses se seguirán llenando y los aerogeneradores dale que te pego. Aprovecho para hacer un llamamiento a la dirección para que se amplíe los comensales del evento final, yo me pagaré la comida o la cena pero no me gustaría perdérmela por nada de este mundo.</t>
  </si>
  <si>
    <t>Perdón por llegar tarde!</t>
  </si>
  <si>
    <t>Victor Baeschlin Sanchez</t>
  </si>
  <si>
    <t>Mi apuesta es de esta vez al 6...es Octubre, buen mes para aire y lluvia 😂🤣💪</t>
  </si>
  <si>
    <t>arreu</t>
  </si>
  <si>
    <t>Ya es momento que la eólica y la hidráulica empiecen a hacer de las suyas.</t>
  </si>
  <si>
    <t>Diego Montesino</t>
  </si>
  <si>
    <t>Faro</t>
  </si>
  <si>
    <t>Alfonso Zárate Zárate Conde</t>
  </si>
  <si>
    <t>octubre</t>
  </si>
  <si>
    <t>OCTUBRE</t>
  </si>
  <si>
    <t>OCTUBRE 2024</t>
  </si>
  <si>
    <t>Cristoauditor</t>
  </si>
  <si>
    <t>monasor merino</t>
  </si>
  <si>
    <t>Diego</t>
  </si>
  <si>
    <t>Montesino</t>
  </si>
  <si>
    <t>Sáez</t>
  </si>
  <si>
    <t>Suárez Sebastián</t>
  </si>
  <si>
    <t>ene-24</t>
  </si>
  <si>
    <t>feb-24</t>
  </si>
  <si>
    <t>mar-24</t>
  </si>
  <si>
    <t>abr-24</t>
  </si>
  <si>
    <t>may-24</t>
  </si>
  <si>
    <t>jun-24</t>
  </si>
  <si>
    <t>jul-24</t>
  </si>
  <si>
    <t>ago-24</t>
  </si>
  <si>
    <t>sep-24</t>
  </si>
  <si>
    <t>oct-24</t>
  </si>
  <si>
    <t>omip M-1</t>
  </si>
  <si>
    <t xml:space="preserve">viene de la powerapp </t>
  </si>
  <si>
    <t>margen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</si>
</sst>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9">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1" fontId="0" fillId="11" borderId="0" xfId="0" applyNumberFormat="1" applyFill="1" applyAlignment="1">
      <alignment horizontal="center"/>
    </xf>
    <xf numFmtId="1" fontId="1" fillId="0" borderId="0" xfId="0" applyNumberFormat="1" applyFont="1" applyAlignment="1">
      <alignment horizontal="center"/>
    </xf>
    <xf numFmtId="1" fontId="10" fillId="0" borderId="0" xfId="0" applyNumberFormat="1" applyFont="1"/>
    <xf numFmtId="1" fontId="0" fillId="0" borderId="0" xfId="0" applyNumberFormat="1"/>
    <xf numFmtId="2" fontId="1" fillId="0" borderId="0" xfId="0" applyNumberFormat="1" applyFont="1" applyAlignment="1">
      <alignment horizontal="center"/>
    </xf>
    <xf numFmtId="9" fontId="0" fillId="4" borderId="0" xfId="0" applyNumberFormat="1" applyFill="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cellXfs>
  <cellStyles count="2">
    <cellStyle name="Normal" xfId="0" builtinId="0"/>
    <cellStyle name="Porcentaje" xfId="1" builtinId="5"/>
  </cellStyles>
  <dxfs count="277">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 formatCode="0"/>
      <alignment horizontal="center" vertical="bottom" textRotation="0" wrapText="0" indent="0" justifyLastLine="0" shrinkToFit="0" readingOrder="0"/>
    </dxf>
    <dxf>
      <font>
        <strike val="0"/>
        <outline val="0"/>
        <shadow val="0"/>
        <u val="none"/>
        <vertAlign val="baseline"/>
        <sz val="9"/>
        <color auto="1"/>
        <name val="Arial"/>
        <family val="2"/>
        <scheme val="none"/>
      </font>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dxf>
    <dxf>
      <numFmt numFmtId="19" formatCode="dd/mm/yyyy"/>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9.xml"/><Relationship Id="rId1" Type="http://schemas.microsoft.com/office/2011/relationships/chartStyle" Target="style59.xml"/></Relationships>
</file>

<file path=xl/charts/_rels/chart7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82.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62.xml"/><Relationship Id="rId1" Type="http://schemas.microsoft.com/office/2011/relationships/chartStyle" Target="style62.xml"/></Relationships>
</file>

<file path=xl/charts/_rels/chart83.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63.xml"/><Relationship Id="rId1" Type="http://schemas.microsoft.com/office/2011/relationships/chartStyle" Target="style63.xml"/></Relationships>
</file>

<file path=xl/charts/_rels/chart84.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65.xml"/><Relationship Id="rId1" Type="http://schemas.microsoft.com/office/2011/relationships/chartStyle" Target="style65.xml"/></Relationships>
</file>

<file path=xl/charts/_rels/chart85.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66.xml"/><Relationship Id="rId1" Type="http://schemas.microsoft.com/office/2011/relationships/chartStyle" Target="style66.xml"/></Relationships>
</file>

<file path=xl/charts/_rels/chartEx1.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66.540000000000006</c:v>
                </c:pt>
                <c:pt idx="1">
                  <c:v>66.540000000000006</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66.540000000000006</c:v>
                </c:pt>
                <c:pt idx="1">
                  <c:v>66.540000000000006</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gauss!$C$3:$C$43</c:f>
              <c:numCache>
                <c:formatCode>General</c:formatCode>
                <c:ptCount val="41"/>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66.540000000000006</c:v>
                </c:pt>
                <c:pt idx="1">
                  <c:v>66.540000000000006</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66.540000000000006</c:v>
                </c:pt>
                <c:pt idx="1">
                  <c:v>66.540000000000006</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pt idx="19">
                  <c:v>39.049999999999983</c:v>
                </c:pt>
                <c:pt idx="20">
                  <c:v>39.409999999999975</c:v>
                </c:pt>
                <c:pt idx="21">
                  <c:v>39.610000000000007</c:v>
                </c:pt>
                <c:pt idx="22">
                  <c:v>40.419999999999987</c:v>
                </c:pt>
                <c:pt idx="23">
                  <c:v>41.159999999999975</c:v>
                </c:pt>
                <c:pt idx="24">
                  <c:v>42.070000000000022</c:v>
                </c:pt>
              </c:numCache>
            </c:numRef>
          </c:val>
          <c:smooth val="0"/>
          <c:extLst>
            <c:ext xmlns:c16="http://schemas.microsoft.com/office/drawing/2014/chart" uri="{C3380CC4-5D6E-409C-BE32-E72D297353CC}">
              <c16:uniqueId val="{00000000-19BE-482C-AF60-53A9D5FF2FF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39.700000000000003</c:v>
                </c:pt>
                <c:pt idx="1">
                  <c:v>39.700000000000003</c:v>
                </c:pt>
                <c:pt idx="2">
                  <c:v>39.700000000000003</c:v>
                </c:pt>
                <c:pt idx="3">
                  <c:v>39.700000000000003</c:v>
                </c:pt>
                <c:pt idx="4">
                  <c:v>39.700000000000003</c:v>
                </c:pt>
                <c:pt idx="5">
                  <c:v>39.700000000000003</c:v>
                </c:pt>
                <c:pt idx="6">
                  <c:v>39.700000000000003</c:v>
                </c:pt>
                <c:pt idx="7">
                  <c:v>39.700000000000003</c:v>
                </c:pt>
                <c:pt idx="8">
                  <c:v>39.700000000000003</c:v>
                </c:pt>
                <c:pt idx="9">
                  <c:v>39.700000000000003</c:v>
                </c:pt>
                <c:pt idx="10">
                  <c:v>39.700000000000003</c:v>
                </c:pt>
                <c:pt idx="11">
                  <c:v>39.700000000000003</c:v>
                </c:pt>
                <c:pt idx="12">
                  <c:v>39.700000000000003</c:v>
                </c:pt>
                <c:pt idx="13">
                  <c:v>39.700000000000003</c:v>
                </c:pt>
                <c:pt idx="14">
                  <c:v>39.700000000000003</c:v>
                </c:pt>
                <c:pt idx="15">
                  <c:v>39.700000000000003</c:v>
                </c:pt>
                <c:pt idx="16">
                  <c:v>39.700000000000003</c:v>
                </c:pt>
                <c:pt idx="17">
                  <c:v>39.700000000000003</c:v>
                </c:pt>
                <c:pt idx="18">
                  <c:v>39.700000000000003</c:v>
                </c:pt>
                <c:pt idx="19">
                  <c:v>39.700000000000003</c:v>
                </c:pt>
                <c:pt idx="20">
                  <c:v>39.700000000000003</c:v>
                </c:pt>
                <c:pt idx="21">
                  <c:v>39.700000000000003</c:v>
                </c:pt>
                <c:pt idx="22">
                  <c:v>39.700000000000003</c:v>
                </c:pt>
                <c:pt idx="23">
                  <c:v>39.700000000000003</c:v>
                </c:pt>
                <c:pt idx="24">
                  <c:v>39.700000000000003</c:v>
                </c:pt>
                <c:pt idx="25">
                  <c:v>39.700000000000003</c:v>
                </c:pt>
                <c:pt idx="26">
                  <c:v>39.700000000000003</c:v>
                </c:pt>
                <c:pt idx="27">
                  <c:v>39.700000000000003</c:v>
                </c:pt>
                <c:pt idx="28">
                  <c:v>39.700000000000003</c:v>
                </c:pt>
                <c:pt idx="29">
                  <c:v>39.700000000000003</c:v>
                </c:pt>
              </c:numCache>
            </c:numRef>
          </c:val>
          <c:smooth val="0"/>
          <c:extLst>
            <c:ext xmlns:c16="http://schemas.microsoft.com/office/drawing/2014/chart" uri="{C3380CC4-5D6E-409C-BE32-E72D297353CC}">
              <c16:uniqueId val="{00000001-19BE-482C-AF60-53A9D5FF2FF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9BE-482C-AF60-53A9D5FF2FF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70.959999999999994</c:v>
                </c:pt>
                <c:pt idx="1">
                  <c:v>63.16</c:v>
                </c:pt>
                <c:pt idx="2">
                  <c:v>58.13</c:v>
                </c:pt>
                <c:pt idx="3">
                  <c:v>53.32</c:v>
                </c:pt>
                <c:pt idx="4">
                  <c:v>51.48</c:v>
                </c:pt>
                <c:pt idx="5">
                  <c:v>55.1</c:v>
                </c:pt>
                <c:pt idx="6">
                  <c:v>67.08</c:v>
                </c:pt>
                <c:pt idx="7">
                  <c:v>83.93</c:v>
                </c:pt>
                <c:pt idx="8">
                  <c:v>98.46</c:v>
                </c:pt>
                <c:pt idx="9">
                  <c:v>82.19</c:v>
                </c:pt>
                <c:pt idx="10">
                  <c:v>63.89</c:v>
                </c:pt>
                <c:pt idx="11">
                  <c:v>48.1</c:v>
                </c:pt>
                <c:pt idx="12">
                  <c:v>40.49</c:v>
                </c:pt>
                <c:pt idx="13">
                  <c:v>36.14</c:v>
                </c:pt>
                <c:pt idx="14">
                  <c:v>32.83</c:v>
                </c:pt>
                <c:pt idx="15">
                  <c:v>31.78</c:v>
                </c:pt>
                <c:pt idx="16">
                  <c:v>35.520000000000003</c:v>
                </c:pt>
                <c:pt idx="17">
                  <c:v>50.13</c:v>
                </c:pt>
                <c:pt idx="18">
                  <c:v>76</c:v>
                </c:pt>
                <c:pt idx="19">
                  <c:v>104.95</c:v>
                </c:pt>
                <c:pt idx="20">
                  <c:v>118.02</c:v>
                </c:pt>
                <c:pt idx="21">
                  <c:v>106.56</c:v>
                </c:pt>
                <c:pt idx="22">
                  <c:v>88.24</c:v>
                </c:pt>
                <c:pt idx="23">
                  <c:v>80.42</c:v>
                </c:pt>
              </c:numCache>
            </c:numRef>
          </c:val>
          <c:smooth val="0"/>
          <c:extLst>
            <c:ext xmlns:c16="http://schemas.microsoft.com/office/drawing/2014/chart" uri="{C3380CC4-5D6E-409C-BE32-E72D297353CC}">
              <c16:uniqueId val="{00000000-B393-4A59-940C-B2F4CC30BA49}"/>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53.07</c:v>
                </c:pt>
                <c:pt idx="2">
                  <c:v>35.42</c:v>
                </c:pt>
                <c:pt idx="3">
                  <c:v>36.020000000000003</c:v>
                </c:pt>
                <c:pt idx="4">
                  <c:v>37.61</c:v>
                </c:pt>
                <c:pt idx="5">
                  <c:v>41.42</c:v>
                </c:pt>
                <c:pt idx="6">
                  <c:v>58.32</c:v>
                </c:pt>
                <c:pt idx="7">
                  <c:v>75.67</c:v>
                </c:pt>
                <c:pt idx="8">
                  <c:v>59.56</c:v>
                </c:pt>
                <c:pt idx="9">
                  <c:v>72.73</c:v>
                </c:pt>
                <c:pt idx="10">
                  <c:v>53.37</c:v>
                </c:pt>
                <c:pt idx="11">
                  <c:v>38.78</c:v>
                </c:pt>
                <c:pt idx="12">
                  <c:v>35.08</c:v>
                </c:pt>
                <c:pt idx="13">
                  <c:v>37.71</c:v>
                </c:pt>
                <c:pt idx="14">
                  <c:v>30.02</c:v>
                </c:pt>
                <c:pt idx="15">
                  <c:v>26.48</c:v>
                </c:pt>
                <c:pt idx="16">
                  <c:v>29.68</c:v>
                </c:pt>
                <c:pt idx="17">
                  <c:v>36.520000000000003</c:v>
                </c:pt>
                <c:pt idx="18">
                  <c:v>49.93</c:v>
                </c:pt>
                <c:pt idx="19">
                  <c:v>110.1</c:v>
                </c:pt>
                <c:pt idx="20">
                  <c:v>114.91</c:v>
                </c:pt>
                <c:pt idx="21">
                  <c:v>83.19</c:v>
                </c:pt>
                <c:pt idx="23">
                  <c:v>78.41</c:v>
                </c:pt>
              </c:numCache>
            </c:numRef>
          </c:yVal>
          <c:smooth val="0"/>
          <c:extLst>
            <c:ext xmlns:c16="http://schemas.microsoft.com/office/drawing/2014/chart" uri="{C3380CC4-5D6E-409C-BE32-E72D297353CC}">
              <c16:uniqueId val="{00000002-B393-4A59-940C-B2F4CC30BA49}"/>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19">
                  <c:v>117.14</c:v>
                </c:pt>
                <c:pt idx="20">
                  <c:v>155.87</c:v>
                </c:pt>
                <c:pt idx="21">
                  <c:v>153.55000000000001</c:v>
                </c:pt>
                <c:pt idx="22">
                  <c:v>100.24</c:v>
                </c:pt>
                <c:pt idx="23">
                  <c:v>100.34</c:v>
                </c:pt>
              </c:numCache>
            </c:numRef>
          </c:yVal>
          <c:smooth val="0"/>
          <c:extLst>
            <c:ext xmlns:c16="http://schemas.microsoft.com/office/drawing/2014/chart" uri="{C3380CC4-5D6E-409C-BE32-E72D297353CC}">
              <c16:uniqueId val="{00000004-B393-4A59-940C-B2F4CC30BA49}"/>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73.349999999999994</c:v>
                </c:pt>
                <c:pt idx="1">
                  <c:v>75.47</c:v>
                </c:pt>
                <c:pt idx="2">
                  <c:v>70.5</c:v>
                </c:pt>
                <c:pt idx="3">
                  <c:v>68.94</c:v>
                </c:pt>
                <c:pt idx="4">
                  <c:v>66.47</c:v>
                </c:pt>
                <c:pt idx="5">
                  <c:v>71.349999999999994</c:v>
                </c:pt>
                <c:pt idx="6">
                  <c:v>73.59</c:v>
                </c:pt>
                <c:pt idx="7">
                  <c:v>90.65</c:v>
                </c:pt>
                <c:pt idx="8">
                  <c:v>103.76</c:v>
                </c:pt>
                <c:pt idx="9">
                  <c:v>81.19</c:v>
                </c:pt>
                <c:pt idx="10">
                  <c:v>79.55</c:v>
                </c:pt>
                <c:pt idx="11">
                  <c:v>57.96</c:v>
                </c:pt>
                <c:pt idx="12">
                  <c:v>54.39</c:v>
                </c:pt>
                <c:pt idx="13">
                  <c:v>29.86</c:v>
                </c:pt>
                <c:pt idx="14">
                  <c:v>33.36</c:v>
                </c:pt>
                <c:pt idx="15">
                  <c:v>45.4</c:v>
                </c:pt>
                <c:pt idx="16">
                  <c:v>44.57</c:v>
                </c:pt>
                <c:pt idx="17">
                  <c:v>62.7</c:v>
                </c:pt>
                <c:pt idx="18">
                  <c:v>87.35</c:v>
                </c:pt>
                <c:pt idx="19">
                  <c:v>106.19</c:v>
                </c:pt>
                <c:pt idx="20">
                  <c:v>113.95</c:v>
                </c:pt>
                <c:pt idx="21">
                  <c:v>101.57</c:v>
                </c:pt>
                <c:pt idx="22">
                  <c:v>85.89</c:v>
                </c:pt>
                <c:pt idx="23">
                  <c:v>77.5</c:v>
                </c:pt>
              </c:numCache>
            </c:numRef>
          </c:yVal>
          <c:smooth val="0"/>
          <c:extLst>
            <c:ext xmlns:c16="http://schemas.microsoft.com/office/drawing/2014/chart" uri="{C3380CC4-5D6E-409C-BE32-E72D297353CC}">
              <c16:uniqueId val="{00000006-B393-4A59-940C-B2F4CC30BA49}"/>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pt idx="20">
                  <c:v>61.450000000000024</c:v>
                </c:pt>
                <c:pt idx="21">
                  <c:v>61.890000000000022</c:v>
                </c:pt>
                <c:pt idx="22">
                  <c:v>64.609999999999971</c:v>
                </c:pt>
                <c:pt idx="23">
                  <c:v>66.25</c:v>
                </c:pt>
                <c:pt idx="24">
                  <c:v>66.25</c:v>
                </c:pt>
              </c:numCache>
            </c:numRef>
          </c:val>
          <c:smooth val="0"/>
          <c:extLst>
            <c:ext xmlns:c16="http://schemas.microsoft.com/office/drawing/2014/chart" uri="{C3380CC4-5D6E-409C-BE32-E72D297353CC}">
              <c16:uniqueId val="{00000000-56C5-4F94-9333-B4A6C66755D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62.93</c:v>
                </c:pt>
                <c:pt idx="1">
                  <c:v>62.93</c:v>
                </c:pt>
                <c:pt idx="2">
                  <c:v>62.93</c:v>
                </c:pt>
                <c:pt idx="3">
                  <c:v>62.93</c:v>
                </c:pt>
                <c:pt idx="4">
                  <c:v>62.93</c:v>
                </c:pt>
                <c:pt idx="5">
                  <c:v>62.93</c:v>
                </c:pt>
                <c:pt idx="6">
                  <c:v>62.93</c:v>
                </c:pt>
                <c:pt idx="7">
                  <c:v>62.93</c:v>
                </c:pt>
                <c:pt idx="8">
                  <c:v>62.93</c:v>
                </c:pt>
                <c:pt idx="9">
                  <c:v>62.93</c:v>
                </c:pt>
                <c:pt idx="10">
                  <c:v>62.93</c:v>
                </c:pt>
                <c:pt idx="11">
                  <c:v>62.93</c:v>
                </c:pt>
                <c:pt idx="12">
                  <c:v>62.93</c:v>
                </c:pt>
                <c:pt idx="13">
                  <c:v>62.93</c:v>
                </c:pt>
                <c:pt idx="14">
                  <c:v>62.93</c:v>
                </c:pt>
                <c:pt idx="15">
                  <c:v>62.93</c:v>
                </c:pt>
                <c:pt idx="16">
                  <c:v>62.93</c:v>
                </c:pt>
                <c:pt idx="17">
                  <c:v>62.93</c:v>
                </c:pt>
                <c:pt idx="18">
                  <c:v>62.93</c:v>
                </c:pt>
                <c:pt idx="19">
                  <c:v>62.93</c:v>
                </c:pt>
                <c:pt idx="20">
                  <c:v>62.93</c:v>
                </c:pt>
                <c:pt idx="21">
                  <c:v>62.93</c:v>
                </c:pt>
                <c:pt idx="22">
                  <c:v>62.93</c:v>
                </c:pt>
                <c:pt idx="23">
                  <c:v>62.93</c:v>
                </c:pt>
                <c:pt idx="24">
                  <c:v>62.93</c:v>
                </c:pt>
                <c:pt idx="25">
                  <c:v>62.93</c:v>
                </c:pt>
                <c:pt idx="26">
                  <c:v>62.93</c:v>
                </c:pt>
                <c:pt idx="27">
                  <c:v>62.93</c:v>
                </c:pt>
                <c:pt idx="28">
                  <c:v>62.93</c:v>
                </c:pt>
                <c:pt idx="29">
                  <c:v>62.93</c:v>
                </c:pt>
                <c:pt idx="30">
                  <c:v>62.93</c:v>
                </c:pt>
              </c:numCache>
            </c:numRef>
          </c:val>
          <c:smooth val="0"/>
          <c:extLst>
            <c:ext xmlns:c16="http://schemas.microsoft.com/office/drawing/2014/chart" uri="{C3380CC4-5D6E-409C-BE32-E72D297353CC}">
              <c16:uniqueId val="{00000001-56C5-4F94-9333-B4A6C66755D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6C5-4F94-9333-B4A6C66755D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0.42899999999999999</c:v>
                      </c:pt>
                      <c:pt idx="1">
                        <c:v>0.42899999999999999</c:v>
                      </c:pt>
                      <c:pt idx="2">
                        <c:v>0.42899999999999999</c:v>
                      </c:pt>
                      <c:pt idx="3">
                        <c:v>0.42899999999999999</c:v>
                      </c:pt>
                      <c:pt idx="4">
                        <c:v>0.42899999999999999</c:v>
                      </c:pt>
                      <c:pt idx="5">
                        <c:v>0.42899999999999999</c:v>
                      </c:pt>
                      <c:pt idx="6">
                        <c:v>0.42899999999999999</c:v>
                      </c:pt>
                      <c:pt idx="7">
                        <c:v>0.42899999999999999</c:v>
                      </c:pt>
                      <c:pt idx="8">
                        <c:v>0.42899999999999999</c:v>
                      </c:pt>
                      <c:pt idx="9">
                        <c:v>0.42899999999999999</c:v>
                      </c:pt>
                      <c:pt idx="10">
                        <c:v>0.42899999999999999</c:v>
                      </c:pt>
                      <c:pt idx="11">
                        <c:v>0.42899999999999999</c:v>
                      </c:pt>
                      <c:pt idx="12">
                        <c:v>0.42899999999999999</c:v>
                      </c:pt>
                      <c:pt idx="13">
                        <c:v>0.42899999999999999</c:v>
                      </c:pt>
                      <c:pt idx="14">
                        <c:v>0.42899999999999999</c:v>
                      </c:pt>
                      <c:pt idx="15">
                        <c:v>0.42899999999999999</c:v>
                      </c:pt>
                      <c:pt idx="16">
                        <c:v>0.42899999999999999</c:v>
                      </c:pt>
                      <c:pt idx="17">
                        <c:v>0.42899999999999999</c:v>
                      </c:pt>
                      <c:pt idx="18">
                        <c:v>0.42899999999999999</c:v>
                      </c:pt>
                      <c:pt idx="19">
                        <c:v>0.42899999999999999</c:v>
                      </c:pt>
                      <c:pt idx="20">
                        <c:v>0.42899999999999999</c:v>
                      </c:pt>
                      <c:pt idx="21">
                        <c:v>0.42899999999999999</c:v>
                      </c:pt>
                      <c:pt idx="22">
                        <c:v>0.42899999999999999</c:v>
                      </c:pt>
                      <c:pt idx="23">
                        <c:v>0.42899999999999999</c:v>
                      </c:pt>
                      <c:pt idx="24">
                        <c:v>0.42899999999999999</c:v>
                      </c:pt>
                      <c:pt idx="25">
                        <c:v>0.42899999999999999</c:v>
                      </c:pt>
                      <c:pt idx="26">
                        <c:v>0.42899999999999999</c:v>
                      </c:pt>
                      <c:pt idx="27">
                        <c:v>0.42899999999999999</c:v>
                      </c:pt>
                      <c:pt idx="28">
                        <c:v>0.42899999999999999</c:v>
                      </c:pt>
                      <c:pt idx="29">
                        <c:v>0.42899999999999999</c:v>
                      </c:pt>
                      <c:pt idx="30">
                        <c:v>0.42899999999999999</c:v>
                      </c:pt>
                    </c:numCache>
                  </c:numRef>
                </c:val>
                <c:extLst>
                  <c:ext xmlns:c16="http://schemas.microsoft.com/office/drawing/2014/chart" uri="{C3380CC4-5D6E-409C-BE32-E72D297353CC}">
                    <c16:uniqueId val="{00000006-5273-4A0F-987F-BC34BF0238D0}"/>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pt idx="20">
                  <c:v>0.33333333333333331</c:v>
                </c:pt>
                <c:pt idx="21">
                  <c:v>0.29166666666666669</c:v>
                </c:pt>
                <c:pt idx="22">
                  <c:v>0.30434782608695654</c:v>
                </c:pt>
                <c:pt idx="23">
                  <c:v>0.20833333333333337</c:v>
                </c:pt>
                <c:pt idx="24">
                  <c:v>0.45833333333333326</c:v>
                </c:pt>
              </c:numCache>
            </c:numRef>
          </c:val>
          <c:extLst>
            <c:ext xmlns:c16="http://schemas.microsoft.com/office/drawing/2014/chart" uri="{C3380CC4-5D6E-409C-BE32-E72D297353CC}">
              <c16:uniqueId val="{00000000-5273-4A0F-987F-BC34BF0238D0}"/>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pt idx="20">
                  <c:v>0</c:v>
                </c:pt>
                <c:pt idx="21">
                  <c:v>4.1666666666666664E-2</c:v>
                </c:pt>
                <c:pt idx="22">
                  <c:v>0</c:v>
                </c:pt>
                <c:pt idx="23">
                  <c:v>0</c:v>
                </c:pt>
                <c:pt idx="24">
                  <c:v>0</c:v>
                </c:pt>
              </c:numCache>
            </c:numRef>
          </c:val>
          <c:extLst>
            <c:ext xmlns:c16="http://schemas.microsoft.com/office/drawing/2014/chart" uri="{C3380CC4-5D6E-409C-BE32-E72D297353CC}">
              <c16:uniqueId val="{00000001-5273-4A0F-987F-BC34BF0238D0}"/>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pt idx="20">
                  <c:v>0.45833333333333326</c:v>
                </c:pt>
                <c:pt idx="21">
                  <c:v>0.54166666666666663</c:v>
                </c:pt>
                <c:pt idx="22">
                  <c:v>0.65217391304347827</c:v>
                </c:pt>
                <c:pt idx="23">
                  <c:v>0.66666666666666663</c:v>
                </c:pt>
                <c:pt idx="24">
                  <c:v>0.45833333333333326</c:v>
                </c:pt>
              </c:numCache>
            </c:numRef>
          </c:val>
          <c:extLst>
            <c:ext xmlns:c16="http://schemas.microsoft.com/office/drawing/2014/chart" uri="{C3380CC4-5D6E-409C-BE32-E72D297353CC}">
              <c16:uniqueId val="{00000002-5273-4A0F-987F-BC34BF0238D0}"/>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5273-4A0F-987F-BC34BF0238D0}"/>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66.536000000000001</c:v>
                </c:pt>
                <c:pt idx="1">
                  <c:v>66.536000000000001</c:v>
                </c:pt>
                <c:pt idx="2">
                  <c:v>66.536000000000001</c:v>
                </c:pt>
                <c:pt idx="3">
                  <c:v>66.536000000000001</c:v>
                </c:pt>
                <c:pt idx="4">
                  <c:v>66.536000000000001</c:v>
                </c:pt>
                <c:pt idx="5">
                  <c:v>66.536000000000001</c:v>
                </c:pt>
                <c:pt idx="6">
                  <c:v>66.536000000000001</c:v>
                </c:pt>
                <c:pt idx="7">
                  <c:v>66.536000000000001</c:v>
                </c:pt>
                <c:pt idx="8">
                  <c:v>66.536000000000001</c:v>
                </c:pt>
                <c:pt idx="9">
                  <c:v>66.536000000000001</c:v>
                </c:pt>
                <c:pt idx="10">
                  <c:v>66.536000000000001</c:v>
                </c:pt>
                <c:pt idx="11">
                  <c:v>66.536000000000001</c:v>
                </c:pt>
                <c:pt idx="12">
                  <c:v>66.536000000000001</c:v>
                </c:pt>
                <c:pt idx="13">
                  <c:v>66.536000000000001</c:v>
                </c:pt>
                <c:pt idx="14">
                  <c:v>66.536000000000001</c:v>
                </c:pt>
                <c:pt idx="15">
                  <c:v>66.536000000000001</c:v>
                </c:pt>
                <c:pt idx="16">
                  <c:v>66.536000000000001</c:v>
                </c:pt>
                <c:pt idx="17">
                  <c:v>66.536000000000001</c:v>
                </c:pt>
                <c:pt idx="18">
                  <c:v>66.536000000000001</c:v>
                </c:pt>
                <c:pt idx="19">
                  <c:v>66.536000000000001</c:v>
                </c:pt>
                <c:pt idx="20">
                  <c:v>66.536000000000001</c:v>
                </c:pt>
                <c:pt idx="21">
                  <c:v>66.536000000000001</c:v>
                </c:pt>
                <c:pt idx="22">
                  <c:v>66.536000000000001</c:v>
                </c:pt>
                <c:pt idx="23">
                  <c:v>66.536000000000001</c:v>
                </c:pt>
                <c:pt idx="24">
                  <c:v>66.536000000000001</c:v>
                </c:pt>
                <c:pt idx="25">
                  <c:v>66.536000000000001</c:v>
                </c:pt>
                <c:pt idx="26">
                  <c:v>66.536000000000001</c:v>
                </c:pt>
                <c:pt idx="27">
                  <c:v>66.536000000000001</c:v>
                </c:pt>
                <c:pt idx="28">
                  <c:v>66.536000000000001</c:v>
                </c:pt>
                <c:pt idx="29">
                  <c:v>66.536000000000001</c:v>
                </c:pt>
                <c:pt idx="30">
                  <c:v>66.536000000000001</c:v>
                </c:pt>
              </c:numCache>
            </c:numRef>
          </c:val>
          <c:smooth val="0"/>
          <c:extLst>
            <c:ext xmlns:c16="http://schemas.microsoft.com/office/drawing/2014/chart" uri="{C3380CC4-5D6E-409C-BE32-E72D297353CC}">
              <c16:uniqueId val="{00000003-5273-4A0F-987F-BC34BF0238D0}"/>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pt idx="20">
                  <c:v>93.626666666666679</c:v>
                </c:pt>
                <c:pt idx="21">
                  <c:v>80.176666666666662</c:v>
                </c:pt>
                <c:pt idx="22">
                  <c:v>87.228749999999991</c:v>
                </c:pt>
                <c:pt idx="23">
                  <c:v>70.19374999999998</c:v>
                </c:pt>
                <c:pt idx="24">
                  <c:v>63.795833333333327</c:v>
                </c:pt>
              </c:numCache>
            </c:numRef>
          </c:val>
          <c:smooth val="0"/>
          <c:extLst>
            <c:ext xmlns:c16="http://schemas.microsoft.com/office/drawing/2014/chart" uri="{C3380CC4-5D6E-409C-BE32-E72D297353CC}">
              <c16:uniqueId val="{00000004-5273-4A0F-987F-BC34BF0238D0}"/>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3.3000000000000002E-2</c:v>
                      </c:pt>
                      <c:pt idx="1">
                        <c:v>3.1E-2</c:v>
                      </c:pt>
                      <c:pt idx="2">
                        <c:v>2.9000000000000001E-2</c:v>
                      </c:pt>
                      <c:pt idx="3">
                        <c:v>2.8000000000000001E-2</c:v>
                      </c:pt>
                      <c:pt idx="4">
                        <c:v>0.03</c:v>
                      </c:pt>
                      <c:pt idx="5">
                        <c:v>3.1E-2</c:v>
                      </c:pt>
                      <c:pt idx="6">
                        <c:v>3.3000000000000002E-2</c:v>
                      </c:pt>
                      <c:pt idx="7">
                        <c:v>3.5000000000000003E-2</c:v>
                      </c:pt>
                      <c:pt idx="8">
                        <c:v>3.6999999999999998E-2</c:v>
                      </c:pt>
                      <c:pt idx="9">
                        <c:v>3.9E-2</c:v>
                      </c:pt>
                      <c:pt idx="10">
                        <c:v>3.1E-2</c:v>
                      </c:pt>
                      <c:pt idx="11">
                        <c:v>2.4E-2</c:v>
                      </c:pt>
                      <c:pt idx="12">
                        <c:v>2.5999999999999999E-2</c:v>
                      </c:pt>
                      <c:pt idx="13">
                        <c:v>2.4E-2</c:v>
                      </c:pt>
                      <c:pt idx="14">
                        <c:v>1.0999999999999999E-2</c:v>
                      </c:pt>
                      <c:pt idx="15">
                        <c:v>8.0000000000000002E-3</c:v>
                      </c:pt>
                      <c:pt idx="16">
                        <c:v>8.9999999999999993E-3</c:v>
                      </c:pt>
                      <c:pt idx="17">
                        <c:v>0.01</c:v>
                      </c:pt>
                      <c:pt idx="18">
                        <c:v>6.0000000000000001E-3</c:v>
                      </c:pt>
                      <c:pt idx="19">
                        <c:v>7.0000000000000001E-3</c:v>
                      </c:pt>
                      <c:pt idx="20">
                        <c:v>8.0000000000000002E-3</c:v>
                      </c:pt>
                      <c:pt idx="21">
                        <c:v>0.01</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5273-4A0F-987F-BC34BF0238D0}"/>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0.439</c:v>
                      </c:pt>
                      <c:pt idx="1">
                        <c:v>0.433</c:v>
                      </c:pt>
                      <c:pt idx="2">
                        <c:v>0.432</c:v>
                      </c:pt>
                      <c:pt idx="3">
                        <c:v>0.435</c:v>
                      </c:pt>
                      <c:pt idx="4">
                        <c:v>0.42799999999999999</c:v>
                      </c:pt>
                      <c:pt idx="5">
                        <c:v>0.42599999999999999</c:v>
                      </c:pt>
                      <c:pt idx="6">
                        <c:v>0.42599999999999999</c:v>
                      </c:pt>
                      <c:pt idx="7">
                        <c:v>0.42699999999999999</c:v>
                      </c:pt>
                      <c:pt idx="8">
                        <c:v>0.437</c:v>
                      </c:pt>
                      <c:pt idx="9">
                        <c:v>0.44400000000000001</c:v>
                      </c:pt>
                      <c:pt idx="10">
                        <c:v>0.46</c:v>
                      </c:pt>
                      <c:pt idx="11">
                        <c:v>0.46</c:v>
                      </c:pt>
                      <c:pt idx="12">
                        <c:v>0.46</c:v>
                      </c:pt>
                      <c:pt idx="13">
                        <c:v>0.47399999999999998</c:v>
                      </c:pt>
                      <c:pt idx="14">
                        <c:v>0.47499999999999998</c:v>
                      </c:pt>
                      <c:pt idx="15">
                        <c:v>0.47299999999999998</c:v>
                      </c:pt>
                      <c:pt idx="16">
                        <c:v>0.498</c:v>
                      </c:pt>
                      <c:pt idx="17">
                        <c:v>0.51600000000000001</c:v>
                      </c:pt>
                      <c:pt idx="18">
                        <c:v>0.53600000000000003</c:v>
                      </c:pt>
                      <c:pt idx="19">
                        <c:v>0.54600000000000004</c:v>
                      </c:pt>
                      <c:pt idx="20">
                        <c:v>0.55500000000000005</c:v>
                      </c:pt>
                      <c:pt idx="21">
                        <c:v>0.57999999999999996</c:v>
                      </c:pt>
                      <c:pt idx="22">
                        <c:v>0.59199999999999997</c:v>
                      </c:pt>
                      <c:pt idx="23">
                        <c:v>0.56299999999999994</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5273-4A0F-987F-BC34BF0238D0}"/>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smooth val="0"/>
                <c:extLst xmlns:c15="http://schemas.microsoft.com/office/drawing/2012/chart">
                  <c:ext xmlns:c16="http://schemas.microsoft.com/office/drawing/2014/chart" uri="{C3380CC4-5D6E-409C-BE32-E72D297353CC}">
                    <c16:uniqueId val="{00000009-5273-4A0F-987F-BC34BF0238D0}"/>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99.23</c:v>
                      </c:pt>
                      <c:pt idx="21">
                        <c:v>60.60857142857143</c:v>
                      </c:pt>
                      <c:pt idx="22">
                        <c:v>75.149999999999977</c:v>
                      </c:pt>
                      <c:pt idx="23">
                        <c:v>39.155999999999999</c:v>
                      </c:pt>
                      <c:pt idx="24">
                        <c:v>58.344545454545454</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5273-4A0F-987F-BC34BF0238D0}"/>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51.92</c:v>
                      </c:pt>
                      <c:pt idx="1">
                        <c:v>51.92</c:v>
                      </c:pt>
                      <c:pt idx="2">
                        <c:v>51.92</c:v>
                      </c:pt>
                      <c:pt idx="3">
                        <c:v>51.92</c:v>
                      </c:pt>
                      <c:pt idx="4">
                        <c:v>51.92</c:v>
                      </c:pt>
                      <c:pt idx="5">
                        <c:v>51.92</c:v>
                      </c:pt>
                      <c:pt idx="6">
                        <c:v>51.92</c:v>
                      </c:pt>
                      <c:pt idx="7">
                        <c:v>51.92</c:v>
                      </c:pt>
                      <c:pt idx="8">
                        <c:v>51.92</c:v>
                      </c:pt>
                      <c:pt idx="9">
                        <c:v>51.92</c:v>
                      </c:pt>
                      <c:pt idx="10">
                        <c:v>51.92</c:v>
                      </c:pt>
                      <c:pt idx="11">
                        <c:v>51.92</c:v>
                      </c:pt>
                      <c:pt idx="12">
                        <c:v>51.92</c:v>
                      </c:pt>
                      <c:pt idx="13">
                        <c:v>51.92</c:v>
                      </c:pt>
                      <c:pt idx="14">
                        <c:v>51.92</c:v>
                      </c:pt>
                      <c:pt idx="15">
                        <c:v>51.92</c:v>
                      </c:pt>
                      <c:pt idx="16">
                        <c:v>51.92</c:v>
                      </c:pt>
                      <c:pt idx="17">
                        <c:v>51.92</c:v>
                      </c:pt>
                      <c:pt idx="18">
                        <c:v>51.92</c:v>
                      </c:pt>
                      <c:pt idx="19">
                        <c:v>51.92</c:v>
                      </c:pt>
                      <c:pt idx="20">
                        <c:v>51.92</c:v>
                      </c:pt>
                      <c:pt idx="21">
                        <c:v>51.92</c:v>
                      </c:pt>
                      <c:pt idx="22">
                        <c:v>51.92</c:v>
                      </c:pt>
                      <c:pt idx="23">
                        <c:v>51.92</c:v>
                      </c:pt>
                      <c:pt idx="24">
                        <c:v>51.92</c:v>
                      </c:pt>
                      <c:pt idx="25">
                        <c:v>51.92</c:v>
                      </c:pt>
                      <c:pt idx="26">
                        <c:v>51.92</c:v>
                      </c:pt>
                      <c:pt idx="27">
                        <c:v>51.92</c:v>
                      </c:pt>
                      <c:pt idx="28">
                        <c:v>51.92</c:v>
                      </c:pt>
                      <c:pt idx="29">
                        <c:v>51.92</c:v>
                      </c:pt>
                      <c:pt idx="30">
                        <c:v>51.92</c:v>
                      </c:pt>
                    </c:numCache>
                  </c:numRef>
                </c:val>
                <c:smooth val="0"/>
                <c:extLst xmlns:c15="http://schemas.microsoft.com/office/drawing/2012/chart">
                  <c:ext xmlns:c16="http://schemas.microsoft.com/office/drawing/2014/chart" uri="{C3380CC4-5D6E-409C-BE32-E72D297353CC}">
                    <c16:uniqueId val="{0000000B-5273-4A0F-987F-BC34BF0238D0}"/>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124.71</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5273-4A0F-987F-BC34BF0238D0}"/>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48.33</c:v>
                      </c:pt>
                      <c:pt idx="1">
                        <c:v>48.33</c:v>
                      </c:pt>
                      <c:pt idx="2">
                        <c:v>48.33</c:v>
                      </c:pt>
                      <c:pt idx="3">
                        <c:v>48.33</c:v>
                      </c:pt>
                      <c:pt idx="4">
                        <c:v>48.33</c:v>
                      </c:pt>
                      <c:pt idx="5">
                        <c:v>48.33</c:v>
                      </c:pt>
                      <c:pt idx="6">
                        <c:v>48.33</c:v>
                      </c:pt>
                      <c:pt idx="7">
                        <c:v>48.33</c:v>
                      </c:pt>
                      <c:pt idx="8">
                        <c:v>48.33</c:v>
                      </c:pt>
                      <c:pt idx="9">
                        <c:v>48.33</c:v>
                      </c:pt>
                      <c:pt idx="10">
                        <c:v>48.33</c:v>
                      </c:pt>
                      <c:pt idx="11">
                        <c:v>48.33</c:v>
                      </c:pt>
                      <c:pt idx="12">
                        <c:v>48.33</c:v>
                      </c:pt>
                      <c:pt idx="13">
                        <c:v>48.33</c:v>
                      </c:pt>
                      <c:pt idx="14">
                        <c:v>48.33</c:v>
                      </c:pt>
                      <c:pt idx="15">
                        <c:v>48.33</c:v>
                      </c:pt>
                      <c:pt idx="16">
                        <c:v>48.33</c:v>
                      </c:pt>
                      <c:pt idx="17">
                        <c:v>48.33</c:v>
                      </c:pt>
                      <c:pt idx="18">
                        <c:v>48.33</c:v>
                      </c:pt>
                      <c:pt idx="19">
                        <c:v>48.33</c:v>
                      </c:pt>
                      <c:pt idx="20">
                        <c:v>48.33</c:v>
                      </c:pt>
                      <c:pt idx="21">
                        <c:v>48.33</c:v>
                      </c:pt>
                      <c:pt idx="22">
                        <c:v>48.33</c:v>
                      </c:pt>
                      <c:pt idx="23">
                        <c:v>48.33</c:v>
                      </c:pt>
                      <c:pt idx="24">
                        <c:v>48.33</c:v>
                      </c:pt>
                      <c:pt idx="25">
                        <c:v>48.33</c:v>
                      </c:pt>
                      <c:pt idx="26">
                        <c:v>48.33</c:v>
                      </c:pt>
                      <c:pt idx="27">
                        <c:v>48.33</c:v>
                      </c:pt>
                      <c:pt idx="28">
                        <c:v>48.33</c:v>
                      </c:pt>
                      <c:pt idx="29">
                        <c:v>48.33</c:v>
                      </c:pt>
                      <c:pt idx="30">
                        <c:v>48.33</c:v>
                      </c:pt>
                    </c:numCache>
                  </c:numRef>
                </c:val>
                <c:smooth val="0"/>
                <c:extLst xmlns:c15="http://schemas.microsoft.com/office/drawing/2012/chart">
                  <c:ext xmlns:c16="http://schemas.microsoft.com/office/drawing/2014/chart" uri="{C3380CC4-5D6E-409C-BE32-E72D297353CC}">
                    <c16:uniqueId val="{0000000D-5273-4A0F-987F-BC34BF0238D0}"/>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92.074545454545444</c:v>
                      </c:pt>
                      <c:pt idx="21">
                        <c:v>87.65307692307691</c:v>
                      </c:pt>
                      <c:pt idx="22">
                        <c:v>92.825333333333319</c:v>
                      </c:pt>
                      <c:pt idx="23">
                        <c:v>74.732500000000002</c:v>
                      </c:pt>
                      <c:pt idx="24">
                        <c:v>68.891818181818181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5273-4A0F-987F-BC34BF0238D0}"/>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76.896000000000001</c:v>
                      </c:pt>
                      <c:pt idx="1">
                        <c:v>76.896000000000001</c:v>
                      </c:pt>
                      <c:pt idx="2">
                        <c:v>76.896000000000001</c:v>
                      </c:pt>
                      <c:pt idx="3">
                        <c:v>76.896000000000001</c:v>
                      </c:pt>
                      <c:pt idx="4">
                        <c:v>76.896000000000001</c:v>
                      </c:pt>
                      <c:pt idx="5">
                        <c:v>76.896000000000001</c:v>
                      </c:pt>
                      <c:pt idx="6">
                        <c:v>76.896000000000001</c:v>
                      </c:pt>
                      <c:pt idx="7">
                        <c:v>76.896000000000001</c:v>
                      </c:pt>
                      <c:pt idx="8">
                        <c:v>76.896000000000001</c:v>
                      </c:pt>
                      <c:pt idx="9">
                        <c:v>76.896000000000001</c:v>
                      </c:pt>
                      <c:pt idx="10">
                        <c:v>76.896000000000001</c:v>
                      </c:pt>
                      <c:pt idx="11">
                        <c:v>76.896000000000001</c:v>
                      </c:pt>
                      <c:pt idx="12">
                        <c:v>76.896000000000001</c:v>
                      </c:pt>
                      <c:pt idx="13">
                        <c:v>76.896000000000001</c:v>
                      </c:pt>
                      <c:pt idx="14">
                        <c:v>76.896000000000001</c:v>
                      </c:pt>
                      <c:pt idx="15">
                        <c:v>76.896000000000001</c:v>
                      </c:pt>
                      <c:pt idx="16">
                        <c:v>76.896000000000001</c:v>
                      </c:pt>
                      <c:pt idx="17">
                        <c:v>76.896000000000001</c:v>
                      </c:pt>
                      <c:pt idx="18">
                        <c:v>76.896000000000001</c:v>
                      </c:pt>
                      <c:pt idx="19">
                        <c:v>76.896000000000001</c:v>
                      </c:pt>
                      <c:pt idx="20">
                        <c:v>76.896000000000001</c:v>
                      </c:pt>
                      <c:pt idx="21">
                        <c:v>76.896000000000001</c:v>
                      </c:pt>
                      <c:pt idx="22">
                        <c:v>76.896000000000001</c:v>
                      </c:pt>
                      <c:pt idx="23">
                        <c:v>76.896000000000001</c:v>
                      </c:pt>
                      <c:pt idx="24">
                        <c:v>76.896000000000001</c:v>
                      </c:pt>
                      <c:pt idx="25">
                        <c:v>76.896000000000001</c:v>
                      </c:pt>
                      <c:pt idx="26">
                        <c:v>76.896000000000001</c:v>
                      </c:pt>
                      <c:pt idx="27">
                        <c:v>76.896000000000001</c:v>
                      </c:pt>
                      <c:pt idx="28">
                        <c:v>76.896000000000001</c:v>
                      </c:pt>
                      <c:pt idx="29">
                        <c:v>76.896000000000001</c:v>
                      </c:pt>
                      <c:pt idx="30">
                        <c:v>76.896000000000001</c:v>
                      </c:pt>
                    </c:numCache>
                  </c:numRef>
                </c:val>
                <c:smooth val="0"/>
                <c:extLst xmlns:c15="http://schemas.microsoft.com/office/drawing/2012/chart">
                  <c:ext xmlns:c16="http://schemas.microsoft.com/office/drawing/2014/chart" uri="{C3380CC4-5D6E-409C-BE32-E72D297353CC}">
                    <c16:uniqueId val="{0000000F-5273-4A0F-987F-BC34BF0238D0}"/>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pt idx="25">
                        <c:v>579.36</c:v>
                      </c:pt>
                      <c:pt idx="26">
                        <c:v>579.36</c:v>
                      </c:pt>
                      <c:pt idx="27">
                        <c:v>579.36</c:v>
                      </c:pt>
                      <c:pt idx="28">
                        <c:v>579.36</c:v>
                      </c:pt>
                      <c:pt idx="29">
                        <c:v>579.36</c:v>
                      </c:pt>
                      <c:pt idx="30">
                        <c:v>579.36</c:v>
                      </c:pt>
                    </c:numCache>
                  </c:numRef>
                </c:val>
                <c:smooth val="0"/>
                <c:extLst xmlns:c15="http://schemas.microsoft.com/office/drawing/2012/chart">
                  <c:ext xmlns:c16="http://schemas.microsoft.com/office/drawing/2014/chart" uri="{C3380CC4-5D6E-409C-BE32-E72D297353CC}">
                    <c16:uniqueId val="{00000010-5273-4A0F-987F-BC34BF0238D0}"/>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C5B2-4244-B2E0-F0E839859BF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C5B2-4244-B2E0-F0E839859BF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C5B2-4244-B2E0-F0E839859BF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C5B2-4244-B2E0-F0E839859BF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C5B2-4244-B2E0-F0E839859BF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C5B2-4244-B2E0-F0E839859BF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C5B2-4244-B2E0-F0E839859BF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C5B2-4244-B2E0-F0E839859BF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C5B2-4244-B2E0-F0E839859BF6}"/>
              </c:ext>
            </c:extLst>
          </c:dPt>
          <c:dPt>
            <c:idx val="9"/>
            <c:bubble3D val="0"/>
            <c:spPr>
              <a:noFill/>
              <a:ln w="19050">
                <a:noFill/>
              </a:ln>
              <a:effectLst/>
            </c:spPr>
            <c:extLst>
              <c:ext xmlns:c16="http://schemas.microsoft.com/office/drawing/2014/chart" uri="{C3380CC4-5D6E-409C-BE32-E72D297353CC}">
                <c16:uniqueId val="{00000013-C5B2-4244-B2E0-F0E839859BF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B2-4244-B2E0-F0E839859BF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C5B2-4244-B2E0-F0E839859BF6}"/>
              </c:ext>
            </c:extLst>
          </c:dPt>
          <c:xVal>
            <c:numRef>
              <c:f>[1]omie_dinamic_dia!$X$11:$X$12</c:f>
              <c:numCache>
                <c:formatCode>General</c:formatCode>
                <c:ptCount val="2"/>
                <c:pt idx="0">
                  <c:v>0</c:v>
                </c:pt>
                <c:pt idx="1">
                  <c:v>0.90213395936820273</c:v>
                </c:pt>
              </c:numCache>
            </c:numRef>
          </c:xVal>
          <c:yVal>
            <c:numRef>
              <c:f>[1]omie_dinamic_dia!$Y$11:$Y$12</c:f>
              <c:numCache>
                <c:formatCode>General</c:formatCode>
                <c:ptCount val="2"/>
                <c:pt idx="0">
                  <c:v>0</c:v>
                </c:pt>
                <c:pt idx="1">
                  <c:v>0.4314560456809593</c:v>
                </c:pt>
              </c:numCache>
            </c:numRef>
          </c:yVal>
          <c:smooth val="1"/>
          <c:extLst>
            <c:ext xmlns:c16="http://schemas.microsoft.com/office/drawing/2014/chart" uri="{C3380CC4-5D6E-409C-BE32-E72D297353CC}">
              <c16:uniqueId val="{00000017-C5B2-4244-B2E0-F0E839859BF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07F-47A7-AEDB-10B9E210EAB1}"/>
              </c:ext>
            </c:extLst>
          </c:dPt>
          <c:dPt>
            <c:idx val="1"/>
            <c:bubble3D val="0"/>
            <c:spPr>
              <a:solidFill>
                <a:schemeClr val="accent2">
                  <a:lumMod val="20000"/>
                  <a:lumOff val="80000"/>
                </a:schemeClr>
              </a:solidFill>
            </c:spPr>
            <c:extLst>
              <c:ext xmlns:c16="http://schemas.microsoft.com/office/drawing/2014/chart" uri="{C3380CC4-5D6E-409C-BE32-E72D297353CC}">
                <c16:uniqueId val="{00000003-407F-47A7-AEDB-10B9E210EAB1}"/>
              </c:ext>
            </c:extLst>
          </c:dPt>
          <c:dPt>
            <c:idx val="2"/>
            <c:bubble3D val="0"/>
            <c:spPr>
              <a:solidFill>
                <a:schemeClr val="accent2">
                  <a:lumMod val="40000"/>
                  <a:lumOff val="60000"/>
                </a:schemeClr>
              </a:solidFill>
            </c:spPr>
            <c:extLst>
              <c:ext xmlns:c16="http://schemas.microsoft.com/office/drawing/2014/chart" uri="{C3380CC4-5D6E-409C-BE32-E72D297353CC}">
                <c16:uniqueId val="{00000005-407F-47A7-AEDB-10B9E210EAB1}"/>
              </c:ext>
            </c:extLst>
          </c:dPt>
          <c:dPt>
            <c:idx val="3"/>
            <c:bubble3D val="0"/>
            <c:spPr>
              <a:solidFill>
                <a:schemeClr val="accent2">
                  <a:lumMod val="40000"/>
                  <a:lumOff val="60000"/>
                </a:schemeClr>
              </a:solidFill>
            </c:spPr>
            <c:extLst>
              <c:ext xmlns:c16="http://schemas.microsoft.com/office/drawing/2014/chart" uri="{C3380CC4-5D6E-409C-BE32-E72D297353CC}">
                <c16:uniqueId val="{00000007-407F-47A7-AEDB-10B9E210EAB1}"/>
              </c:ext>
            </c:extLst>
          </c:dPt>
          <c:dPt>
            <c:idx val="4"/>
            <c:bubble3D val="0"/>
            <c:spPr>
              <a:solidFill>
                <a:schemeClr val="accent2">
                  <a:lumMod val="60000"/>
                  <a:lumOff val="40000"/>
                </a:schemeClr>
              </a:solidFill>
            </c:spPr>
            <c:extLst>
              <c:ext xmlns:c16="http://schemas.microsoft.com/office/drawing/2014/chart" uri="{C3380CC4-5D6E-409C-BE32-E72D297353CC}">
                <c16:uniqueId val="{00000009-407F-47A7-AEDB-10B9E210EAB1}"/>
              </c:ext>
            </c:extLst>
          </c:dPt>
          <c:dPt>
            <c:idx val="5"/>
            <c:bubble3D val="0"/>
            <c:spPr>
              <a:solidFill>
                <a:schemeClr val="accent2">
                  <a:lumMod val="60000"/>
                  <a:lumOff val="40000"/>
                </a:schemeClr>
              </a:solidFill>
            </c:spPr>
            <c:extLst>
              <c:ext xmlns:c16="http://schemas.microsoft.com/office/drawing/2014/chart" uri="{C3380CC4-5D6E-409C-BE32-E72D297353CC}">
                <c16:uniqueId val="{0000000B-407F-47A7-AEDB-10B9E210EAB1}"/>
              </c:ext>
            </c:extLst>
          </c:dPt>
          <c:dPt>
            <c:idx val="6"/>
            <c:bubble3D val="0"/>
            <c:spPr>
              <a:solidFill>
                <a:schemeClr val="accent2">
                  <a:lumMod val="75000"/>
                </a:schemeClr>
              </a:solidFill>
            </c:spPr>
            <c:extLst>
              <c:ext xmlns:c16="http://schemas.microsoft.com/office/drawing/2014/chart" uri="{C3380CC4-5D6E-409C-BE32-E72D297353CC}">
                <c16:uniqueId val="{0000000D-407F-47A7-AEDB-10B9E210EAB1}"/>
              </c:ext>
            </c:extLst>
          </c:dPt>
          <c:dPt>
            <c:idx val="7"/>
            <c:bubble3D val="0"/>
            <c:spPr>
              <a:solidFill>
                <a:schemeClr val="accent2">
                  <a:lumMod val="75000"/>
                </a:schemeClr>
              </a:solidFill>
            </c:spPr>
            <c:extLst>
              <c:ext xmlns:c16="http://schemas.microsoft.com/office/drawing/2014/chart" uri="{C3380CC4-5D6E-409C-BE32-E72D297353CC}">
                <c16:uniqueId val="{0000000F-407F-47A7-AEDB-10B9E210EAB1}"/>
              </c:ext>
            </c:extLst>
          </c:dPt>
          <c:dPt>
            <c:idx val="8"/>
            <c:bubble3D val="0"/>
            <c:spPr>
              <a:solidFill>
                <a:schemeClr val="accent2">
                  <a:lumMod val="50000"/>
                </a:schemeClr>
              </a:solidFill>
            </c:spPr>
            <c:extLst>
              <c:ext xmlns:c16="http://schemas.microsoft.com/office/drawing/2014/chart" uri="{C3380CC4-5D6E-409C-BE32-E72D297353CC}">
                <c16:uniqueId val="{00000011-407F-47A7-AEDB-10B9E210EAB1}"/>
              </c:ext>
            </c:extLst>
          </c:dPt>
          <c:dPt>
            <c:idx val="9"/>
            <c:bubble3D val="0"/>
            <c:spPr>
              <a:noFill/>
            </c:spPr>
            <c:extLst>
              <c:ext xmlns:c16="http://schemas.microsoft.com/office/drawing/2014/chart" uri="{C3380CC4-5D6E-409C-BE32-E72D297353CC}">
                <c16:uniqueId val="{00000013-407F-47A7-AEDB-10B9E210EAB1}"/>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7F-47A7-AEDB-10B9E210EAB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-0.97858090432547207</c:v>
                </c:pt>
              </c:numCache>
            </c:numRef>
          </c:xVal>
          <c:yVal>
            <c:numRef>
              <c:f>[1]omie_dinamic_dia!$AC$20:$AC$21</c:f>
              <c:numCache>
                <c:formatCode>General</c:formatCode>
                <c:ptCount val="2"/>
                <c:pt idx="0">
                  <c:v>0</c:v>
                </c:pt>
                <c:pt idx="1">
                  <c:v>0.20586260876988133</c:v>
                </c:pt>
              </c:numCache>
            </c:numRef>
          </c:yVal>
          <c:smooth val="1"/>
          <c:extLst>
            <c:ext xmlns:c16="http://schemas.microsoft.com/office/drawing/2014/chart" uri="{C3380CC4-5D6E-409C-BE32-E72D297353CC}">
              <c16:uniqueId val="{00000015-407F-47A7-AEDB-10B9E210EAB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44F7-4119-BDC9-6F7645B1E807}"/>
              </c:ext>
            </c:extLst>
          </c:dPt>
          <c:dPt>
            <c:idx val="1"/>
            <c:bubble3D val="0"/>
            <c:spPr>
              <a:solidFill>
                <a:schemeClr val="accent1">
                  <a:lumMod val="20000"/>
                  <a:lumOff val="80000"/>
                </a:schemeClr>
              </a:solidFill>
            </c:spPr>
            <c:extLst>
              <c:ext xmlns:c16="http://schemas.microsoft.com/office/drawing/2014/chart" uri="{C3380CC4-5D6E-409C-BE32-E72D297353CC}">
                <c16:uniqueId val="{00000003-44F7-4119-BDC9-6F7645B1E807}"/>
              </c:ext>
            </c:extLst>
          </c:dPt>
          <c:dPt>
            <c:idx val="2"/>
            <c:bubble3D val="0"/>
            <c:spPr>
              <a:solidFill>
                <a:schemeClr val="accent1">
                  <a:lumMod val="40000"/>
                  <a:lumOff val="60000"/>
                </a:schemeClr>
              </a:solidFill>
            </c:spPr>
            <c:extLst>
              <c:ext xmlns:c16="http://schemas.microsoft.com/office/drawing/2014/chart" uri="{C3380CC4-5D6E-409C-BE32-E72D297353CC}">
                <c16:uniqueId val="{00000005-44F7-4119-BDC9-6F7645B1E807}"/>
              </c:ext>
            </c:extLst>
          </c:dPt>
          <c:dPt>
            <c:idx val="3"/>
            <c:bubble3D val="0"/>
            <c:spPr>
              <a:solidFill>
                <a:schemeClr val="accent1">
                  <a:lumMod val="40000"/>
                  <a:lumOff val="60000"/>
                </a:schemeClr>
              </a:solidFill>
            </c:spPr>
            <c:extLst>
              <c:ext xmlns:c16="http://schemas.microsoft.com/office/drawing/2014/chart" uri="{C3380CC4-5D6E-409C-BE32-E72D297353CC}">
                <c16:uniqueId val="{00000007-44F7-4119-BDC9-6F7645B1E807}"/>
              </c:ext>
            </c:extLst>
          </c:dPt>
          <c:dPt>
            <c:idx val="4"/>
            <c:bubble3D val="0"/>
            <c:spPr>
              <a:solidFill>
                <a:schemeClr val="accent1">
                  <a:lumMod val="60000"/>
                  <a:lumOff val="40000"/>
                </a:schemeClr>
              </a:solidFill>
            </c:spPr>
            <c:extLst>
              <c:ext xmlns:c16="http://schemas.microsoft.com/office/drawing/2014/chart" uri="{C3380CC4-5D6E-409C-BE32-E72D297353CC}">
                <c16:uniqueId val="{00000009-44F7-4119-BDC9-6F7645B1E807}"/>
              </c:ext>
            </c:extLst>
          </c:dPt>
          <c:dPt>
            <c:idx val="5"/>
            <c:bubble3D val="0"/>
            <c:spPr>
              <a:solidFill>
                <a:schemeClr val="accent1">
                  <a:lumMod val="60000"/>
                  <a:lumOff val="40000"/>
                </a:schemeClr>
              </a:solidFill>
            </c:spPr>
            <c:extLst>
              <c:ext xmlns:c16="http://schemas.microsoft.com/office/drawing/2014/chart" uri="{C3380CC4-5D6E-409C-BE32-E72D297353CC}">
                <c16:uniqueId val="{0000000B-44F7-4119-BDC9-6F7645B1E807}"/>
              </c:ext>
            </c:extLst>
          </c:dPt>
          <c:dPt>
            <c:idx val="6"/>
            <c:bubble3D val="0"/>
            <c:spPr>
              <a:solidFill>
                <a:schemeClr val="accent1">
                  <a:lumMod val="75000"/>
                </a:schemeClr>
              </a:solidFill>
            </c:spPr>
            <c:extLst>
              <c:ext xmlns:c16="http://schemas.microsoft.com/office/drawing/2014/chart" uri="{C3380CC4-5D6E-409C-BE32-E72D297353CC}">
                <c16:uniqueId val="{0000000D-44F7-4119-BDC9-6F7645B1E807}"/>
              </c:ext>
            </c:extLst>
          </c:dPt>
          <c:dPt>
            <c:idx val="7"/>
            <c:bubble3D val="0"/>
            <c:spPr>
              <a:solidFill>
                <a:schemeClr val="accent1">
                  <a:lumMod val="75000"/>
                </a:schemeClr>
              </a:solidFill>
            </c:spPr>
            <c:extLst>
              <c:ext xmlns:c16="http://schemas.microsoft.com/office/drawing/2014/chart" uri="{C3380CC4-5D6E-409C-BE32-E72D297353CC}">
                <c16:uniqueId val="{0000000F-44F7-4119-BDC9-6F7645B1E807}"/>
              </c:ext>
            </c:extLst>
          </c:dPt>
          <c:dPt>
            <c:idx val="8"/>
            <c:bubble3D val="0"/>
            <c:spPr>
              <a:solidFill>
                <a:schemeClr val="accent1">
                  <a:lumMod val="50000"/>
                </a:schemeClr>
              </a:solidFill>
            </c:spPr>
            <c:extLst>
              <c:ext xmlns:c16="http://schemas.microsoft.com/office/drawing/2014/chart" uri="{C3380CC4-5D6E-409C-BE32-E72D297353CC}">
                <c16:uniqueId val="{00000011-44F7-4119-BDC9-6F7645B1E807}"/>
              </c:ext>
            </c:extLst>
          </c:dPt>
          <c:dPt>
            <c:idx val="9"/>
            <c:bubble3D val="0"/>
            <c:spPr>
              <a:noFill/>
            </c:spPr>
            <c:extLst>
              <c:ext xmlns:c16="http://schemas.microsoft.com/office/drawing/2014/chart" uri="{C3380CC4-5D6E-409C-BE32-E72D297353CC}">
                <c16:uniqueId val="{00000013-44F7-4119-BDC9-6F7645B1E807}"/>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4F7-4119-BDC9-6F7645B1E807}"/>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0.92744515333466127</c:v>
                </c:pt>
              </c:numCache>
            </c:numRef>
          </c:xVal>
          <c:yVal>
            <c:numRef>
              <c:f>[1]omie_dinamic_dia!$Y$37:$Y$38</c:f>
              <c:numCache>
                <c:formatCode>General</c:formatCode>
                <c:ptCount val="2"/>
                <c:pt idx="0">
                  <c:v>0</c:v>
                </c:pt>
                <c:pt idx="1">
                  <c:v>0.37395920573780067</c:v>
                </c:pt>
              </c:numCache>
            </c:numRef>
          </c:yVal>
          <c:smooth val="1"/>
          <c:extLst>
            <c:ext xmlns:c16="http://schemas.microsoft.com/office/drawing/2014/chart" uri="{C3380CC4-5D6E-409C-BE32-E72D297353CC}">
              <c16:uniqueId val="{00000015-44F7-4119-BDC9-6F7645B1E807}"/>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624</c:v>
                </c:pt>
                <c:pt idx="18">
                  <c:v>547</c:v>
                </c:pt>
                <c:pt idx="19">
                  <c:v>512</c:v>
                </c:pt>
                <c:pt idx="20">
                  <c:v>607</c:v>
                </c:pt>
                <c:pt idx="21">
                  <c:v>631</c:v>
                </c:pt>
                <c:pt idx="22">
                  <c:v>629</c:v>
                </c:pt>
                <c:pt idx="23">
                  <c:v>457</c:v>
                </c:pt>
                <c:pt idx="24">
                  <c:v>0</c:v>
                </c:pt>
              </c:numCache>
            </c:numRef>
          </c:val>
          <c:extLst>
            <c:ext xmlns:c16="http://schemas.microsoft.com/office/drawing/2014/chart" uri="{C3380CC4-5D6E-409C-BE32-E72D297353CC}">
              <c16:uniqueId val="{00000000-58BA-4AAE-93D4-04A1D1F579A5}"/>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E1C3-4449-85E1-E88AD64C2797}"/>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E1C3-4449-85E1-E88AD64C2797}"/>
              </c:ext>
            </c:extLst>
          </c:dPt>
          <c:xVal>
            <c:numRef>
              <c:f>gauss!$L$49:$L$50</c:f>
              <c:numCache>
                <c:formatCode>0.00</c:formatCode>
                <c:ptCount val="2"/>
                <c:pt idx="0">
                  <c:v>66.540000000000006</c:v>
                </c:pt>
                <c:pt idx="1">
                  <c:v>66.540000000000006</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E1C3-4449-85E1-E88AD64C2797}"/>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E1C3-4449-85E1-E88AD64C2797}"/>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E1C3-4449-85E1-E88AD64C2797}"/>
                  </c:ext>
                </c:extLst>
              </c15:ser>
            </c15:filteredScatterSeries>
          </c:ext>
        </c:extLst>
      </c:scatterChart>
      <c:valAx>
        <c:axId val="123170559"/>
        <c:scaling>
          <c:orientation val="minMax"/>
          <c:min val="4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0"/>
          <c:order val="0"/>
          <c:tx>
            <c:strRef>
              <c:f>acum_porc!#REF!</c:f>
              <c:strCache>
                <c:ptCount val="1"/>
                <c:pt idx="0">
                  <c:v>#REF!</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2-630F-4C85-9C73-FB7089ED1FDF}"/>
            </c:ext>
          </c:extLst>
        </c:ser>
        <c:ser>
          <c:idx val="1"/>
          <c:order val="1"/>
          <c:tx>
            <c:strRef>
              <c:f>acum_porc!#REF!</c:f>
              <c:strCache>
                <c:ptCount val="1"/>
                <c:pt idx="0">
                  <c:v>#REF!</c:v>
                </c:pt>
              </c:strCache>
              <c:extLst xmlns:c15="http://schemas.microsoft.com/office/drawing/2012/chart"/>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3-630F-4C85-9C73-FB7089ED1FDF}"/>
            </c:ext>
          </c:extLst>
        </c:ser>
        <c:ser>
          <c:idx val="2"/>
          <c:order val="2"/>
          <c:tx>
            <c:strRef>
              <c:f>acum_porc!#REF!</c:f>
              <c:strCache>
                <c:ptCount val="1"/>
                <c:pt idx="0">
                  <c:v>#REF!</c:v>
                </c:pt>
              </c:strCache>
              <c:extLst xmlns:c15="http://schemas.microsoft.com/office/drawing/2012/chart"/>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4-630F-4C85-9C73-FB7089ED1FDF}"/>
            </c:ext>
          </c:extLst>
        </c:ser>
        <c:ser>
          <c:idx val="3"/>
          <c:order val="3"/>
          <c:tx>
            <c:strRef>
              <c:f>acum_porc!#REF!</c:f>
              <c:strCache>
                <c:ptCount val="1"/>
                <c:pt idx="0">
                  <c:v>#REF!</c:v>
                </c:pt>
              </c:strCache>
              <c:extLst xmlns:c15="http://schemas.microsoft.com/office/drawing/2012/chart"/>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5-630F-4C85-9C73-FB7089ED1FDF}"/>
            </c:ext>
          </c:extLst>
        </c:ser>
        <c:ser>
          <c:idx val="5"/>
          <c:order val="5"/>
          <c:tx>
            <c:strRef>
              <c:f>acum_porc!$M$1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acum_porc!$M$2:$M$22</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4"/>
                <c:order val="4"/>
                <c:tx>
                  <c:strRef>
                    <c:extLst>
                      <c:ext uri="{02D57815-91ED-43cb-92C2-25804820EDAC}">
                        <c15:formulaRef>
                          <c15:sqref>acum_porc!$L$1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c:ext uri="{02D57815-91ED-43cb-92C2-25804820EDAC}">
                        <c15:formulaRef>
                          <c15:sqref>acum_porc!$L$2:$L$100</c15:sqref>
                        </c15:formulaRef>
                      </c:ext>
                    </c:extLst>
                    <c:numCache>
                      <c:formatCode>0</c:formatCode>
                      <c:ptCount val="99"/>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8</c:v>
                      </c:pt>
                      <c:pt idx="17">
                        <c:v>8</c:v>
                      </c:pt>
                      <c:pt idx="18">
                        <c:v>8</c:v>
                      </c:pt>
                      <c:pt idx="19">
                        <c:v>8</c:v>
                      </c:pt>
                      <c:pt idx="20">
                        <c:v>8</c:v>
                      </c:pt>
                      <c:pt idx="21">
                        <c:v>7</c:v>
                      </c:pt>
                      <c:pt idx="22">
                        <c:v>7</c:v>
                      </c:pt>
                      <c:pt idx="23">
                        <c:v>7</c:v>
                      </c:pt>
                      <c:pt idx="24">
                        <c:v>6</c:v>
                      </c:pt>
                      <c:pt idx="25">
                        <c:v>6</c:v>
                      </c:pt>
                      <c:pt idx="26">
                        <c:v>6</c:v>
                      </c:pt>
                      <c:pt idx="27">
                        <c:v>6</c:v>
                      </c:pt>
                      <c:pt idx="28">
                        <c:v>5</c:v>
                      </c:pt>
                      <c:pt idx="29">
                        <c:v>5</c:v>
                      </c:pt>
                      <c:pt idx="30">
                        <c:v>5</c:v>
                      </c:pt>
                      <c:pt idx="31">
                        <c:v>5</c:v>
                      </c:pt>
                      <c:pt idx="32">
                        <c:v>5</c:v>
                      </c:pt>
                      <c:pt idx="33">
                        <c:v>5</c:v>
                      </c:pt>
                      <c:pt idx="34">
                        <c:v>5</c:v>
                      </c:pt>
                      <c:pt idx="35">
                        <c:v>5</c:v>
                      </c:pt>
                      <c:pt idx="36">
                        <c:v>5</c:v>
                      </c:pt>
                      <c:pt idx="37">
                        <c:v>4</c:v>
                      </c:pt>
                      <c:pt idx="38">
                        <c:v>4</c:v>
                      </c:pt>
                      <c:pt idx="39">
                        <c:v>4</c:v>
                      </c:pt>
                      <c:pt idx="40">
                        <c:v>4</c:v>
                      </c:pt>
                      <c:pt idx="41">
                        <c:v>4</c:v>
                      </c:pt>
                      <c:pt idx="42">
                        <c:v>4</c:v>
                      </c:pt>
                      <c:pt idx="43">
                        <c:v>4</c:v>
                      </c:pt>
                      <c:pt idx="44">
                        <c:v>3</c:v>
                      </c:pt>
                      <c:pt idx="45">
                        <c:v>3</c:v>
                      </c:pt>
                      <c:pt idx="46">
                        <c:v>3</c:v>
                      </c:pt>
                      <c:pt idx="47">
                        <c:v>3</c:v>
                      </c:pt>
                      <c:pt idx="48">
                        <c:v>3</c:v>
                      </c:pt>
                      <c:pt idx="49">
                        <c:v>3</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numCache>
                  </c:numRef>
                </c:val>
                <c:extLs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acum_porc!$N$1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xmlns:c15="http://schemas.microsoft.com/office/drawing/2012/chart">
                      <c:ext xmlns:c15="http://schemas.microsoft.com/office/drawing/2012/chart" uri="{02D57815-91ED-43cb-92C2-25804820EDAC}">
                        <c15:formulaRef>
                          <c15:sqref>acum_porc!$N$2:$N$100</c15:sqref>
                        </c15:formulaRef>
                      </c:ext>
                    </c:extLst>
                    <c:numCache>
                      <c:formatCode>General</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3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H$1" max="31" min="1" page="10" val="25"/>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0.xml.rels><?xml version="1.0" encoding="UTF-8" standalone="yes"?>
<Relationships xmlns="http://schemas.openxmlformats.org/package/2006/relationships"><Relationship Id="rId8" Type="http://schemas.openxmlformats.org/officeDocument/2006/relationships/chart" Target="../charts/chart78.xml"/><Relationship Id="rId13" Type="http://schemas.openxmlformats.org/officeDocument/2006/relationships/chart" Target="../charts/chart82.xml"/><Relationship Id="rId3" Type="http://schemas.openxmlformats.org/officeDocument/2006/relationships/image" Target="../media/image2.png"/><Relationship Id="rId7" Type="http://schemas.openxmlformats.org/officeDocument/2006/relationships/chart" Target="../charts/chart77.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74.xml"/><Relationship Id="rId6" Type="http://schemas.openxmlformats.org/officeDocument/2006/relationships/image" Target="../media/image6.png"/><Relationship Id="rId11" Type="http://schemas.openxmlformats.org/officeDocument/2006/relationships/chart" Target="../charts/chart81.xml"/><Relationship Id="rId5" Type="http://schemas.openxmlformats.org/officeDocument/2006/relationships/chart" Target="../charts/chart76.xml"/><Relationship Id="rId15" Type="http://schemas.openxmlformats.org/officeDocument/2006/relationships/image" Target="../media/image18.png"/><Relationship Id="rId10" Type="http://schemas.openxmlformats.org/officeDocument/2006/relationships/chart" Target="../charts/chart80.xml"/><Relationship Id="rId4" Type="http://schemas.openxmlformats.org/officeDocument/2006/relationships/chart" Target="../charts/chart75.xml"/><Relationship Id="rId9" Type="http://schemas.openxmlformats.org/officeDocument/2006/relationships/chart" Target="../charts/chart79.xml"/><Relationship Id="rId14" Type="http://schemas.openxmlformats.org/officeDocument/2006/relationships/image" Target="../media/image15.png"/></Relationships>
</file>

<file path=xl/drawings/_rels/drawing24.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8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8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8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38100</xdr:colOff>
          <xdr:row>10</xdr:row>
          <xdr:rowOff>9525</xdr:rowOff>
        </xdr:from>
        <xdr:to>
          <xdr:col>35</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33</xdr:col>
      <xdr:colOff>80597</xdr:colOff>
      <xdr:row>14</xdr:row>
      <xdr:rowOff>43962</xdr:rowOff>
    </xdr:from>
    <xdr:to>
      <xdr:col>37</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62,93</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42,9%</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43,9%</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62,93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42,9%</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43,9%</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62,93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42,9%</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43,9%</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39,70</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62,93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39,70</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62,93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42,9%</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43,9%</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39,70</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62,93</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39,70</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62,93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42,9%</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43,9%</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45,79</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78,54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62,93</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62,93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42,9%</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43,9%</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45,79</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78,54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62,93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42,9%</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43,9%</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45,79</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78,54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62,93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6,43</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9,7%</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42,9%</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43,9%</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45,79</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78,54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62,93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1</xdr:colOff>
      <xdr:row>38</xdr:row>
      <xdr:rowOff>0</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430000" y="5712451"/>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0</xdr:colOff>
      <xdr:row>38</xdr:row>
      <xdr:rowOff>0</xdr:rowOff>
    </xdr:from>
    <xdr:to>
      <xdr:col>16</xdr:col>
      <xdr:colOff>658403</xdr:colOff>
      <xdr:row>38</xdr:row>
      <xdr:rowOff>193</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30000" y="601540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124558</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2822115" y="4169020"/>
          <a:ext cx="28941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9BCCD0F-F061-D0BF-4146-91F8659B699A}"/>
            </a:ext>
          </a:extLst>
        </xdr:cNvPr>
        <xdr:cNvPicPr>
          <a:picLocks noChangeAspect="1"/>
        </xdr:cNvPicPr>
      </xdr:nvPicPr>
      <xdr:blipFill>
        <a:blip xmlns:r="http://schemas.openxmlformats.org/officeDocument/2006/relationships" r:embed="rId15"/>
        <a:stretch>
          <a:fillRect/>
        </a:stretch>
      </xdr:blipFill>
      <xdr:spPr>
        <a:xfrm>
          <a:off x="12924693" y="4506058"/>
          <a:ext cx="1649101" cy="1635694"/>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72,62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6,43</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9,7%</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0.00687</cdr:x>
      <cdr:y>0.0171</cdr:y>
    </cdr:from>
    <cdr:to>
      <cdr:x>0.68213</cdr:x>
      <cdr:y>0.10972</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9865" y="44716"/>
          <a:ext cx="969725" cy="242267"/>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0.53229</cdr:x>
      <cdr:y>0.00308</cdr:y>
    </cdr:from>
    <cdr:to>
      <cdr:x>0.94695</cdr:x>
      <cdr:y>0.11024</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64412" y="8058"/>
          <a:ext cx="595483"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AB72395-A346-43B8-94D1-B5A5A5D8A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BF5333B5-CA60-4EFE-B42E-8AB704F8E609}"/>
            </a:ext>
          </a:extLst>
        </xdr:cNvPr>
        <xdr:cNvSpPr txBox="1"/>
      </xdr:nvSpPr>
      <xdr:spPr>
        <a:xfrm>
          <a:off x="12820650" y="2000250"/>
          <a:ext cx="27717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69634" name="Spinner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8C32F35-8A42-40F2-8803-40FA159A5D9A}"/>
            </a:ext>
          </a:extLst>
        </xdr:cNvPr>
        <xdr:cNvSpPr txBox="1"/>
      </xdr:nvSpPr>
      <xdr:spPr>
        <a:xfrm>
          <a:off x="12820650" y="762001"/>
          <a:ext cx="27717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85E13D3A-5470-444F-BC04-42146A9299B0}"/>
            </a:ext>
          </a:extLst>
        </xdr:cNvPr>
        <xdr:cNvSpPr/>
      </xdr:nvSpPr>
      <xdr:spPr>
        <a:xfrm>
          <a:off x="12820650" y="0"/>
          <a:ext cx="27717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FF709D7B-363D-4203-99A6-A2DEBE8CBAB5}"/>
            </a:ext>
          </a:extLst>
        </xdr:cNvPr>
        <xdr:cNvSpPr/>
      </xdr:nvSpPr>
      <xdr:spPr>
        <a:xfrm>
          <a:off x="6562725" y="0"/>
          <a:ext cx="2584938"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2B6CBF11-78ED-4223-9546-1CAABA4E9CFB}"/>
            </a:ext>
          </a:extLst>
        </xdr:cNvPr>
        <xdr:cNvSpPr/>
      </xdr:nvSpPr>
      <xdr:spPr>
        <a:xfrm>
          <a:off x="91440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C40F8922-9DF1-49E9-A283-46B398CA303F}"/>
            </a:ext>
          </a:extLst>
        </xdr:cNvPr>
        <xdr:cNvCxnSpPr/>
      </xdr:nvCxnSpPr>
      <xdr:spPr>
        <a:xfrm>
          <a:off x="12920478" y="1076325"/>
          <a:ext cx="24619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81DE2A99-3B24-43AA-8BE5-44B6FBE7737B}"/>
            </a:ext>
          </a:extLst>
        </xdr:cNvPr>
        <xdr:cNvCxnSpPr/>
      </xdr:nvCxnSpPr>
      <xdr:spPr>
        <a:xfrm flipV="1">
          <a:off x="12858604" y="2285172"/>
          <a:ext cx="25387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949A3750-D593-4B79-B6D4-6DA7FCAEF9D2}"/>
            </a:ext>
          </a:extLst>
        </xdr:cNvPr>
        <xdr:cNvCxnSpPr/>
      </xdr:nvCxnSpPr>
      <xdr:spPr>
        <a:xfrm flipV="1">
          <a:off x="12976602" y="4438650"/>
          <a:ext cx="23130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BB4FC871-7FB6-49F2-815B-B26992A9EC53}"/>
            </a:ext>
          </a:extLst>
        </xdr:cNvPr>
        <xdr:cNvSpPr txBox="1"/>
      </xdr:nvSpPr>
      <xdr:spPr>
        <a:xfrm>
          <a:off x="139245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ED1E69A7-FBCC-4F6D-AFE7-4DAE7DACF5E9}"/>
            </a:ext>
          </a:extLst>
        </xdr:cNvPr>
        <xdr:cNvPicPr>
          <a:picLocks noChangeAspect="1"/>
        </xdr:cNvPicPr>
      </xdr:nvPicPr>
      <xdr:blipFill>
        <a:blip xmlns:r="http://schemas.openxmlformats.org/officeDocument/2006/relationships" r:embed="rId2"/>
        <a:stretch>
          <a:fillRect/>
        </a:stretch>
      </xdr:blipFill>
      <xdr:spPr>
        <a:xfrm>
          <a:off x="12889461" y="1128569"/>
          <a:ext cx="2337186"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609C4695-98E2-43CE-8227-B538308FAD5D}"/>
            </a:ext>
          </a:extLst>
        </xdr:cNvPr>
        <xdr:cNvSpPr txBox="1"/>
      </xdr:nvSpPr>
      <xdr:spPr>
        <a:xfrm>
          <a:off x="130727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42,9%</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EBAA69AF-054A-42DC-935F-537E5F9CBD3F}"/>
            </a:ext>
          </a:extLst>
        </xdr:cNvPr>
        <xdr:cNvSpPr txBox="1"/>
      </xdr:nvSpPr>
      <xdr:spPr>
        <a:xfrm>
          <a:off x="146933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43,9%</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E55AC809-B395-4F12-B5AB-356ECA1744EF}"/>
            </a:ext>
          </a:extLst>
        </xdr:cNvPr>
        <xdr:cNvSpPr txBox="1"/>
      </xdr:nvSpPr>
      <xdr:spPr>
        <a:xfrm>
          <a:off x="129200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45,79</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2C01FC30-2175-4B97-9143-F96D3DCCF410}"/>
            </a:ext>
          </a:extLst>
        </xdr:cNvPr>
        <xdr:cNvSpPr txBox="1"/>
      </xdr:nvSpPr>
      <xdr:spPr>
        <a:xfrm>
          <a:off x="137694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9BB08E1E-16B2-4BDD-9FB1-923A81EBCF1B}"/>
            </a:ext>
          </a:extLst>
        </xdr:cNvPr>
        <xdr:cNvSpPr txBox="1"/>
      </xdr:nvSpPr>
      <xdr:spPr>
        <a:xfrm>
          <a:off x="147596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78,54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75625B72-715C-45DB-BF12-581F3D49BF74}"/>
            </a:ext>
          </a:extLst>
        </xdr:cNvPr>
        <xdr:cNvPicPr>
          <a:picLocks noChangeAspect="1"/>
        </xdr:cNvPicPr>
      </xdr:nvPicPr>
      <xdr:blipFill>
        <a:blip xmlns:r="http://schemas.openxmlformats.org/officeDocument/2006/relationships" r:embed="rId3"/>
        <a:stretch>
          <a:fillRect/>
        </a:stretch>
      </xdr:blipFill>
      <xdr:spPr>
        <a:xfrm>
          <a:off x="12857605" y="2372900"/>
          <a:ext cx="2443035"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CD84AEEC-213A-4FB4-8D98-E35EB28B1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A68B10BF-E48C-43A2-9A9D-380079EA3675}"/>
            </a:ext>
          </a:extLst>
        </xdr:cNvPr>
        <xdr:cNvSpPr txBox="1"/>
      </xdr:nvSpPr>
      <xdr:spPr>
        <a:xfrm>
          <a:off x="155924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DFFEDCE2-2C64-43F8-A685-B41C3A7183C0}"/>
            </a:ext>
          </a:extLst>
        </xdr:cNvPr>
        <xdr:cNvCxnSpPr/>
      </xdr:nvCxnSpPr>
      <xdr:spPr>
        <a:xfrm flipV="1">
          <a:off x="156921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F1DBCC9C-8E4B-4363-8D22-D1DF0AABE6D5}"/>
            </a:ext>
          </a:extLst>
        </xdr:cNvPr>
        <xdr:cNvSpPr txBox="1"/>
      </xdr:nvSpPr>
      <xdr:spPr>
        <a:xfrm>
          <a:off x="155924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EC2F7CE0-C4E5-4037-B0AF-6FCBB5737E8D}"/>
            </a:ext>
          </a:extLst>
        </xdr:cNvPr>
        <xdr:cNvSpPr/>
      </xdr:nvSpPr>
      <xdr:spPr>
        <a:xfrm>
          <a:off x="155924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3FFAE925-57A0-4C86-B702-3DA5317176D1}"/>
            </a:ext>
          </a:extLst>
        </xdr:cNvPr>
        <xdr:cNvSpPr txBox="1"/>
      </xdr:nvSpPr>
      <xdr:spPr>
        <a:xfrm>
          <a:off x="156680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B8BC7594-8551-4397-B362-CDF80917A47E}"/>
            </a:ext>
          </a:extLst>
        </xdr:cNvPr>
        <xdr:cNvSpPr txBox="1"/>
      </xdr:nvSpPr>
      <xdr:spPr>
        <a:xfrm>
          <a:off x="15584366" y="393169"/>
          <a:ext cx="2362932"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#miniporraasoctubre2024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84E678DA-FBCD-469C-AC38-6865C2570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E3E5DC24-ECA5-41CA-B832-1FE57D4A2EBD}"/>
            </a:ext>
          </a:extLst>
        </xdr:cNvPr>
        <xdr:cNvPicPr>
          <a:picLocks noChangeAspect="1"/>
        </xdr:cNvPicPr>
      </xdr:nvPicPr>
      <xdr:blipFill>
        <a:blip xmlns:r="http://schemas.openxmlformats.org/officeDocument/2006/relationships" r:embed="rId6"/>
        <a:stretch>
          <a:fillRect/>
        </a:stretch>
      </xdr:blipFill>
      <xdr:spPr>
        <a:xfrm>
          <a:off x="147921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540A26FC-B8E4-4B71-A939-C3E32A000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8BE5D847-B094-4C6F-8418-45FD005DF21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E5147EA8-9AE0-46F8-A214-6B9446F03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BE1C262-55F4-462C-BD74-F571EF84E42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8AB2F2F0-9506-4E89-BE66-841F37E8B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84F81CA-C1FD-41E9-984B-644E488403B9}"/>
            </a:ext>
          </a:extLst>
        </xdr:cNvPr>
        <xdr:cNvSpPr txBox="1"/>
      </xdr:nvSpPr>
      <xdr:spPr>
        <a:xfrm>
          <a:off x="189320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14.485</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4B5A4948-9CFC-4796-9E80-609AA6FBAB6A}"/>
            </a:ext>
          </a:extLst>
        </xdr:cNvPr>
        <xdr:cNvSpPr txBox="1"/>
      </xdr:nvSpPr>
      <xdr:spPr>
        <a:xfrm>
          <a:off x="189386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B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93324B14-1644-4FD1-AD17-566E99F963F0}"/>
            </a:ext>
          </a:extLst>
        </xdr:cNvPr>
        <xdr:cNvSpPr txBox="1"/>
      </xdr:nvSpPr>
      <xdr:spPr>
        <a:xfrm>
          <a:off x="172187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39,70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8F0EF070-47A7-46AA-A477-5373AE49450D}"/>
            </a:ext>
          </a:extLst>
        </xdr:cNvPr>
        <xdr:cNvSpPr txBox="1"/>
      </xdr:nvSpPr>
      <xdr:spPr>
        <a:xfrm>
          <a:off x="171690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62,93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2C6DF3A8-BA38-42F1-9843-7468D2AFAC3A}"/>
            </a:ext>
          </a:extLst>
        </xdr:cNvPr>
        <xdr:cNvSpPr txBox="1"/>
      </xdr:nvSpPr>
      <xdr:spPr>
        <a:xfrm>
          <a:off x="12820650" y="6115050"/>
          <a:ext cx="52954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992DC2E1-5623-4EE2-8DF4-A41A13CC824F}"/>
            </a:ext>
          </a:extLst>
        </xdr:cNvPr>
        <xdr:cNvSpPr txBox="1"/>
      </xdr:nvSpPr>
      <xdr:spPr>
        <a:xfrm>
          <a:off x="12820650" y="4144840"/>
          <a:ext cx="27717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D5E51249-6D53-4D44-847F-3E773B957150}"/>
            </a:ext>
          </a:extLst>
        </xdr:cNvPr>
        <xdr:cNvSpPr txBox="1"/>
      </xdr:nvSpPr>
      <xdr:spPr>
        <a:xfrm>
          <a:off x="155924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16B33F95-0E8E-40B0-A754-0FC5CBBDCD53}"/>
            </a:ext>
          </a:extLst>
        </xdr:cNvPr>
        <xdr:cNvCxnSpPr/>
      </xdr:nvCxnSpPr>
      <xdr:spPr>
        <a:xfrm>
          <a:off x="157788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7335403-2F72-46D7-80FA-E24555B0EC3D}"/>
            </a:ext>
          </a:extLst>
        </xdr:cNvPr>
        <xdr:cNvSpPr/>
      </xdr:nvSpPr>
      <xdr:spPr>
        <a:xfrm>
          <a:off x="155924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BDFB62B-2474-4A1A-91D2-B02DF1AD82C9}"/>
            </a:ext>
          </a:extLst>
        </xdr:cNvPr>
        <xdr:cNvSpPr/>
      </xdr:nvSpPr>
      <xdr:spPr>
        <a:xfrm>
          <a:off x="12822115" y="6169269"/>
          <a:ext cx="5319347"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472D1D03-D12A-425E-BE63-1D75857BF8B7}"/>
            </a:ext>
          </a:extLst>
        </xdr:cNvPr>
        <xdr:cNvSpPr/>
      </xdr:nvSpPr>
      <xdr:spPr>
        <a:xfrm>
          <a:off x="155924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9787AA17-6238-4A8E-A55C-2B5164DC0A4E}"/>
            </a:ext>
          </a:extLst>
        </xdr:cNvPr>
        <xdr:cNvSpPr/>
      </xdr:nvSpPr>
      <xdr:spPr>
        <a:xfrm>
          <a:off x="12820650" y="2000250"/>
          <a:ext cx="27717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FE8638E2-D65A-489C-8356-07ADDE5A944E}"/>
            </a:ext>
          </a:extLst>
        </xdr:cNvPr>
        <xdr:cNvSpPr/>
      </xdr:nvSpPr>
      <xdr:spPr>
        <a:xfrm>
          <a:off x="12820650" y="762000"/>
          <a:ext cx="27717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D042D438-E0E3-4B49-9B67-82FEDB2188C3}"/>
            </a:ext>
          </a:extLst>
        </xdr:cNvPr>
        <xdr:cNvSpPr/>
      </xdr:nvSpPr>
      <xdr:spPr>
        <a:xfrm>
          <a:off x="155924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4C8DFC05-102A-4690-B3D6-B94A28E09C33}"/>
            </a:ext>
          </a:extLst>
        </xdr:cNvPr>
        <xdr:cNvCxnSpPr/>
      </xdr:nvCxnSpPr>
      <xdr:spPr>
        <a:xfrm>
          <a:off x="156940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1DA6350E-ACE0-4857-AB87-573DADE7A308}"/>
            </a:ext>
          </a:extLst>
        </xdr:cNvPr>
        <xdr:cNvCxnSpPr/>
      </xdr:nvCxnSpPr>
      <xdr:spPr>
        <a:xfrm flipV="1">
          <a:off x="12903475" y="6391689"/>
          <a:ext cx="49227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178191</xdr:colOff>
      <xdr:row>45</xdr:row>
      <xdr:rowOff>7326</xdr:rowOff>
    </xdr:from>
    <xdr:to>
      <xdr:col>17</xdr:col>
      <xdr:colOff>0</xdr:colOff>
      <xdr:row>54</xdr:row>
      <xdr:rowOff>0</xdr:rowOff>
    </xdr:to>
    <xdr:pic>
      <xdr:nvPicPr>
        <xdr:cNvPr id="49" name="Imagen 48">
          <a:extLst>
            <a:ext uri="{FF2B5EF4-FFF2-40B4-BE49-F238E27FC236}">
              <a16:creationId xmlns:a16="http://schemas.microsoft.com/office/drawing/2014/main" id="{DDF658DF-6A4C-418B-BF73-22FE4CD615D3}"/>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48826" y="7099788"/>
          <a:ext cx="7273289" cy="1377462"/>
        </a:xfrm>
        <a:prstGeom prst="rect">
          <a:avLst/>
        </a:prstGeom>
      </xdr:spPr>
    </xdr:pic>
    <xdr:clientData/>
  </xdr:twoCellAnchor>
  <xdr:twoCellAnchor>
    <xdr:from>
      <xdr:col>15</xdr:col>
      <xdr:colOff>1</xdr:colOff>
      <xdr:row>36</xdr:row>
      <xdr:rowOff>153865</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886CFFEE-CD41-49C6-83AA-BA85C17F0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F467D844-D4A6-4482-863B-C02B43C870D8}"/>
            </a:ext>
          </a:extLst>
        </xdr:cNvPr>
        <xdr:cNvSpPr txBox="1"/>
      </xdr:nvSpPr>
      <xdr:spPr>
        <a:xfrm>
          <a:off x="11430000" y="5866316"/>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29308</xdr:colOff>
      <xdr:row>38</xdr:row>
      <xdr:rowOff>146537</xdr:rowOff>
    </xdr:from>
    <xdr:to>
      <xdr:col>16</xdr:col>
      <xdr:colOff>687711</xdr:colOff>
      <xdr:row>38</xdr:row>
      <xdr:rowOff>146730</xdr:rowOff>
    </xdr:to>
    <xdr:cxnSp macro="">
      <xdr:nvCxnSpPr>
        <xdr:cNvPr id="52" name="Conector recto 51">
          <a:extLst>
            <a:ext uri="{FF2B5EF4-FFF2-40B4-BE49-F238E27FC236}">
              <a16:creationId xmlns:a16="http://schemas.microsoft.com/office/drawing/2014/main" id="{513195E2-F505-4A6E-9174-CA19EB81848A}"/>
            </a:ext>
          </a:extLst>
        </xdr:cNvPr>
        <xdr:cNvCxnSpPr/>
      </xdr:nvCxnSpPr>
      <xdr:spPr>
        <a:xfrm>
          <a:off x="11459308" y="6161941"/>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0</xdr:rowOff>
    </xdr:from>
    <xdr:to>
      <xdr:col>20</xdr:col>
      <xdr:colOff>0</xdr:colOff>
      <xdr:row>38</xdr:row>
      <xdr:rowOff>153864</xdr:rowOff>
    </xdr:to>
    <xdr:sp macro="" textlink="">
      <xdr:nvSpPr>
        <xdr:cNvPr id="53" name="Rectángulo 52">
          <a:extLst>
            <a:ext uri="{FF2B5EF4-FFF2-40B4-BE49-F238E27FC236}">
              <a16:creationId xmlns:a16="http://schemas.microsoft.com/office/drawing/2014/main" id="{7C7AF571-8724-4138-9DF9-C75522C1398F}"/>
            </a:ext>
          </a:extLst>
        </xdr:cNvPr>
        <xdr:cNvSpPr/>
      </xdr:nvSpPr>
      <xdr:spPr>
        <a:xfrm>
          <a:off x="12822115" y="4169019"/>
          <a:ext cx="2769577"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367FD6DA-BF48-4069-96B3-C7516B7712EE}"/>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246568</xdr:colOff>
      <xdr:row>44</xdr:row>
      <xdr:rowOff>139214</xdr:rowOff>
    </xdr:from>
    <xdr:to>
      <xdr:col>11</xdr:col>
      <xdr:colOff>1721827</xdr:colOff>
      <xdr:row>48</xdr:row>
      <xdr:rowOff>146540</xdr:rowOff>
    </xdr:to>
    <xdr:sp macro="" textlink="">
      <xdr:nvSpPr>
        <xdr:cNvPr id="55" name="CuadroTexto 54">
          <a:extLst>
            <a:ext uri="{FF2B5EF4-FFF2-40B4-BE49-F238E27FC236}">
              <a16:creationId xmlns:a16="http://schemas.microsoft.com/office/drawing/2014/main" id="{0D125D0A-9460-4D11-AE4C-FB2E4F33F8F8}"/>
            </a:ext>
          </a:extLst>
        </xdr:cNvPr>
        <xdr:cNvSpPr txBox="1"/>
      </xdr:nvSpPr>
      <xdr:spPr>
        <a:xfrm>
          <a:off x="6518414" y="7077810"/>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7C92D28-77CA-4FDB-A093-F94E10004E4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8766" y="7992550"/>
          <a:ext cx="268853" cy="278081"/>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C7FB2E32-5613-4C7A-AC29-A5EF1F700D64}"/>
            </a:ext>
          </a:extLst>
        </xdr:cNvPr>
        <xdr:cNvSpPr txBox="1"/>
      </xdr:nvSpPr>
      <xdr:spPr>
        <a:xfrm>
          <a:off x="6811204"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AC85DDCE-B1F9-4187-8274-72EA2B495527}"/>
            </a:ext>
          </a:extLst>
        </xdr:cNvPr>
        <xdr:cNvSpPr/>
      </xdr:nvSpPr>
      <xdr:spPr>
        <a:xfrm>
          <a:off x="9964616" y="9221664"/>
          <a:ext cx="4945673" cy="10667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E7C0642-DC5C-499F-B49D-16DE631B9D66}"/>
            </a:ext>
          </a:extLst>
        </xdr:cNvPr>
        <xdr:cNvPicPr>
          <a:picLocks noChangeAspect="1"/>
        </xdr:cNvPicPr>
      </xdr:nvPicPr>
      <xdr:blipFill>
        <a:blip xmlns:r="http://schemas.openxmlformats.org/officeDocument/2006/relationships" r:embed="rId15"/>
        <a:stretch>
          <a:fillRect/>
        </a:stretch>
      </xdr:blipFill>
      <xdr:spPr>
        <a:xfrm>
          <a:off x="12923228" y="4467958"/>
          <a:ext cx="1649833" cy="1621040"/>
        </a:xfrm>
        <a:prstGeom prst="rect">
          <a:avLst/>
        </a:prstGeom>
      </xdr:spPr>
    </xdr:pic>
    <xdr:clientData/>
  </xdr:twoCellAnchor>
  <xdr:twoCellAnchor>
    <xdr:from>
      <xdr:col>11</xdr:col>
      <xdr:colOff>1348154</xdr:colOff>
      <xdr:row>21</xdr:row>
      <xdr:rowOff>21981</xdr:rowOff>
    </xdr:from>
    <xdr:to>
      <xdr:col>12</xdr:col>
      <xdr:colOff>366346</xdr:colOff>
      <xdr:row>23</xdr:row>
      <xdr:rowOff>7327</xdr:rowOff>
    </xdr:to>
    <xdr:sp macro="" textlink="">
      <xdr:nvSpPr>
        <xdr:cNvPr id="60" name="CuadroTexto 59">
          <a:extLst>
            <a:ext uri="{FF2B5EF4-FFF2-40B4-BE49-F238E27FC236}">
              <a16:creationId xmlns:a16="http://schemas.microsoft.com/office/drawing/2014/main" id="{D954D971-A9AF-4C49-8CC0-A2217330D7E1}"/>
            </a:ext>
          </a:extLst>
        </xdr:cNvPr>
        <xdr:cNvSpPr txBox="1"/>
      </xdr:nvSpPr>
      <xdr:spPr>
        <a:xfrm>
          <a:off x="8535866" y="3421673"/>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72,97</a:t>
          </a: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0.22299</cdr:x>
      <cdr:y>0</cdr:y>
    </cdr:from>
    <cdr:to>
      <cdr:x>0.34228</cdr:x>
      <cdr:y>0.14146</cdr:y>
    </cdr:to>
    <cdr:sp macro="" textlink="gauss!$R$45">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5217BFD3-4B43-4E07-A739-734B844B4935}" type="TxLink">
            <a:rPr lang="en-US" sz="900" b="0" i="0" u="none" strike="noStrike">
              <a:solidFill>
                <a:srgbClr val="000000"/>
              </a:solidFill>
              <a:latin typeface="Arial"/>
              <a:ea typeface="+mn-ea"/>
              <a:cs typeface="Arial"/>
            </a:rPr>
            <a:pPr marL="0" indent="0" algn="r"/>
            <a:t>66,54</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6,43</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0.6344</cdr:x>
      <cdr:y>0.0037</cdr:y>
    </cdr:from>
    <cdr:to>
      <cdr:x>0.75369</cdr:x>
      <cdr:y>0.14516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332580" y="7327"/>
          <a:ext cx="626640"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04BC65EB-6844-469F-B5BE-9B0B8755648B}" type="TxLink">
            <a:rPr lang="en-US" sz="900" b="0" i="0" u="none" strike="noStrike">
              <a:solidFill>
                <a:srgbClr val="000000"/>
              </a:solidFill>
              <a:latin typeface="Arial"/>
              <a:ea typeface="+mn-ea"/>
              <a:cs typeface="Arial"/>
            </a:rPr>
            <a:pPr marL="0" indent="0" algn="r"/>
            <a:t>72,97</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9,7%</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0.0595</cdr:x>
      <cdr:y>0.10692</cdr:y>
    </cdr:from>
    <cdr:to>
      <cdr:x>0.73476</cdr:x>
      <cdr:y>0.19954</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2834" y="279677"/>
          <a:ext cx="940039" cy="24226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0.49545</cdr:x>
      <cdr:y>0.12596</cdr:y>
    </cdr:from>
    <cdr:to>
      <cdr:x>0.91011</cdr:x>
      <cdr:y>0.23312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89720" y="329463"/>
          <a:ext cx="577254"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256443</xdr:colOff>
      <xdr:row>49</xdr:row>
      <xdr:rowOff>124557</xdr:rowOff>
    </xdr:from>
    <xdr:to>
      <xdr:col>17</xdr:col>
      <xdr:colOff>630116</xdr:colOff>
      <xdr:row>51</xdr:row>
      <xdr:rowOff>124557</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6836020" y="7576038"/>
          <a:ext cx="6352442" cy="3077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1553309</xdr:colOff>
      <xdr:row>35</xdr:row>
      <xdr:rowOff>58616</xdr:rowOff>
    </xdr:from>
    <xdr:to>
      <xdr:col>12</xdr:col>
      <xdr:colOff>490904</xdr:colOff>
      <xdr:row>36</xdr:row>
      <xdr:rowOff>131886</xdr:rowOff>
    </xdr:to>
    <xdr:sp macro="" textlink="$U$23">
      <xdr:nvSpPr>
        <xdr:cNvPr id="6" name="CuadroTexto 5">
          <a:extLst>
            <a:ext uri="{FF2B5EF4-FFF2-40B4-BE49-F238E27FC236}">
              <a16:creationId xmlns:a16="http://schemas.microsoft.com/office/drawing/2014/main" id="{D3589748-3690-710C-5E08-7805C4B2F714}"/>
            </a:ext>
          </a:extLst>
        </xdr:cNvPr>
        <xdr:cNvSpPr txBox="1"/>
      </xdr:nvSpPr>
      <xdr:spPr>
        <a:xfrm>
          <a:off x="8880232" y="5355981"/>
          <a:ext cx="974480" cy="227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3CB3FE8-8E62-4632-B413-89C1C34EFDA5}" type="TxLink">
            <a:rPr lang="en-US" sz="900" b="1" i="0" u="none" strike="noStrike">
              <a:solidFill>
                <a:srgbClr val="FF0000"/>
              </a:solidFill>
              <a:latin typeface="Arial"/>
              <a:cs typeface="Arial"/>
            </a:rPr>
            <a:pPr/>
            <a:t>OMIP: 68,58</a:t>
          </a:fld>
          <a:endParaRPr lang="es-ES" sz="1100" b="1">
            <a:solidFill>
              <a:srgbClr val="FF0000"/>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5.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6.xml><?xml version="1.0" encoding="utf-8"?>
<xdr:wsDr xmlns:xdr="http://schemas.openxmlformats.org/drawingml/2006/spreadsheetDrawing" xmlns:a="http://schemas.openxmlformats.org/drawingml/2006/main">
  <xdr:twoCellAnchor>
    <xdr:from>
      <xdr:col>19</xdr:col>
      <xdr:colOff>219075</xdr:colOff>
      <xdr:row>13</xdr:row>
      <xdr:rowOff>19047</xdr:rowOff>
    </xdr:from>
    <xdr:to>
      <xdr:col>37</xdr:col>
      <xdr:colOff>447675</xdr:colOff>
      <xdr:row>75</xdr:row>
      <xdr:rowOff>104774</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266700</xdr:colOff>
      <xdr:row>92</xdr:row>
      <xdr:rowOff>57150</xdr:rowOff>
    </xdr:from>
    <xdr:to>
      <xdr:col>42</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7.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V$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8 mejores resultados hasta el 25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0.30866</cdr:x>
      <cdr:y>0.52718</cdr:y>
    </cdr:from>
    <cdr:to>
      <cdr:x>0.61631</cdr:x>
      <cdr:y>0.65458</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4245272" y="502637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8.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V$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8 mejores resultados hasta el 25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sheetData sheetId="1"/>
      <sheetData sheetId="2"/>
      <sheetData sheetId="3"/>
      <sheetData sheetId="4"/>
      <sheetData sheetId="5">
        <row r="2">
          <cell r="G2">
            <v>25</v>
          </cell>
        </row>
        <row r="9">
          <cell r="AE9">
            <v>1</v>
          </cell>
        </row>
        <row r="10">
          <cell r="W10" t="str">
            <v>flecha</v>
          </cell>
          <cell r="AE10">
            <v>1</v>
          </cell>
        </row>
        <row r="11">
          <cell r="W11" t="str">
            <v>inicio</v>
          </cell>
          <cell r="X11">
            <v>0</v>
          </cell>
          <cell r="Y11">
            <v>0</v>
          </cell>
          <cell r="AE11">
            <v>1</v>
          </cell>
        </row>
        <row r="12">
          <cell r="W12" t="str">
            <v>final</v>
          </cell>
          <cell r="X12">
            <v>0.90213395936820273</v>
          </cell>
          <cell r="Y12">
            <v>0.4314560456809593</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-0.97858090432547207</v>
          </cell>
          <cell r="AC21">
            <v>0.20586260876988133</v>
          </cell>
        </row>
        <row r="37">
          <cell r="X37">
            <v>0</v>
          </cell>
          <cell r="Y37">
            <v>0</v>
          </cell>
        </row>
        <row r="38">
          <cell r="X38">
            <v>0.92744515333466127</v>
          </cell>
          <cell r="Y38">
            <v>0.37395920573780067</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3"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3"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7"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1"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3"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8"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30"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6"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5"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20"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3"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1" growShrinkType="overwriteClear" connectionId="32" xr16:uid="{CD200BD9-CD1F-49B0-834E-D02316650584}"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4"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9"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1"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4"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C9B729B0-BA74-45E5-A790-1A932EB352E8}"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6"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7"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6"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8"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9"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2"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3"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6" connectionId="41"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26" unboundColumnsRight="3">
    <queryTableFields count="14">
      <queryTableField id="1" name="Nombre " tableColumnId="5"/>
      <queryTableField id="16" name="ene-24" tableColumnId="1"/>
      <queryTableField id="17" name="feb-24" tableColumnId="2"/>
      <queryTableField id="18" name="mar-24" tableColumnId="3"/>
      <queryTableField id="19" name="abr-24" tableColumnId="4"/>
      <queryTableField id="20" name="may-24" tableColumnId="7"/>
      <queryTableField id="21" name="jun-24" tableColumnId="10"/>
      <queryTableField id="22" name="jul-24" tableColumnId="11"/>
      <queryTableField id="23" name="ago-24" tableColumnId="12"/>
      <queryTableField id="24" name="sep-24" tableColumnId="13"/>
      <queryTableField id="25" name="oct-24" tableColumnId="14"/>
      <queryTableField id="8" dataBound="0" tableColumnId="8"/>
      <queryTableField id="5" dataBound="0" tableColumnId="6"/>
      <queryTableField id="9" dataBound="0" tableColumnId="9"/>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34"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atosExternos_1" connectionId="4" xr16:uid="{FC3ACA3B-2051-417C-B9FE-F1E2C9FBE0F0}" autoFormatId="16" applyNumberFormats="0" applyBorderFormats="0" applyFontFormats="0" applyPatternFormats="0" applyAlignmentFormats="0" applyWidthHeightFormats="0">
  <queryTableRefresh nextId="4">
    <queryTableFields count="3">
      <queryTableField id="1" name="mes" tableColumnId="4"/>
      <queryTableField id="2" name="Nombre " tableColumnId="2"/>
      <queryTableField id="3" name="apuesta"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7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303"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75"/>
    <tableColumn id="3" xr3:uid="{3861983E-9572-444C-947C-E7D57298824B}" uniqueName="3" name="valor" queryTableFieldId="3" dataDxfId="27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73"/>
    <tableColumn id="4" xr3:uid="{0C82DB85-0579-4D6B-8D4B-97B2C42C2143}" uniqueName="4" name="valor" queryTableFieldId="4" dataDxfId="27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71"/>
    <tableColumn id="3" xr3:uid="{5803D351-2AA9-49F6-B78D-A534B1C937AC}" uniqueName="3" name="valor" queryTableFieldId="3" dataDxfId="27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69"/>
    <tableColumn id="2" xr3:uid="{DF3CB2F5-3FE0-469D-802E-73C3788B7999}" uniqueName="2" name="valor" queryTableFieldId="2" dataDxfId="26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67" dataDxfId="266">
  <tableColumns count="2">
    <tableColumn id="3" xr3:uid="{958CB32F-1519-4445-A7B6-7A507919C51D}" uniqueName="3" name="fecha" queryTableFieldId="1" dataDxfId="265"/>
    <tableColumn id="2" xr3:uid="{2E071D30-423C-42F3-9B58-84AE7F983B6F}" uniqueName="2" name="valor" queryTableFieldId="2" dataDxfId="26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63" dataDxfId="262">
  <tableColumns count="2">
    <tableColumn id="3" xr3:uid="{D412FE74-06AC-4C73-A25E-1825DDE9DDF2}" uniqueName="3" name="fecha" queryTableFieldId="1" dataDxfId="261"/>
    <tableColumn id="2" xr3:uid="{1BC2D732-1DC6-47E5-B808-0EEEB12A5F4D}" uniqueName="2" name="valor" queryTableFieldId="2" dataDxfId="26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59">
  <tableColumns count="2">
    <tableColumn id="3" xr3:uid="{17EFC80D-C413-4738-91A8-6E4A15C3F558}" uniqueName="3" name="fecha" queryTableFieldId="1" dataDxfId="258"/>
    <tableColumn id="2" xr3:uid="{D8674625-135B-44E6-BB4A-DC53C2AFB103}" uniqueName="2" name="valor" queryTableFieldId="2" dataDxfId="25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56"/>
    <tableColumn id="2" xr3:uid="{49228BEA-DA9C-414C-9DC1-6E94566A29D3}" uniqueName="2" name="valor" queryTableFieldId="2" dataDxfId="2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34" tableType="queryTable" totalsRowShown="0">
  <autoFilter ref="AB4:AC34" xr:uid="{254938D9-AF2E-401D-A5A6-0B3FCA5DB6CA}"/>
  <tableColumns count="2">
    <tableColumn id="3" xr3:uid="{1D44ACFD-C8F9-4809-97E7-A91FE39E8EDF}" uniqueName="3" name="fecha" queryTableFieldId="1" dataDxfId="254"/>
    <tableColumn id="2" xr3:uid="{BF43129B-9CF8-4FD8-B2E4-A9BBF4483548}" uniqueName="2" name="valor" queryTableFieldId="2" dataDxfId="25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030E1-6ADE-4840-BF5D-8DDCEFE90B8A}" name="omie_octubre" displayName="omie_octubre" ref="AE4:AF29" tableType="queryTable" totalsRowShown="0">
  <autoFilter ref="AE4:AF29" xr:uid="{83E030E1-6ADE-4840-BF5D-8DDCEFE90B8A}"/>
  <tableColumns count="2">
    <tableColumn id="3" xr3:uid="{F00898CB-F12D-4BEA-B8DA-829DE1A88264}" uniqueName="3" name="fecha" queryTableFieldId="1" dataDxfId="32"/>
    <tableColumn id="2" xr3:uid="{5127E0A5-70FE-46F3-8D0F-91E0993A5F85}" uniqueName="2" name="valor" queryTableFieldId="2" dataDxfId="3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52">
      <calculatedColumnFormula>apuestas_ene24[[#This Row],[Apuesta Miniporra]]-$B$3</calculatedColumnFormula>
    </tableColumn>
    <tableColumn id="8" xr3:uid="{5839308A-FF43-4FE6-994A-69FC2FBFD373}" uniqueName="8" name="desvio %" queryTableFieldId="8" dataDxfId="251"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50"/>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49"/>
    <tableColumn id="2" xr3:uid="{112BE060-2A41-4409-AC9E-4B10C5D827B0}" uniqueName="2" name="€/MWh" queryTableFieldId="2" dataDxfId="248"/>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47"/>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46">
      <calculatedColumnFormula>apuestas_feb24[[#This Row],[Apuesta Miniporra]]-$B$3</calculatedColumnFormula>
    </tableColumn>
    <tableColumn id="8" xr3:uid="{81DC3DE0-9675-4AB8-94EE-E87E41FFB9E2}" uniqueName="8" name="desvio %" queryTableFieldId="8" dataDxfId="245"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44"/>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43"/>
    <tableColumn id="2" xr3:uid="{63125885-0138-47A5-A14A-5B38B8782CBD}" uniqueName="2" name="€/MWh" queryTableFieldId="2" dataDxfId="24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41"/>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40">
      <calculatedColumnFormula>apuestas_mar24[[#This Row],[Apuesta Miniporra]]-$B$3</calculatedColumnFormula>
    </tableColumn>
    <tableColumn id="8" xr3:uid="{EEC73F00-D21C-421E-9E94-1D3BF5D79A01}" uniqueName="8" name="desvio %" queryTableFieldId="7" dataDxfId="239"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38"/>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37"/>
    <tableColumn id="2" xr3:uid="{7DFE6567-AD6C-4D7F-9DE9-A9257B71CA31}" uniqueName="2" name="€/MWh" queryTableFieldId="2" dataDxfId="236"/>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35"/>
    <tableColumn id="2" xr3:uid="{63CC34E9-E87C-4C59-918A-26E8527564EE}" uniqueName="2" name="Nombre" queryTableFieldId="2" dataDxfId="234"/>
    <tableColumn id="3" xr3:uid="{D5309798-70CB-45EE-B7CE-DC81AAD9AF3E}" uniqueName="3" name="Apuesta Miniporra" queryTableFieldId="3" dataDxfId="233"/>
    <tableColumn id="4" xr3:uid="{6D244967-2AD4-4F80-AA3B-75E23E623EFF}" uniqueName="4" name="Comentario opcional sobre el mes (a ver si hay algún razonamiento, o pura potra!)" queryTableFieldId="4" dataDxfId="232"/>
    <tableColumn id="5" xr3:uid="{C7C1000D-440B-453E-A51D-A3D4A385C5DE}" uniqueName="5" name="Nick" queryTableFieldId="5" dataDxfId="231"/>
    <tableColumn id="7" xr3:uid="{DAE7AFD6-9B39-445C-950A-CA2CE06CADF7}" uniqueName="7" name="desvio" queryTableFieldId="6" dataDxfId="230">
      <calculatedColumnFormula>apuestas_abr24[[#This Row],[Apuesta Miniporra]]-$B$3</calculatedColumnFormula>
    </tableColumn>
    <tableColumn id="8" xr3:uid="{A30B4056-BA32-4443-9D36-347085E457DB}" uniqueName="8" name="desvio %" queryTableFieldId="7" dataDxfId="229" dataCellStyle="Porcentaje">
      <calculatedColumnFormula>ABS(apuestas_abr24[[#This Row],[desvio]])/$B$3</calculatedColumnFormula>
    </tableColumn>
    <tableColumn id="9" xr3:uid="{A5092CA8-C510-4F02-93C3-3191A125BC94}" uniqueName="9" name="orden" queryTableFieldId="8" dataDxfId="228">
      <calculatedColumnFormula>_xlfn.RANK.EQ(apuestas_abr24[[#This Row],[desvio %]],apuestas_abr24[desvio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227"/>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226">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225"/>
    <tableColumn id="2" xr3:uid="{6221ADDE-CB24-4A6A-96BA-57541B44C061}" uniqueName="2" name="€/MWh" queryTableFieldId="2" dataDxfId="224"/>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223"/>
    <tableColumn id="2" xr3:uid="{B5F7B107-5DDF-4C32-8615-14256617EF80}" uniqueName="2" name="Nombre" queryTableFieldId="2" dataDxfId="222"/>
    <tableColumn id="3" xr3:uid="{9A9D4B3D-3CA1-488F-B979-8F3D3E7E0FA3}" uniqueName="3" name="Apuesta Miniporra" queryTableFieldId="3" dataDxfId="221"/>
    <tableColumn id="4" xr3:uid="{4C308168-16E2-4D1E-A900-60D706F4AFE9}" uniqueName="4" name="Comentario opcional sobre el mes (a ver si hay algún razonamiento, o pura potra!)" queryTableFieldId="4" dataDxfId="220"/>
    <tableColumn id="5" xr3:uid="{194CBFA1-FDCF-4266-AAB7-44FFFA28F384}" uniqueName="5" name="Nick" queryTableFieldId="5" dataDxfId="219"/>
    <tableColumn id="7" xr3:uid="{51F8B782-841B-4580-B595-E4DC3B0D5138}" uniqueName="7" name="desvio" queryTableFieldId="6" dataDxfId="218">
      <calculatedColumnFormula>apuestas_may24[[#This Row],[Apuesta Miniporra]]-$B$3</calculatedColumnFormula>
    </tableColumn>
    <tableColumn id="8" xr3:uid="{313F1E8F-57D2-4E48-BCD1-079F75DE6779}" uniqueName="8" name="desvio %" queryTableFieldId="7" dataDxfId="217" dataCellStyle="Porcentaje">
      <calculatedColumnFormula>ABS(apuestas_may24[[#This Row],[desvio]])/$B$3</calculatedColumnFormula>
    </tableColumn>
    <tableColumn id="9" xr3:uid="{777E69ED-5E6E-476B-8031-58AFB11670EF}" uniqueName="9" name="orden" queryTableFieldId="8" dataDxfId="216">
      <calculatedColumnFormula>_xlfn.RANK.EQ(apuestas_may24[[#This Row],[desvio %]],apuestas_may24[desvio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215"/>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214">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213"/>
    <tableColumn id="2" xr3:uid="{0862D624-82CA-418C-8D1D-90D12B43D2C0}" uniqueName="2" name="Nombre" queryTableFieldId="2" dataDxfId="212"/>
    <tableColumn id="3" xr3:uid="{6D8DD44C-F12E-40C3-8FBC-3D50B196D54D}" uniqueName="3" name="Apuesta Miniporra" queryTableFieldId="3" dataDxfId="211"/>
    <tableColumn id="4" xr3:uid="{FBD7911B-6AA1-49D9-9D70-654CAC54530E}" uniqueName="4" name="Comentario opcional sobre el mes (a ver si hay algún razonamiento, o pura potra!)" queryTableFieldId="4" dataDxfId="210"/>
    <tableColumn id="5" xr3:uid="{FD3DBE29-3F14-4282-A720-773697844872}" uniqueName="5" name="Nick" queryTableFieldId="5" dataDxfId="209"/>
    <tableColumn id="7" xr3:uid="{76267DB3-4E70-4246-A439-DA7D5371FE83}" uniqueName="7" name="desvio" queryTableFieldId="6" dataDxfId="208">
      <calculatedColumnFormula>apuestas_jun24[[#This Row],[Apuesta Miniporra]]-$B$3</calculatedColumnFormula>
    </tableColumn>
    <tableColumn id="8" xr3:uid="{CC4EF30D-60B5-4DEE-8EA7-837A39EFC2B6}" uniqueName="8" name="desvio %" queryTableFieldId="7" dataDxfId="207" dataCellStyle="Porcentaje">
      <calculatedColumnFormula>ABS(apuestas_jun24[[#This Row],[desvio]])/$B$3</calculatedColumnFormula>
    </tableColumn>
    <tableColumn id="9" xr3:uid="{6DD54322-AA0F-4AB5-AD49-29681F0B3307}" uniqueName="9" name="orden" queryTableFieldId="8" dataDxfId="206">
      <calculatedColumnFormula>_xlfn.RANK.EQ(apuestas_jun24[[#This Row],[desvio %]],apuestas_jun24[desvio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205" dataDxfId="204" dataCellStyle="Porcentaje">
  <autoFilter ref="P6:Q36" xr:uid="{B925CE4A-9DB1-48C6-8628-348F1D747C81}"/>
  <tableColumns count="2">
    <tableColumn id="1" xr3:uid="{0852FBB8-A0B5-4443-B502-FE411EE21673}" name="dia" dataDxfId="203" dataCellStyle="Porcentaje"/>
    <tableColumn id="2" xr3:uid="{57C455C0-7EBB-428C-AC90-8CB177CA04C5}" name="€/MWh" dataDxfId="202" dataCellStyle="Porcentaje"/>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201"/>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200">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99"/>
    <tableColumn id="2" xr3:uid="{3C95EF88-792A-4B03-A48D-FAABB8D319ED}" uniqueName="2" name="Nombre" queryTableFieldId="2" dataDxfId="198"/>
    <tableColumn id="3" xr3:uid="{5E1666B4-DEFF-4B09-B7CE-FEDB4DF2FD45}" uniqueName="3" name="Apuesta Miniporra" queryTableFieldId="3" dataDxfId="197"/>
    <tableColumn id="4" xr3:uid="{AAB1CC2D-E687-4CBB-97D2-3018F3751ECE}" uniqueName="4" name="Comentario opcional sobre el mes (a ver si hay algún razonamiento, o pura potra!)" queryTableFieldId="4" dataDxfId="196"/>
    <tableColumn id="5" xr3:uid="{A4F4CFCF-C1CA-454D-BF76-66054E59A27D}" uniqueName="5" name="Nick" queryTableFieldId="5" dataDxfId="195"/>
    <tableColumn id="7" xr3:uid="{85DD35A9-F592-49C7-97D0-F57D87B808D7}" uniqueName="7" name="desvio" queryTableFieldId="6" dataDxfId="194">
      <calculatedColumnFormula>apuestas_juL24[[#This Row],[Apuesta Miniporra]]-$B$3</calculatedColumnFormula>
    </tableColumn>
    <tableColumn id="8" xr3:uid="{EB8155C7-CC5C-4C72-8642-6A3E2FDB2607}" uniqueName="8" name="desvio %" queryTableFieldId="7" dataDxfId="193" dataCellStyle="Porcentaje">
      <calculatedColumnFormula>ABS(apuestas_juL24[[#This Row],[desvio]])/$B$3</calculatedColumnFormula>
    </tableColumn>
    <tableColumn id="9" xr3:uid="{22D7C25C-F560-48FF-8160-EA1162876DC1}" uniqueName="9" name="orden" queryTableFieldId="8" dataDxfId="192">
      <calculatedColumnFormula>_xlfn.RANK.EQ(apuestas_juL24[[#This Row],[desvio %]],apuestas_juL24[desvio %],1)</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91" dataDxfId="190" dataCellStyle="Porcentaje">
  <tableColumns count="2">
    <tableColumn id="1" xr3:uid="{0603D470-0C98-429E-A818-BEADE992FD9C}" name="dia" dataDxfId="189" dataCellStyle="Porcentaje"/>
    <tableColumn id="2" xr3:uid="{282910E0-1DAE-4B53-B433-80DD2EADB27D}" name="€/MWh" dataDxfId="188" dataCellStyle="Porcentaje">
      <calculatedColumnFormula>IF(ISBLANK(omie!S5),"",omie!T5)</calculatedColumnFormula>
    </tableColumn>
  </tableColumns>
  <tableStyleInfo name="TableStyleMedium10"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87"/>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86">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85"/>
    <tableColumn id="2" xr3:uid="{79480BAA-12FF-4CCA-B87F-26662F8DC9C8}" uniqueName="2" name="Nombre" queryTableFieldId="2" dataDxfId="184"/>
    <tableColumn id="3" xr3:uid="{38960EFD-A1AC-42B9-B494-E9D87E32D545}" uniqueName="3" name="Apuesta Miniporra" queryTableFieldId="3" dataDxfId="183"/>
    <tableColumn id="4" xr3:uid="{77135B89-C04D-4F5F-8A25-AD55EF545A21}" uniqueName="4" name="Comentario opcional sobre el mes (a ver si hay algún razonamiento, o pura potra!)" queryTableFieldId="4" dataDxfId="182"/>
    <tableColumn id="5" xr3:uid="{2DD49D7F-8B6C-472E-AD73-C1A0DEB88EB6}" uniqueName="5" name="Nick" queryTableFieldId="5" dataDxfId="181"/>
    <tableColumn id="7" xr3:uid="{3E178D95-D6D0-489E-8BEB-BB2BEE7CE6E3}" uniqueName="7" name="desvio" queryTableFieldId="6" dataDxfId="180">
      <calculatedColumnFormula>apuestas_ago[[#This Row],[Apuesta Miniporra]]-$B$3</calculatedColumnFormula>
    </tableColumn>
    <tableColumn id="8" xr3:uid="{A1DF79F7-2B81-4165-9CE5-4565ED270850}" uniqueName="8" name="desvio %" queryTableFieldId="7" dataDxfId="179" dataCellStyle="Porcentaje">
      <calculatedColumnFormula>ABS(apuestas_ago[[#This Row],[desvio]])/$B$3</calculatedColumnFormula>
    </tableColumn>
    <tableColumn id="9" xr3:uid="{6B4580DE-71F9-4107-95C8-C2DACD17F21B}" uniqueName="9" name="orden" queryTableFieldId="8" dataDxfId="178">
      <calculatedColumnFormula>_xlfn.RANK.EQ(apuestas_ago[[#This Row],[desvio %]],apuestas_ago[desvio %],1)</calculatedColumnFormula>
    </tableColumn>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77" dataDxfId="176" dataCellStyle="Porcentaje">
  <tableColumns count="2">
    <tableColumn id="1" xr3:uid="{2E77994E-75A3-44E5-8849-746D4C1F4C26}" name="dia" dataDxfId="175" dataCellStyle="Porcentaje"/>
    <tableColumn id="2" xr3:uid="{29D3D0DA-F6D3-4E28-9ABE-0CEF5601A5BC}" name="€/MWh" dataDxfId="174" dataCellStyle="Porcentaje">
      <calculatedColumnFormula>IF(ISBLANK(omie!S5),"",omie!T5)</calculatedColumnFormula>
    </tableColumn>
  </tableColumns>
  <tableStyleInfo name="TableStyleMedium10"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73"/>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72">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71"/>
    <tableColumn id="2" xr3:uid="{DCF4BC84-92F4-4879-A309-42A4E475601A}" uniqueName="2" name="Nombre" queryTableFieldId="2" dataDxfId="170"/>
    <tableColumn id="3" xr3:uid="{856E1625-7322-4FDB-9EFF-A80066AF5712}" uniqueName="3" name="Apuesta Miniporra" queryTableFieldId="3" dataDxfId="169"/>
    <tableColumn id="4" xr3:uid="{464BDCEC-10C8-4B44-A30B-0221294B793E}" uniqueName="4" name="Comentario opcional sobre el mes (a ver si hay algún razonamiento, o pura potra!)" queryTableFieldId="4" dataDxfId="168"/>
    <tableColumn id="5" xr3:uid="{910190F1-B7F9-4390-B2A9-949CEF085D89}" uniqueName="5" name="Nick" queryTableFieldId="5" dataDxfId="167"/>
    <tableColumn id="7" xr3:uid="{E831ACFE-0C8D-4917-B626-84DB8CBC9985}" uniqueName="7" name="desvio" queryTableFieldId="6" dataDxfId="166">
      <calculatedColumnFormula>apuestas_sep24[[#This Row],[Apuesta Miniporra]]-$B$3</calculatedColumnFormula>
    </tableColumn>
    <tableColumn id="8" xr3:uid="{49E004AA-6578-4D1C-BB1C-504EBB90C05C}" uniqueName="8" name="desvio %" queryTableFieldId="7" dataDxfId="165" dataCellStyle="Porcentaje">
      <calculatedColumnFormula>ABS(apuestas_sep24[[#This Row],[desvio]])/$B$3</calculatedColumnFormula>
    </tableColumn>
    <tableColumn id="9" xr3:uid="{326FDC06-457E-4071-834D-5E37256D3894}" uniqueName="9" name="orden" queryTableFieldId="8" dataDxfId="164">
      <calculatedColumnFormula>_xlfn.RANK.EQ(apuestas_sep24[[#This Row],[desvio %]],apuestas_sep24[desvio %],1)</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6" totalsRowShown="0" headerRowDxfId="163" dataDxfId="162" dataCellStyle="Porcentaje">
  <tableColumns count="2">
    <tableColumn id="1" xr3:uid="{015BABC2-5930-4F45-876B-16AC5F8A941A}" name="dia" dataDxfId="161" dataCellStyle="Porcentaje"/>
    <tableColumn id="2" xr3:uid="{FC81B15F-6143-4B5A-B7BF-AC4150E2FC0F}" name="€/MWh" dataDxfId="160" dataCellStyle="Porcentaje">
      <calculatedColumnFormula>IF(ISBLANK(omie!Y5),"",omie!Z5)</calculatedColumnFormula>
    </tableColumn>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E3563D54-B77C-418B-B615-4A5AB40BBA45}" name="resultados_oct" displayName="resultados_oct" ref="J6:O45" totalsRowShown="0">
  <sortState xmlns:xlrd2="http://schemas.microsoft.com/office/spreadsheetml/2017/richdata2" ref="J7:N40">
    <sortCondition descending="1" ref="L8:L42"/>
  </sortState>
  <tableColumns count="6">
    <tableColumn id="6" xr3:uid="{016B5A0F-2F8A-4B77-B7D7-27FB3449C9F8}" name="Mes" dataDxfId="159"/>
    <tableColumn id="5" xr3:uid="{362CE7CC-C8D0-4AB5-B1A1-4F763121F2BA}" name="Posición">
      <calculatedColumnFormula>INDEX(apuestas_oct24[orden],MATCH(resultados_oct[Apuesta MiniPorra],apuestas_oct24[Apuesta Miniporra],0))</calculatedColumnFormula>
    </tableColumn>
    <tableColumn id="1" xr3:uid="{744A1E51-7D91-40A7-B82F-74243430D9E4}" name="Nombre ">
      <calculatedColumnFormula>apuestas_oct24[[#This Row],[Nombre]]</calculatedColumnFormula>
    </tableColumn>
    <tableColumn id="2" xr3:uid="{061A1B66-447F-42AF-8808-DEF46B7D68B8}" name="Apuesta MiniPorra" dataDxfId="158">
      <calculatedColumnFormula>apuestas_oct24[[#This Row],[Apuesta Miniporra]]</calculatedColumnFormula>
    </tableColumn>
    <tableColumn id="3" xr3:uid="{EA017350-3546-4D8E-BDC7-24ECF5E32947}" name="Desvío">
      <calculatedColumnFormula>INDEX(apuestas_oct24[desvio],MATCH(resultados_oct[[#This Row],[Apuesta MiniPorra]],apuestas_oct24[Apuesta Miniporra],0))</calculatedColumnFormula>
    </tableColumn>
    <tableColumn id="4" xr3:uid="{C34B7478-2CC2-4028-BDA8-7192E73FD469}" name="% Desvío">
      <calculatedColumnFormula>INDEX(apuestas_oct24[desvio %],MATCH(resultados_oct[[#This Row],[Apuesta MiniPorra]],apuestas_oct24[Apuesta Miniporra],0))</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C1CEA2A-5997-4709-AD58-39CF636A284D}" name="apuestas_oct24" displayName="apuestas_oct24" ref="A6:H45" tableType="queryTable" totalsRowShown="0">
  <autoFilter ref="A6:H45" xr:uid="{B6B13BDB-3E3E-4A3C-AB91-832241C754AA}"/>
  <sortState xmlns:xlrd2="http://schemas.microsoft.com/office/spreadsheetml/2017/richdata2" ref="A7:H45">
    <sortCondition descending="1" ref="C6:C45"/>
  </sortState>
  <tableColumns count="8">
    <tableColumn id="6" xr3:uid="{E0CA13DB-D81A-4FBF-B724-323B39A0637B}" uniqueName="6" name="Mes de apuesta" queryTableFieldId="1" dataDxfId="157"/>
    <tableColumn id="2" xr3:uid="{082BC787-7CCE-4B19-9317-B2023D6BFE7C}" uniqueName="2" name="Nombre" queryTableFieldId="2" dataDxfId="156"/>
    <tableColumn id="3" xr3:uid="{56707A50-48FE-433D-B521-6889FCC0190C}" uniqueName="3" name="Apuesta Miniporra" queryTableFieldId="3" dataDxfId="155"/>
    <tableColumn id="4" xr3:uid="{01CE1579-0D95-4C91-8DE7-43D309136CE1}" uniqueName="4" name="Comentario opcional sobre el mes (a ver si hay algún razonamiento, o pura potra!)" queryTableFieldId="4" dataDxfId="154"/>
    <tableColumn id="5" xr3:uid="{C7B64C02-5D16-4365-9907-2E4F81C44BE1}" uniqueName="5" name="Nick" queryTableFieldId="5" dataDxfId="153"/>
    <tableColumn id="7" xr3:uid="{BBCEB654-A2F4-427D-9646-642D9B6C599E}" uniqueName="7" name="desvio" queryTableFieldId="6" dataDxfId="152">
      <calculatedColumnFormula>apuestas_oct24[[#This Row],[Apuesta Miniporra]]-$B$3</calculatedColumnFormula>
    </tableColumn>
    <tableColumn id="8" xr3:uid="{55600DD1-CB85-4C53-9F65-A9059A5A1847}" uniqueName="8" name="desvio %" queryTableFieldId="7" dataDxfId="151" dataCellStyle="Porcentaje">
      <calculatedColumnFormula>ABS(apuestas_oct24[[#This Row],[desvio]])/$B$3</calculatedColumnFormula>
    </tableColumn>
    <tableColumn id="9" xr3:uid="{AD1FDD2E-1C39-4D01-AABF-6B43092B8687}" uniqueName="9" name="orden" queryTableFieldId="8" dataDxfId="150">
      <calculatedColumnFormula>_xlfn.RANK.EQ(apuestas_oct24[[#This Row],[desvio %]],apuestas_oct24[desvio %],1)</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74C5C8E9-C88F-4D9A-A9E1-67DC840C3ADC}" name="Tabla4247515559" displayName="Tabla4247515559" ref="P6:Q37" totalsRowShown="0" headerRowDxfId="149" dataDxfId="148" dataCellStyle="Porcentaje">
  <tableColumns count="2">
    <tableColumn id="1" xr3:uid="{CEA23670-B0B2-40A7-B83D-077D9B8DD811}" name="dia" dataDxfId="147" dataCellStyle="Porcentaje"/>
    <tableColumn id="2" xr3:uid="{E30E75B1-B4B5-4972-980A-AD6FA05E2983}" name="€/MWh" dataDxfId="146" dataCellStyle="Porcentaje">
      <calculatedColumnFormula>IF(ISBLANK(omie!AB5),"",omie!AC5)</calculatedColumnFormula>
    </tableColumn>
  </tableColumns>
  <tableStyleInfo name="TableStyleMedium10"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45">
  <tableColumns count="2">
    <tableColumn id="1" xr3:uid="{35DF48D8-C743-4C9F-921B-A1FC958186C3}" name="dia" dataDxfId="144"/>
    <tableColumn id="2" xr3:uid="{9841945D-0A16-4A16-BCE9-26670D0633AA}" name="€/MWh" dataDxfId="143">
      <calculatedColumnFormula>IFERROR(oct!Q7,"")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142" dataDxfId="141">
  <tableColumns count="8">
    <tableColumn id="9" xr3:uid="{135DEB76-9113-4ED8-912B-5FC429B3735E}" name="Pos" dataDxfId="140">
      <calculatedColumnFormula>oct!K7</calculatedColumnFormula>
    </tableColumn>
    <tableColumn id="1" xr3:uid="{C1077472-5E08-4542-8973-2E3208450262}" name="Participante">
      <calculatedColumnFormula>oct!L7</calculatedColumnFormula>
    </tableColumn>
    <tableColumn id="2" xr3:uid="{52380920-90EB-44DF-AA67-8F826EBB8692}" name="apuesta" dataDxfId="139">
      <calculatedColumnFormula>oct!M7</calculatedColumnFormula>
    </tableColumn>
    <tableColumn id="3" xr3:uid="{B12D294F-B954-460C-9AAC-22D64E4B1BA8}" name="dif s/anterior" dataDxfId="138">
      <calculatedColumnFormula>M8-M9</calculatedColumnFormula>
    </tableColumn>
    <tableColumn id="4" xr3:uid="{3B455DC0-3CC7-4D0E-9042-001BF98F1C84}" name="limite inf" dataDxfId="137">
      <calculatedColumnFormula>M8-N8/2</calculatedColumnFormula>
    </tableColumn>
    <tableColumn id="5" xr3:uid="{DBF6BFE5-E5D0-45E7-AAEA-30CB0336EC13}" name="límite sup" dataDxfId="136">
      <calculatedColumnFormula>O7</calculatedColumnFormula>
    </tableColumn>
    <tableColumn id="7" xr3:uid="{E358B585-EA18-47BB-8FEF-852FB94FA3A9}" name="omie inf" dataDxfId="135">
      <calculatedColumnFormula>R9</calculatedColumnFormula>
    </tableColumn>
    <tableColumn id="8" xr3:uid="{E8A57C89-FBDF-4AA4-A9A8-15408D1067F9}" name="omie sup" dataDxfId="134">
      <calculatedColumnFormula>W8/$O$3</calculatedColumnFormula>
    </tableColumn>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13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30"/>
    <tableColumn id="2" xr3:uid="{B74B277F-3EA1-4B86-BA13-AB707542DEC3}" uniqueName="2" name="RE media" queryTableFieldId="2" dataDxfId="29"/>
    <tableColumn id="3" xr3:uid="{7AF76DDC-047D-4719-8689-D2F7BFC8F171}" uniqueName="3" name="TCC media" queryTableFieldId="3" dataDxfId="28"/>
    <tableColumn id="4" xr3:uid="{356021E6-447F-4237-9628-8EE14FDF0DF6}" uniqueName="4" name="HI media" queryTableFieldId="4" dataDxfId="27"/>
    <tableColumn id="5" xr3:uid="{722AEE7E-A90E-44DF-ADF8-F2B0FA8C07FC}" uniqueName="5" name="OMIE" queryTableFieldId="5" dataDxfId="26"/>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25"/>
    <tableColumn id="2" xr3:uid="{0D2884B0-F8E6-4046-960C-92B6BB12AD60}" uniqueName="2" name="Mibgas D+1" queryTableFieldId="2" dataDxfId="24"/>
    <tableColumn id="3" xr3:uid="{F403C042-6C6B-4265-9744-654D84EC9366}" uniqueName="3" name="Media mensual" queryTableFieldId="3" dataDxfId="23"/>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22"/>
    <tableColumn id="2" xr3:uid="{0AAC8E48-3106-45C5-BD15-5C2D7DCC0492}" uniqueName="2" name="€/Ton" queryTableFieldId="2" dataDxfId="21"/>
    <tableColumn id="3" xr3:uid="{663199BC-268D-4661-9652-DF21A4887E93}" uniqueName="3" name="Media mensual" queryTableFieldId="3" dataDxfId="20"/>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19"/>
    <tableColumn id="2" xr3:uid="{86358F3D-5E83-44C8-96D1-7642D890E1CC}" uniqueName="2" name="Omie media mensual (€/MWh)" queryTableFieldId="2" dataDxfId="18"/>
    <tableColumn id="3" xr3:uid="{2965D49F-4277-4D41-BC17-2FFA3690E718}" uniqueName="3" name="Omie media diaria" queryTableFieldId="3" dataDxfId="17"/>
    <tableColumn id="4" xr3:uid="{8F682861-559E-4A0A-8B35-1534F8A5F69F}" uniqueName="4" name="% Horas RE" queryTableFieldId="4" dataDxfId="16"/>
    <tableColumn id="5" xr3:uid="{344D2180-B89F-4486-BC79-F47F0F44DADB}" uniqueName="5" name="Media RE" queryTableFieldId="5" dataDxfId="15"/>
    <tableColumn id="6" xr3:uid="{A36E75B8-8FD4-4C99-9725-6E3DA266953A}" uniqueName="6" name="% Horas TCC" queryTableFieldId="6" dataDxfId="14"/>
    <tableColumn id="7" xr3:uid="{43A6144B-7FD2-40F0-B6ED-D5E57CDFBAB3}" uniqueName="7" name="Media TCC" queryTableFieldId="7" dataDxfId="13"/>
    <tableColumn id="8" xr3:uid="{DA09BE26-A2F1-42A9-BA4D-7C9AE9DBD543}" uniqueName="8" name="% Horas HI" queryTableFieldId="8" dataDxfId="12"/>
    <tableColumn id="9" xr3:uid="{A91EC14A-FF51-4D62-91D0-937E724D6271}" uniqueName="9" name="Media HI" queryTableFieldId="9" dataDxfId="11"/>
    <tableColumn id="16" xr3:uid="{BF6E5F0C-B5E4-4FC0-A159-657DA0ABF921}" uniqueName="16" name="demanda GWh" queryTableFieldId="17" dataDxfId="10"/>
    <tableColumn id="1" xr3:uid="{B592C603-FE74-4AAC-A7C1-ECEAD3B3AE21}" uniqueName="1" name="Precio RE" queryTableFieldId="11" dataDxfId="9"/>
    <tableColumn id="11" xr3:uid="{C1508DD3-459F-4835-BBDF-8C2A8B2FDFE7}" uniqueName="11" name="Precio medio RE" queryTableFieldId="12" dataDxfId="8"/>
    <tableColumn id="12" xr3:uid="{9026679D-B662-4523-973E-EA357394609B}" uniqueName="12" name="Precio TCC" queryTableFieldId="13" dataDxfId="7"/>
    <tableColumn id="13" xr3:uid="{CC7FB6CB-EEDE-4ED3-9DA5-F327C6E5A005}" uniqueName="13" name="Precio medio TCC" queryTableFieldId="14" dataDxfId="6"/>
    <tableColumn id="14" xr3:uid="{A9F3EF14-38B3-40EF-99B0-680C34ED4F7C}" uniqueName="14" name="Precio HI" queryTableFieldId="15" dataDxfId="5"/>
    <tableColumn id="15" xr3:uid="{8AA8DD72-56CF-4570-AB9C-E4009ED6B6EF}" uniqueName="15" name="Precio medio HI" queryTableFieldId="16" dataDxfId="4"/>
    <tableColumn id="17" xr3:uid="{B2E69756-B019-4223-9637-3598684CE6DE}" uniqueName="17" name="demanda grafico" queryTableFieldId="19" dataDxfId="3">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32">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31" dataCellStyle="Porcentaje"/>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30">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29"/>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28" dataCellStyle="Porcentaje"/>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7">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6" dataCellStyle="Porcentaje"/>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25"/>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24"/>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N100" tableType="queryTable" totalsRowShown="0">
  <autoFilter ref="A1:N100" xr:uid="{99D01F56-7781-4CA0-B998-CED85D915683}"/>
  <sortState xmlns:xlrd2="http://schemas.microsoft.com/office/spreadsheetml/2017/richdata2" ref="A2:N100">
    <sortCondition descending="1" ref="L1:L100"/>
  </sortState>
  <tableColumns count="14">
    <tableColumn id="5" xr3:uid="{D7A0D433-F982-4BB2-AE1F-A9386DB3D1D0}" uniqueName="5" name="Nombre " queryTableFieldId="1" dataDxfId="2"/>
    <tableColumn id="1" xr3:uid="{04B083F6-3713-483D-966D-F8C347D0438E}" uniqueName="1" name="ene-24" queryTableFieldId="16"/>
    <tableColumn id="2" xr3:uid="{82D7E4BD-5029-4DEA-A033-340BE47BF7B3}" uniqueName="2" name="feb-24" queryTableFieldId="17"/>
    <tableColumn id="3" xr3:uid="{5FAF1347-FAEE-42D2-95C5-5B97E342D7BB}" uniqueName="3" name="mar-24" queryTableFieldId="18"/>
    <tableColumn id="4" xr3:uid="{407366AB-46E6-4658-97B0-035C420927E9}" uniqueName="4" name="abr-24" queryTableFieldId="19"/>
    <tableColumn id="7" xr3:uid="{DE4AAC00-7719-49FA-90AC-EC420AA5B2D8}" uniqueName="7" name="may-24" queryTableFieldId="20"/>
    <tableColumn id="10" xr3:uid="{B7B78CED-4D7D-471E-A4F8-1D2AA4F84987}" uniqueName="10" name="jun-24" queryTableFieldId="21"/>
    <tableColumn id="11" xr3:uid="{685A049B-C773-406D-9774-01AF7B96265A}" uniqueName="11" name="jul-24" queryTableFieldId="22"/>
    <tableColumn id="12" xr3:uid="{11D972F3-0250-4D46-A03D-A361ACB75784}" uniqueName="12" name="ago-24" queryTableFieldId="23"/>
    <tableColumn id="13" xr3:uid="{FBDD8939-081F-411C-90CB-9B8F90AC2197}" uniqueName="13" name="sep-24" queryTableFieldId="24"/>
    <tableColumn id="14" xr3:uid="{D87EDAFA-E142-4FB7-8ED7-7B8DC6D3A61E}" uniqueName="14" name="oct-24" queryTableFieldId="25"/>
    <tableColumn id="8" xr3:uid="{CF39BE51-3759-4AF8-86DF-695E3E5DBE90}" uniqueName="8" name="contar" queryTableFieldId="8" dataDxfId="1">
      <calculatedColumnFormula>$AA$2- COUNTIF(acumulado_porcentaje[[#This Row],[ene-24]:[oct-24]],"")</calculatedColumnFormula>
    </tableColumn>
    <tableColumn id="6" xr3:uid="{F422233D-9EA7-4ED2-BEAE-280E8F52F342}" uniqueName="6" name="%_desvio" queryTableFieldId="5" dataDxfId="0" dataCellStyle="Porcentaje">
      <calculatedColumnFormula>IF(acumulado_porcentaje[[#This Row],[contar]]&gt;=$AA$3,SUM(SMALL(#REF!,1),SMALL(#REF!,2),SMALL(#REF!,3),SMALL(#REF!,4),SMALL(#REF!,5),SMALL(#REF!,6),SMALL(#REF!,7)),"#N/A")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123"/>
    <tableColumn id="2" xr3:uid="{273CF2E4-AA71-4A38-8B09-B8C4341C8BDA}" uniqueName="2" name="Ene 2024" queryTableFieldId="2" dataDxfId="122"/>
    <tableColumn id="3" xr3:uid="{10CBB1D1-D219-4B55-BDE4-8EBED44AAD0D}" uniqueName="3" name="Feb 2024" queryTableFieldId="3" dataDxfId="121"/>
    <tableColumn id="4" xr3:uid="{E635CB03-C1F9-4F40-971A-E2B6D93952B0}" uniqueName="4" name="Mar 2024" queryTableFieldId="4" dataDxfId="120"/>
    <tableColumn id="7" xr3:uid="{C792BDFC-C6BD-4506-95F2-264CB023586B}" uniqueName="7" name="Abr 2024" queryTableFieldId="7" dataDxfId="119"/>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118">
      <calculatedColumnFormula>acum_porc!$AA$2- COUNTIF(acumulado_absoluto[[#This Row],[Ene 2024]:[Ago 2024]],"")</calculatedColumnFormula>
    </tableColumn>
    <tableColumn id="6" xr3:uid="{650181F5-E014-4486-A01F-0C1AF56FBFCD}" uniqueName="6" name="min" queryTableFieldId="5" dataDxfId="117">
      <calculatedColumnFormula>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otalsRowShown="0">
  <autoFilter ref="A1:F64" xr:uid="{1AC15776-3B16-4651-8B0B-E14FB0675A2E}"/>
  <tableColumns count="6">
    <tableColumn id="5" xr3:uid="{6369EE80-96C8-4269-958E-F699720BE8DC}" name="Nombre " dataDxfId="116"/>
    <tableColumn id="2" xr3:uid="{DA5AD0F9-3C4A-4B14-A66A-EBE608E14AA8}" name="Ene 2024" dataDxfId="115"/>
    <tableColumn id="3" xr3:uid="{B787E4BE-874B-4009-BA0D-80194F8C68DE}" name="Feb 2024" dataDxfId="114"/>
    <tableColumn id="4" xr3:uid="{A7428946-38B4-4AB4-9D18-6C838A9D5D0A}" name="Mar 2024" dataDxfId="113"/>
    <tableColumn id="7" xr3:uid="{5EB3169B-8C9C-4FEA-A8EE-C2B6CA065642}" name="Abr 2024"/>
    <tableColumn id="6" xr3:uid="{7F64FAE5-E722-4B80-ADFA-5A66E4A2C6B0}" name="porras" dataDxfId="112">
      <calculatedColumnFormula>COUNTA(acumulado_porcentaje_SIN_MAYO[[#This Row],[Ene 2024]:[Abr 2024]])</calculatedColumnFormula>
    </tableColumn>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92" tableType="queryTable" totalsRowShown="0">
  <autoFilter ref="A1:C92" xr:uid="{BEFB6CA3-7FEF-4445-A951-D80FD188F387}"/>
  <tableColumns count="3">
    <tableColumn id="4" xr3:uid="{C17A4293-7835-4681-A02B-6A7DA0D49887}" uniqueName="4" name="Nombre" queryTableFieldId="1" dataDxfId="111"/>
    <tableColumn id="2" xr3:uid="{14F77757-EE54-4FB2-9C68-4DD49DBC430F}" uniqueName="2" name="Apellidos" queryTableFieldId="2" dataDxfId="110"/>
    <tableColumn id="3" xr3:uid="{363B3867-DD54-4836-9944-787B922003EA}" uniqueName="3" name="Nick (o nombre corto)" queryTableFieldId="3" dataDxfId="109"/>
  </tableColumns>
  <tableStyleInfo name="TableStyleMedium7"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902B4B06-2D3E-46A6-A430-7E39505E4406}" name="apuestas_2024" displayName="apuestas_2024" ref="A1:C392" tableType="queryTable" totalsRowShown="0">
  <autoFilter ref="A1:C392" xr:uid="{902B4B06-2D3E-46A6-A430-7E39505E4406}"/>
  <tableColumns count="3">
    <tableColumn id="4" xr3:uid="{192067B6-B074-44ED-9EC2-87B2AA94A2C9}" uniqueName="4" name="mes" queryTableFieldId="1" dataDxfId="108"/>
    <tableColumn id="2" xr3:uid="{7697E439-6490-407A-ADFC-9CFDF31919E1}" uniqueName="2" name="Nombre " queryTableFieldId="2" dataDxfId="107"/>
    <tableColumn id="3" xr3:uid="{CC2BD3A9-C0B2-4598-92A2-EF281424F699}" uniqueName="3" name="apuesta" queryTableFieldId="3"/>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9.xml"/><Relationship Id="rId7" Type="http://schemas.openxmlformats.org/officeDocument/2006/relationships/table" Target="../tables/table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3.xml"/><Relationship Id="rId7" Type="http://schemas.openxmlformats.org/officeDocument/2006/relationships/table" Target="../tables/table25.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17.xml"/><Relationship Id="rId7" Type="http://schemas.openxmlformats.org/officeDocument/2006/relationships/table" Target="../tables/table28.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30.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ctrlProp" Target="../ctrlProps/ctrlProp21.xml"/><Relationship Id="rId7" Type="http://schemas.openxmlformats.org/officeDocument/2006/relationships/table" Target="../tables/table31.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ctrlProp" Target="../ctrlProps/ctrlProp25.xml"/><Relationship Id="rId7" Type="http://schemas.openxmlformats.org/officeDocument/2006/relationships/table" Target="../tables/table34.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ctrlProp" Target="../ctrlProps/ctrlProp29.xml"/><Relationship Id="rId7" Type="http://schemas.openxmlformats.org/officeDocument/2006/relationships/table" Target="../tables/table37.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ctrlProp" Target="../ctrlProps/ctrlProp33.xml"/><Relationship Id="rId7" Type="http://schemas.openxmlformats.org/officeDocument/2006/relationships/table" Target="../tables/table40.xml"/><Relationship Id="rId2" Type="http://schemas.openxmlformats.org/officeDocument/2006/relationships/vmlDrawing" Target="../drawings/vmlDrawing11.vml"/><Relationship Id="rId1" Type="http://schemas.openxmlformats.org/officeDocument/2006/relationships/drawing" Target="../drawings/drawing2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table" Target="../tables/table4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drawing" Target="../drawings/drawing2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2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 Id="rId5" Type="http://schemas.openxmlformats.org/officeDocument/2006/relationships/table" Target="../tables/table54.xml"/><Relationship Id="rId4" Type="http://schemas.openxmlformats.org/officeDocument/2006/relationships/table" Target="../tables/table5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2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2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J303"/>
  <sheetViews>
    <sheetView zoomScale="130" zoomScaleNormal="130" workbookViewId="0">
      <selection activeCell="AE5" sqref="AE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0" max="30" width="2.42578125" customWidth="1"/>
    <col min="31" max="31" width="9.85546875" bestFit="1" customWidth="1"/>
    <col min="32" max="32" width="7" bestFit="1" customWidth="1"/>
    <col min="34" max="34" width="22.28515625" customWidth="1"/>
  </cols>
  <sheetData>
    <row r="1" spans="1:36" ht="18" x14ac:dyDescent="0.2">
      <c r="A1" s="114" t="s">
        <v>341</v>
      </c>
      <c r="B1" s="114"/>
      <c r="D1" s="113" t="s">
        <v>237</v>
      </c>
      <c r="E1" s="113"/>
      <c r="G1" s="113" t="s">
        <v>368</v>
      </c>
      <c r="H1" s="113"/>
      <c r="J1" s="113" t="s">
        <v>476</v>
      </c>
      <c r="K1" s="113"/>
      <c r="M1" s="113" t="s">
        <v>551</v>
      </c>
      <c r="N1" s="113"/>
      <c r="P1" s="113" t="s">
        <v>659</v>
      </c>
      <c r="Q1" s="113"/>
      <c r="S1" s="113" t="s">
        <v>800</v>
      </c>
      <c r="T1" s="113"/>
      <c r="V1" s="113" t="s">
        <v>955</v>
      </c>
      <c r="W1" s="113"/>
      <c r="X1" s="93"/>
      <c r="Y1" s="113" t="s">
        <v>1030</v>
      </c>
      <c r="Z1" s="113"/>
      <c r="AA1" s="93"/>
      <c r="AB1" s="113" t="s">
        <v>1101</v>
      </c>
      <c r="AC1" s="113"/>
      <c r="AD1" s="93"/>
      <c r="AE1" s="113" t="s">
        <v>1138</v>
      </c>
      <c r="AF1" s="113"/>
      <c r="AG1" s="93"/>
      <c r="AH1" s="95" t="s">
        <v>486</v>
      </c>
      <c r="AI1" s="2">
        <f>MIN(omie[valor])</f>
        <v>0.44</v>
      </c>
      <c r="AJ1" s="96">
        <f>INDEX(omie[fecha],MATCH(AI1,omie[valor],0))</f>
        <v>45387</v>
      </c>
    </row>
    <row r="2" spans="1:36" ht="18" x14ac:dyDescent="0.2">
      <c r="A2" s="114"/>
      <c r="B2" s="114"/>
      <c r="D2" s="113"/>
      <c r="E2" s="113"/>
      <c r="G2" s="113"/>
      <c r="H2" s="113"/>
      <c r="J2" s="113"/>
      <c r="K2" s="113"/>
      <c r="M2" s="113"/>
      <c r="N2" s="113"/>
      <c r="P2" s="113"/>
      <c r="Q2" s="113"/>
      <c r="S2" s="113"/>
      <c r="T2" s="113"/>
      <c r="V2" s="113"/>
      <c r="W2" s="113"/>
      <c r="X2" s="93"/>
      <c r="Y2" s="113"/>
      <c r="Z2" s="113"/>
      <c r="AA2" s="93"/>
      <c r="AB2" s="113"/>
      <c r="AC2" s="113"/>
      <c r="AD2" s="93"/>
      <c r="AE2" s="113"/>
      <c r="AF2" s="113"/>
      <c r="AG2" s="93"/>
      <c r="AH2" s="95" t="s">
        <v>956</v>
      </c>
      <c r="AI2" s="2">
        <f>MAX(omie[valor])</f>
        <v>120.37</v>
      </c>
      <c r="AJ2" s="96">
        <f>INDEX(omie[fecha],MATCH(AI2,omie[valor],0))</f>
        <v>45533</v>
      </c>
    </row>
    <row r="3" spans="1:36" x14ac:dyDescent="0.2">
      <c r="A3" s="114"/>
      <c r="B3" s="114"/>
      <c r="D3" s="15" t="s">
        <v>14</v>
      </c>
      <c r="E3" s="25">
        <f>ROUND(AVERAGE(omie_enero[valor]),2)</f>
        <v>74.099999999999994</v>
      </c>
      <c r="G3" s="15" t="s">
        <v>14</v>
      </c>
      <c r="H3" s="25">
        <f>ROUND(AVERAGE(omie_febrero[valor]),2)</f>
        <v>40</v>
      </c>
      <c r="J3" s="15" t="s">
        <v>14</v>
      </c>
      <c r="K3" s="97">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4"/>
      <c r="Y3" s="15" t="s">
        <v>14</v>
      </c>
      <c r="Z3" s="25">
        <f>ROUND(AVERAGE(omie_agosto[valor]),2)</f>
        <v>91.05</v>
      </c>
      <c r="AA3" s="25"/>
      <c r="AB3" s="15" t="s">
        <v>14</v>
      </c>
      <c r="AC3" s="25">
        <f>ROUND(AVERAGE(omie_septiembre[valor]),2)</f>
        <v>72.62</v>
      </c>
      <c r="AD3" s="94"/>
      <c r="AE3" s="15" t="s">
        <v>14</v>
      </c>
      <c r="AF3" s="25">
        <f>ROUND(AVERAGE(omie_octubre[valor]),2)</f>
        <v>66.540000000000006</v>
      </c>
      <c r="AG3" s="94"/>
    </row>
    <row r="4" spans="1:36"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c r="AE4" t="s">
        <v>10</v>
      </c>
      <c r="AF4" t="s">
        <v>11</v>
      </c>
    </row>
    <row r="5" spans="1:36" x14ac:dyDescent="0.2">
      <c r="A5" s="5">
        <v>45590</v>
      </c>
      <c r="B5" s="4">
        <v>63.8</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v>99.64</v>
      </c>
      <c r="AE5" s="24">
        <v>45566</v>
      </c>
      <c r="AF5" s="158">
        <v>97.9</v>
      </c>
    </row>
    <row r="6" spans="1:36" x14ac:dyDescent="0.2">
      <c r="A6" s="5">
        <v>45589</v>
      </c>
      <c r="B6" s="4">
        <v>70.19</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v>116.66</v>
      </c>
      <c r="AE6" s="24">
        <v>45567</v>
      </c>
      <c r="AF6" s="158">
        <v>93.59</v>
      </c>
    </row>
    <row r="7" spans="1:36" x14ac:dyDescent="0.2">
      <c r="A7" s="5">
        <v>45588</v>
      </c>
      <c r="B7" s="4">
        <v>87.23</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v>108.44</v>
      </c>
      <c r="AE7" s="24">
        <v>45568</v>
      </c>
      <c r="AF7" s="158">
        <v>57.92</v>
      </c>
    </row>
    <row r="8" spans="1:36" x14ac:dyDescent="0.2">
      <c r="A8" s="5">
        <v>45587</v>
      </c>
      <c r="B8" s="4">
        <v>80.180000000000007</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v>95.41</v>
      </c>
      <c r="AE8" s="24">
        <v>45569</v>
      </c>
      <c r="AF8" s="158">
        <v>98.98</v>
      </c>
    </row>
    <row r="9" spans="1:36" x14ac:dyDescent="0.2">
      <c r="A9" s="5">
        <v>45586</v>
      </c>
      <c r="B9" s="4">
        <v>93.63</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v>104.28</v>
      </c>
      <c r="AE9" s="24">
        <v>45570</v>
      </c>
      <c r="AF9" s="158">
        <v>60.4</v>
      </c>
    </row>
    <row r="10" spans="1:36" x14ac:dyDescent="0.2">
      <c r="A10" s="5">
        <v>45585</v>
      </c>
      <c r="B10" s="4">
        <v>44.66</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v>86.72</v>
      </c>
      <c r="AE10" s="24">
        <v>45571</v>
      </c>
      <c r="AF10" s="158">
        <v>21.96</v>
      </c>
    </row>
    <row r="11" spans="1:36" x14ac:dyDescent="0.2">
      <c r="A11" s="5">
        <v>45584</v>
      </c>
      <c r="B11" s="4">
        <v>48.71</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v>79.010000000000005</v>
      </c>
      <c r="AE11" s="24">
        <v>45572</v>
      </c>
      <c r="AF11" s="158">
        <v>55.46</v>
      </c>
    </row>
    <row r="12" spans="1:36" x14ac:dyDescent="0.2">
      <c r="A12" s="5">
        <v>45583</v>
      </c>
      <c r="B12" s="4">
        <v>51.99</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v>67.760000000000005</v>
      </c>
      <c r="AE12" s="24">
        <v>45573</v>
      </c>
      <c r="AF12" s="158">
        <v>31.37</v>
      </c>
    </row>
    <row r="13" spans="1:36" x14ac:dyDescent="0.2">
      <c r="A13" s="5">
        <v>45582</v>
      </c>
      <c r="B13" s="4">
        <v>51.25</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v>86.54</v>
      </c>
      <c r="AE13" s="24">
        <v>45574</v>
      </c>
      <c r="AF13" s="158">
        <v>24.52</v>
      </c>
    </row>
    <row r="14" spans="1:36" x14ac:dyDescent="0.2">
      <c r="A14" s="5">
        <v>45581</v>
      </c>
      <c r="B14" s="4">
        <v>48.84</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v>75.209999999999994</v>
      </c>
      <c r="AE14" s="24">
        <v>45575</v>
      </c>
      <c r="AF14" s="158">
        <v>76.180000000000007</v>
      </c>
    </row>
    <row r="15" spans="1:36" x14ac:dyDescent="0.2">
      <c r="A15" s="5">
        <v>45580</v>
      </c>
      <c r="B15" s="4">
        <v>87.23</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v>76.739999999999995</v>
      </c>
      <c r="AE15" s="24">
        <v>45576</v>
      </c>
      <c r="AF15" s="158">
        <v>90.66</v>
      </c>
    </row>
    <row r="16" spans="1:36" x14ac:dyDescent="0.2">
      <c r="A16" s="5">
        <v>45579</v>
      </c>
      <c r="B16" s="4">
        <v>104.17</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v>72.209999999999994</v>
      </c>
      <c r="AE16" s="24">
        <v>45577</v>
      </c>
      <c r="AF16" s="158">
        <v>69.86</v>
      </c>
    </row>
    <row r="17" spans="1:32" x14ac:dyDescent="0.2">
      <c r="A17" s="5">
        <v>45578</v>
      </c>
      <c r="B17" s="4">
        <v>52.75</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v>47.1</v>
      </c>
      <c r="AE17" s="24">
        <v>45578</v>
      </c>
      <c r="AF17" s="158">
        <v>52.75</v>
      </c>
    </row>
    <row r="18" spans="1:32" x14ac:dyDescent="0.2">
      <c r="A18" s="5">
        <v>45577</v>
      </c>
      <c r="B18" s="4">
        <v>69.86</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v>45.61</v>
      </c>
      <c r="AE18" s="24">
        <v>45579</v>
      </c>
      <c r="AF18" s="158">
        <v>104.17</v>
      </c>
    </row>
    <row r="19" spans="1:32" x14ac:dyDescent="0.2">
      <c r="A19" s="5">
        <v>45576</v>
      </c>
      <c r="B19" s="4">
        <v>90.66</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v>32.520000000000003</v>
      </c>
      <c r="AE19" s="24">
        <v>45580</v>
      </c>
      <c r="AF19" s="158">
        <v>87.23</v>
      </c>
    </row>
    <row r="20" spans="1:32" x14ac:dyDescent="0.2">
      <c r="A20" s="5">
        <v>45575</v>
      </c>
      <c r="B20" s="4">
        <v>76.180000000000007</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v>27.19</v>
      </c>
      <c r="AE20" s="24">
        <v>45581</v>
      </c>
      <c r="AF20" s="158">
        <v>48.84</v>
      </c>
    </row>
    <row r="21" spans="1:32" x14ac:dyDescent="0.2">
      <c r="A21" s="5">
        <v>45574</v>
      </c>
      <c r="B21" s="4">
        <v>24.52</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v>25.7</v>
      </c>
      <c r="AE21" s="24">
        <v>45582</v>
      </c>
      <c r="AF21" s="158">
        <v>51.25</v>
      </c>
    </row>
    <row r="22" spans="1:32" x14ac:dyDescent="0.2">
      <c r="A22" s="5">
        <v>45573</v>
      </c>
      <c r="B22" s="4">
        <v>31.37</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v>90.92</v>
      </c>
      <c r="AE22" s="24">
        <v>45583</v>
      </c>
      <c r="AF22" s="158">
        <v>51.99</v>
      </c>
    </row>
    <row r="23" spans="1:32" x14ac:dyDescent="0.2">
      <c r="A23" s="5">
        <v>45572</v>
      </c>
      <c r="B23" s="4">
        <v>55.46</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v>106.98</v>
      </c>
      <c r="AE23" s="24">
        <v>45584</v>
      </c>
      <c r="AF23" s="158">
        <v>48.71</v>
      </c>
    </row>
    <row r="24" spans="1:32" x14ac:dyDescent="0.2">
      <c r="A24" s="5">
        <v>45571</v>
      </c>
      <c r="B24" s="4">
        <v>21.96</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v>107.69</v>
      </c>
      <c r="AE24" s="24">
        <v>45585</v>
      </c>
      <c r="AF24" s="158">
        <v>44.66</v>
      </c>
    </row>
    <row r="25" spans="1:32" x14ac:dyDescent="0.2">
      <c r="A25" s="5">
        <v>45570</v>
      </c>
      <c r="B25" s="4">
        <v>60.4</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v>85.39</v>
      </c>
      <c r="AE25" s="24">
        <v>45586</v>
      </c>
      <c r="AF25" s="158">
        <v>93.63</v>
      </c>
    </row>
    <row r="26" spans="1:32" x14ac:dyDescent="0.2">
      <c r="A26" s="5">
        <v>45569</v>
      </c>
      <c r="B26" s="4">
        <v>98.98</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v>69.91</v>
      </c>
      <c r="AE26" s="24">
        <v>45587</v>
      </c>
      <c r="AF26" s="158">
        <v>80.180000000000007</v>
      </c>
    </row>
    <row r="27" spans="1:32" x14ac:dyDescent="0.2">
      <c r="A27" s="5">
        <v>45568</v>
      </c>
      <c r="B27" s="4">
        <v>57.92</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v>90.03</v>
      </c>
      <c r="AE27" s="24">
        <v>45588</v>
      </c>
      <c r="AF27" s="158">
        <v>87.23</v>
      </c>
    </row>
    <row r="28" spans="1:32" x14ac:dyDescent="0.2">
      <c r="A28" s="5">
        <v>45567</v>
      </c>
      <c r="B28" s="4">
        <v>93.59</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v>95.81</v>
      </c>
      <c r="AE28" s="24">
        <v>45589</v>
      </c>
      <c r="AF28" s="158">
        <v>70.19</v>
      </c>
    </row>
    <row r="29" spans="1:32" x14ac:dyDescent="0.2">
      <c r="A29" s="5">
        <v>45566</v>
      </c>
      <c r="B29" s="4">
        <v>97.9</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v>57.22</v>
      </c>
      <c r="AE29" s="24">
        <v>45590</v>
      </c>
      <c r="AF29" s="158">
        <v>63.8</v>
      </c>
    </row>
    <row r="30" spans="1:32" x14ac:dyDescent="0.2">
      <c r="A30" s="5">
        <v>45565</v>
      </c>
      <c r="B30" s="4">
        <v>87.85</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c r="AB30" s="24">
        <v>45561</v>
      </c>
      <c r="AC30">
        <v>24.18</v>
      </c>
    </row>
    <row r="31" spans="1:32" x14ac:dyDescent="0.2">
      <c r="A31" s="5">
        <v>45564</v>
      </c>
      <c r="B31" s="4">
        <v>43.56</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c r="AB31" s="24">
        <v>45562</v>
      </c>
      <c r="AC31">
        <v>25.61</v>
      </c>
    </row>
    <row r="32" spans="1:32" x14ac:dyDescent="0.2">
      <c r="A32" s="5">
        <v>45563</v>
      </c>
      <c r="B32" s="28">
        <v>46.81</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c r="AB32" s="24">
        <v>45563</v>
      </c>
      <c r="AC32">
        <v>46.81</v>
      </c>
    </row>
    <row r="33" spans="1:29" x14ac:dyDescent="0.2">
      <c r="A33" s="5">
        <v>45562</v>
      </c>
      <c r="B33" s="4">
        <v>25.61</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c r="AB33" s="24">
        <v>45564</v>
      </c>
      <c r="AC33">
        <v>43.56</v>
      </c>
    </row>
    <row r="34" spans="1:29" x14ac:dyDescent="0.2">
      <c r="A34" s="5">
        <v>45561</v>
      </c>
      <c r="B34" s="4">
        <v>24.18</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c r="AB34" s="24">
        <v>45565</v>
      </c>
      <c r="AC34">
        <v>87.85</v>
      </c>
    </row>
    <row r="35" spans="1:29" x14ac:dyDescent="0.2">
      <c r="A35" s="5">
        <v>45560</v>
      </c>
      <c r="B35" s="4">
        <v>57.22</v>
      </c>
      <c r="D35" s="24">
        <v>45322</v>
      </c>
      <c r="E35" s="21">
        <v>84.26</v>
      </c>
      <c r="G35" s="4"/>
      <c r="J35" s="51">
        <v>45382</v>
      </c>
      <c r="K35" s="47">
        <v>0.83</v>
      </c>
      <c r="P35" s="5">
        <v>45443</v>
      </c>
      <c r="Q35" s="4">
        <v>2.69</v>
      </c>
      <c r="V35" s="24">
        <v>45504</v>
      </c>
      <c r="W35" s="4">
        <v>105.34</v>
      </c>
      <c r="Y35" s="24">
        <v>45535</v>
      </c>
      <c r="Z35">
        <v>116.61</v>
      </c>
    </row>
    <row r="36" spans="1:29" x14ac:dyDescent="0.2">
      <c r="A36" s="5">
        <v>45559</v>
      </c>
      <c r="B36" s="4">
        <v>95.81</v>
      </c>
      <c r="F36" s="21"/>
      <c r="G36" s="4"/>
      <c r="J36"/>
    </row>
    <row r="37" spans="1:29" x14ac:dyDescent="0.2">
      <c r="A37" s="5">
        <v>45558</v>
      </c>
      <c r="B37" s="4">
        <v>90.03</v>
      </c>
      <c r="G37" s="4"/>
      <c r="J37"/>
    </row>
    <row r="38" spans="1:29" x14ac:dyDescent="0.2">
      <c r="A38" s="5">
        <v>45557</v>
      </c>
      <c r="B38" s="4">
        <v>69.91</v>
      </c>
      <c r="G38" s="4"/>
      <c r="J38"/>
    </row>
    <row r="39" spans="1:29" x14ac:dyDescent="0.2">
      <c r="A39" s="5">
        <v>45556</v>
      </c>
      <c r="B39" s="4">
        <v>85.39</v>
      </c>
      <c r="G39" s="4"/>
      <c r="J39"/>
    </row>
    <row r="40" spans="1:29" x14ac:dyDescent="0.2">
      <c r="A40" s="5">
        <v>45555</v>
      </c>
      <c r="B40" s="4">
        <v>107.69</v>
      </c>
      <c r="G40" s="4"/>
      <c r="J40"/>
    </row>
    <row r="41" spans="1:29" x14ac:dyDescent="0.2">
      <c r="A41" s="5">
        <v>45554</v>
      </c>
      <c r="B41" s="4">
        <v>106.98</v>
      </c>
      <c r="G41" s="4"/>
      <c r="J41"/>
    </row>
    <row r="42" spans="1:29" x14ac:dyDescent="0.2">
      <c r="A42" s="5">
        <v>45553</v>
      </c>
      <c r="B42" s="4">
        <v>90.92</v>
      </c>
      <c r="G42" s="4"/>
      <c r="J42"/>
    </row>
    <row r="43" spans="1:29" x14ac:dyDescent="0.2">
      <c r="A43" s="5">
        <v>45552</v>
      </c>
      <c r="B43" s="4">
        <v>25.7</v>
      </c>
      <c r="G43" s="4"/>
      <c r="J43"/>
    </row>
    <row r="44" spans="1:29" x14ac:dyDescent="0.2">
      <c r="A44" s="5">
        <v>45551</v>
      </c>
      <c r="B44" s="4">
        <v>27.19</v>
      </c>
      <c r="G44" s="4"/>
      <c r="J44"/>
    </row>
    <row r="45" spans="1:29" x14ac:dyDescent="0.2">
      <c r="A45" s="5">
        <v>45550</v>
      </c>
      <c r="B45" s="4">
        <v>32.520000000000003</v>
      </c>
      <c r="G45" s="4"/>
      <c r="J45"/>
    </row>
    <row r="46" spans="1:29" x14ac:dyDescent="0.2">
      <c r="A46" s="5">
        <v>45549</v>
      </c>
      <c r="B46" s="4">
        <v>45.61</v>
      </c>
      <c r="G46" s="4"/>
      <c r="J46"/>
    </row>
    <row r="47" spans="1:29" x14ac:dyDescent="0.2">
      <c r="A47" s="5">
        <v>45548</v>
      </c>
      <c r="B47" s="4">
        <v>47.1</v>
      </c>
      <c r="G47" s="4"/>
      <c r="J47"/>
    </row>
    <row r="48" spans="1:29" x14ac:dyDescent="0.2">
      <c r="A48" s="5">
        <v>45547</v>
      </c>
      <c r="B48" s="4">
        <v>72.209999999999994</v>
      </c>
      <c r="G48" s="4"/>
      <c r="J48"/>
    </row>
    <row r="49" spans="1:10" x14ac:dyDescent="0.2">
      <c r="A49" s="5">
        <v>45546</v>
      </c>
      <c r="B49" s="4">
        <v>76.739999999999995</v>
      </c>
      <c r="G49" s="4"/>
      <c r="J49"/>
    </row>
    <row r="50" spans="1:10" x14ac:dyDescent="0.2">
      <c r="A50" s="5">
        <v>45545</v>
      </c>
      <c r="B50" s="4">
        <v>75.209999999999994</v>
      </c>
      <c r="G50" s="4"/>
      <c r="J50"/>
    </row>
    <row r="51" spans="1:10" x14ac:dyDescent="0.2">
      <c r="A51" s="5">
        <v>45544</v>
      </c>
      <c r="B51" s="4">
        <v>86.54</v>
      </c>
      <c r="G51" s="4"/>
      <c r="J51"/>
    </row>
    <row r="52" spans="1:10" x14ac:dyDescent="0.2">
      <c r="A52" s="5">
        <v>45543</v>
      </c>
      <c r="B52" s="4">
        <v>67.760000000000005</v>
      </c>
      <c r="G52" s="4"/>
      <c r="J52"/>
    </row>
    <row r="53" spans="1:10" x14ac:dyDescent="0.2">
      <c r="A53" s="5">
        <v>45542</v>
      </c>
      <c r="B53" s="4">
        <v>79.010000000000005</v>
      </c>
      <c r="G53" s="4"/>
      <c r="J53"/>
    </row>
    <row r="54" spans="1:10" x14ac:dyDescent="0.2">
      <c r="A54" s="5">
        <v>45541</v>
      </c>
      <c r="B54" s="4">
        <v>86.72</v>
      </c>
      <c r="G54" s="4"/>
      <c r="J54"/>
    </row>
    <row r="55" spans="1:10" x14ac:dyDescent="0.2">
      <c r="A55" s="5">
        <v>45540</v>
      </c>
      <c r="B55" s="4">
        <v>104.28</v>
      </c>
      <c r="G55" s="4"/>
      <c r="J55"/>
    </row>
    <row r="56" spans="1:10" x14ac:dyDescent="0.2">
      <c r="A56" s="5">
        <v>45539</v>
      </c>
      <c r="B56" s="4">
        <v>95.41</v>
      </c>
      <c r="G56" s="4"/>
      <c r="J56"/>
    </row>
    <row r="57" spans="1:10" x14ac:dyDescent="0.2">
      <c r="A57" s="5">
        <v>45538</v>
      </c>
      <c r="B57" s="4">
        <v>108.44</v>
      </c>
      <c r="G57" s="4"/>
      <c r="J57"/>
    </row>
    <row r="58" spans="1:10" x14ac:dyDescent="0.2">
      <c r="A58" s="5">
        <v>45537</v>
      </c>
      <c r="B58" s="4">
        <v>116.66</v>
      </c>
      <c r="G58" s="4"/>
      <c r="J58"/>
    </row>
    <row r="59" spans="1:10" x14ac:dyDescent="0.2">
      <c r="A59" s="5">
        <v>45536</v>
      </c>
      <c r="B59" s="4">
        <v>99.64</v>
      </c>
      <c r="G59" s="4"/>
      <c r="J59"/>
    </row>
    <row r="60" spans="1:10" x14ac:dyDescent="0.2">
      <c r="A60" s="5">
        <v>45535</v>
      </c>
      <c r="B60" s="4">
        <v>116.61</v>
      </c>
      <c r="G60" s="4"/>
      <c r="J60"/>
    </row>
    <row r="61" spans="1:10" x14ac:dyDescent="0.2">
      <c r="A61" s="5">
        <v>45534</v>
      </c>
      <c r="B61" s="4">
        <v>115.57</v>
      </c>
      <c r="G61" s="4"/>
      <c r="J61"/>
    </row>
    <row r="62" spans="1:10" x14ac:dyDescent="0.2">
      <c r="A62" s="5">
        <v>45533</v>
      </c>
      <c r="B62" s="4">
        <v>120.37</v>
      </c>
      <c r="G62" s="4"/>
      <c r="J62"/>
    </row>
    <row r="63" spans="1:10" x14ac:dyDescent="0.2">
      <c r="A63" s="5">
        <v>45532</v>
      </c>
      <c r="B63" s="4">
        <v>108.43</v>
      </c>
      <c r="G63" s="4"/>
      <c r="J63"/>
    </row>
    <row r="64" spans="1:10" x14ac:dyDescent="0.2">
      <c r="A64" s="5">
        <v>45531</v>
      </c>
      <c r="B64" s="4">
        <v>107.71</v>
      </c>
      <c r="J64"/>
    </row>
    <row r="65" spans="1:2" x14ac:dyDescent="0.2">
      <c r="A65" s="5">
        <v>45530</v>
      </c>
      <c r="B65" s="4">
        <v>94.19</v>
      </c>
    </row>
    <row r="66" spans="1:2" x14ac:dyDescent="0.2">
      <c r="A66" s="5">
        <v>45529</v>
      </c>
      <c r="B66" s="4">
        <v>31.2</v>
      </c>
    </row>
    <row r="67" spans="1:2" x14ac:dyDescent="0.2">
      <c r="A67" s="5">
        <v>45528</v>
      </c>
      <c r="B67" s="4">
        <v>60.32</v>
      </c>
    </row>
    <row r="68" spans="1:2" x14ac:dyDescent="0.2">
      <c r="A68" s="5">
        <v>45527</v>
      </c>
      <c r="B68" s="4">
        <v>107.09</v>
      </c>
    </row>
    <row r="69" spans="1:2" x14ac:dyDescent="0.2">
      <c r="A69" s="5">
        <v>45526</v>
      </c>
      <c r="B69" s="4">
        <v>109.4</v>
      </c>
    </row>
    <row r="70" spans="1:2" x14ac:dyDescent="0.2">
      <c r="A70" s="5">
        <v>45525</v>
      </c>
      <c r="B70" s="4">
        <v>79.06</v>
      </c>
    </row>
    <row r="71" spans="1:2" x14ac:dyDescent="0.2">
      <c r="A71" s="5">
        <v>45524</v>
      </c>
      <c r="B71" s="4">
        <v>95.62</v>
      </c>
    </row>
    <row r="72" spans="1:2" x14ac:dyDescent="0.2">
      <c r="A72" s="5">
        <v>45523</v>
      </c>
      <c r="B72" s="4">
        <v>93.72</v>
      </c>
    </row>
    <row r="73" spans="1:2" x14ac:dyDescent="0.2">
      <c r="A73" s="5">
        <v>45522</v>
      </c>
      <c r="B73" s="4">
        <v>55.6</v>
      </c>
    </row>
    <row r="74" spans="1:2" x14ac:dyDescent="0.2">
      <c r="A74" s="5">
        <v>45521</v>
      </c>
      <c r="B74" s="4">
        <v>83.21</v>
      </c>
    </row>
    <row r="75" spans="1:2" x14ac:dyDescent="0.2">
      <c r="A75" s="5">
        <v>45520</v>
      </c>
      <c r="B75" s="4">
        <v>88.23</v>
      </c>
    </row>
    <row r="76" spans="1:2" x14ac:dyDescent="0.2">
      <c r="A76" s="5">
        <v>45519</v>
      </c>
      <c r="B76" s="4">
        <v>44.29</v>
      </c>
    </row>
    <row r="77" spans="1:2" x14ac:dyDescent="0.2">
      <c r="A77" s="5">
        <v>45518</v>
      </c>
      <c r="B77" s="4">
        <v>89.05</v>
      </c>
    </row>
    <row r="78" spans="1:2" x14ac:dyDescent="0.2">
      <c r="A78" s="5">
        <v>45517</v>
      </c>
      <c r="B78" s="4">
        <v>106.37</v>
      </c>
    </row>
    <row r="79" spans="1:2" x14ac:dyDescent="0.2">
      <c r="A79" s="5">
        <v>45516</v>
      </c>
      <c r="B79" s="4">
        <v>105.81</v>
      </c>
    </row>
    <row r="80" spans="1:2" x14ac:dyDescent="0.2">
      <c r="A80" s="5">
        <v>45515</v>
      </c>
      <c r="B80" s="4">
        <v>69.22</v>
      </c>
    </row>
    <row r="81" spans="1:2" x14ac:dyDescent="0.2">
      <c r="A81" s="5">
        <v>45514</v>
      </c>
      <c r="B81" s="4">
        <v>71.36</v>
      </c>
    </row>
    <row r="82" spans="1:2" x14ac:dyDescent="0.2">
      <c r="A82" s="5">
        <v>45513</v>
      </c>
      <c r="B82" s="4">
        <v>102.32</v>
      </c>
    </row>
    <row r="83" spans="1:2" x14ac:dyDescent="0.2">
      <c r="A83" s="5">
        <v>45512</v>
      </c>
      <c r="B83" s="4">
        <v>101.19</v>
      </c>
    </row>
    <row r="84" spans="1:2" x14ac:dyDescent="0.2">
      <c r="A84" s="5">
        <v>45511</v>
      </c>
      <c r="B84" s="4">
        <v>97.43</v>
      </c>
    </row>
    <row r="85" spans="1:2" x14ac:dyDescent="0.2">
      <c r="A85" s="5">
        <v>45510</v>
      </c>
      <c r="B85" s="4">
        <v>105.56</v>
      </c>
    </row>
    <row r="86" spans="1:2" x14ac:dyDescent="0.2">
      <c r="A86" s="5">
        <v>45509</v>
      </c>
      <c r="B86" s="4">
        <v>109.82</v>
      </c>
    </row>
    <row r="87" spans="1:2" x14ac:dyDescent="0.2">
      <c r="A87" s="5">
        <v>45508</v>
      </c>
      <c r="B87" s="4">
        <v>75.48</v>
      </c>
    </row>
    <row r="88" spans="1:2" x14ac:dyDescent="0.2">
      <c r="A88" s="5">
        <v>45507</v>
      </c>
      <c r="B88" s="4">
        <v>77.64</v>
      </c>
    </row>
    <row r="89" spans="1:2" x14ac:dyDescent="0.2">
      <c r="A89" s="5">
        <v>45506</v>
      </c>
      <c r="B89" s="4">
        <v>93.5</v>
      </c>
    </row>
    <row r="90" spans="1:2" x14ac:dyDescent="0.2">
      <c r="A90" s="5">
        <v>45505</v>
      </c>
      <c r="B90" s="4">
        <v>107.32</v>
      </c>
    </row>
    <row r="91" spans="1:2" x14ac:dyDescent="0.2">
      <c r="A91" s="5">
        <v>45504</v>
      </c>
      <c r="B91" s="4">
        <v>105.34</v>
      </c>
    </row>
    <row r="92" spans="1:2" x14ac:dyDescent="0.2">
      <c r="A92" s="5">
        <v>45503</v>
      </c>
      <c r="B92" s="4">
        <v>99.71</v>
      </c>
    </row>
    <row r="93" spans="1:2" x14ac:dyDescent="0.2">
      <c r="A93" s="5">
        <v>45502</v>
      </c>
      <c r="B93" s="4">
        <v>108.78</v>
      </c>
    </row>
    <row r="94" spans="1:2" x14ac:dyDescent="0.2">
      <c r="A94" s="5">
        <v>45501</v>
      </c>
      <c r="B94" s="4">
        <v>63.33</v>
      </c>
    </row>
    <row r="95" spans="1:2" x14ac:dyDescent="0.2">
      <c r="A95" s="5">
        <v>45500</v>
      </c>
      <c r="B95" s="4">
        <v>76.97</v>
      </c>
    </row>
    <row r="96" spans="1:2" x14ac:dyDescent="0.2">
      <c r="A96" s="5">
        <v>45499</v>
      </c>
      <c r="B96" s="4">
        <v>94.9</v>
      </c>
    </row>
    <row r="97" spans="1:2" x14ac:dyDescent="0.2">
      <c r="A97" s="5">
        <v>45498</v>
      </c>
      <c r="B97" s="4">
        <v>89.26</v>
      </c>
    </row>
    <row r="98" spans="1:2" x14ac:dyDescent="0.2">
      <c r="A98">
        <v>45497</v>
      </c>
      <c r="B98">
        <v>94.88</v>
      </c>
    </row>
    <row r="99" spans="1:2" x14ac:dyDescent="0.2">
      <c r="A99">
        <v>45496</v>
      </c>
      <c r="B99">
        <v>91.73</v>
      </c>
    </row>
    <row r="100" spans="1:2" x14ac:dyDescent="0.2">
      <c r="A100">
        <v>45495</v>
      </c>
      <c r="B100">
        <v>79.53</v>
      </c>
    </row>
    <row r="101" spans="1:2" x14ac:dyDescent="0.2">
      <c r="A101">
        <v>45494</v>
      </c>
      <c r="B101">
        <v>30.41</v>
      </c>
    </row>
    <row r="102" spans="1:2" x14ac:dyDescent="0.2">
      <c r="A102">
        <v>45493</v>
      </c>
      <c r="B102">
        <v>51.47</v>
      </c>
    </row>
    <row r="103" spans="1:2" x14ac:dyDescent="0.2">
      <c r="A103">
        <v>45492</v>
      </c>
      <c r="B103">
        <v>97.78</v>
      </c>
    </row>
    <row r="104" spans="1:2" x14ac:dyDescent="0.2">
      <c r="A104">
        <v>45491</v>
      </c>
      <c r="B104">
        <v>101.37</v>
      </c>
    </row>
    <row r="105" spans="1:2" x14ac:dyDescent="0.2">
      <c r="A105">
        <v>45490</v>
      </c>
      <c r="B105">
        <v>94.42</v>
      </c>
    </row>
    <row r="106" spans="1:2" x14ac:dyDescent="0.2">
      <c r="A106">
        <v>45489</v>
      </c>
      <c r="B106">
        <v>87.24</v>
      </c>
    </row>
    <row r="107" spans="1:2" x14ac:dyDescent="0.2">
      <c r="A107">
        <v>45488</v>
      </c>
      <c r="B107">
        <v>53.95</v>
      </c>
    </row>
    <row r="108" spans="1:2" x14ac:dyDescent="0.2">
      <c r="A108">
        <v>45487</v>
      </c>
      <c r="B108">
        <v>52.28</v>
      </c>
    </row>
    <row r="109" spans="1:2" x14ac:dyDescent="0.2">
      <c r="A109">
        <v>45486</v>
      </c>
      <c r="B109">
        <v>51.38</v>
      </c>
    </row>
    <row r="110" spans="1:2" x14ac:dyDescent="0.2">
      <c r="A110">
        <v>45485</v>
      </c>
      <c r="B110">
        <v>58.78</v>
      </c>
    </row>
    <row r="111" spans="1:2" x14ac:dyDescent="0.2">
      <c r="A111">
        <v>45484</v>
      </c>
      <c r="B111">
        <v>85.53</v>
      </c>
    </row>
    <row r="112" spans="1:2" x14ac:dyDescent="0.2">
      <c r="A112">
        <v>45483</v>
      </c>
      <c r="B112">
        <v>87.61</v>
      </c>
    </row>
    <row r="113" spans="1:2" x14ac:dyDescent="0.2">
      <c r="A113">
        <v>45482</v>
      </c>
      <c r="B113">
        <v>69.55</v>
      </c>
    </row>
    <row r="114" spans="1:2" x14ac:dyDescent="0.2">
      <c r="A114">
        <v>45481</v>
      </c>
      <c r="B114">
        <v>73.19</v>
      </c>
    </row>
    <row r="115" spans="1:2" x14ac:dyDescent="0.2">
      <c r="A115">
        <v>45480</v>
      </c>
      <c r="B115">
        <v>34.71</v>
      </c>
    </row>
    <row r="116" spans="1:2" x14ac:dyDescent="0.2">
      <c r="A116">
        <v>45479</v>
      </c>
      <c r="B116">
        <v>33.979999999999997</v>
      </c>
    </row>
    <row r="117" spans="1:2" x14ac:dyDescent="0.2">
      <c r="A117">
        <v>45478</v>
      </c>
      <c r="B117">
        <v>59.88</v>
      </c>
    </row>
    <row r="118" spans="1:2" x14ac:dyDescent="0.2">
      <c r="A118">
        <v>45477</v>
      </c>
      <c r="B118">
        <v>51.85</v>
      </c>
    </row>
    <row r="119" spans="1:2" x14ac:dyDescent="0.2">
      <c r="A119">
        <v>45476</v>
      </c>
      <c r="B119">
        <v>61.71</v>
      </c>
    </row>
    <row r="120" spans="1:2" x14ac:dyDescent="0.2">
      <c r="A120">
        <v>45475</v>
      </c>
      <c r="B120">
        <v>46.97</v>
      </c>
    </row>
    <row r="121" spans="1:2" x14ac:dyDescent="0.2">
      <c r="A121">
        <v>45474</v>
      </c>
      <c r="B121">
        <v>53.22</v>
      </c>
    </row>
    <row r="122" spans="1:2" x14ac:dyDescent="0.2">
      <c r="A122">
        <v>45473</v>
      </c>
      <c r="B122">
        <v>57.94</v>
      </c>
    </row>
    <row r="123" spans="1:2" x14ac:dyDescent="0.2">
      <c r="A123">
        <v>45472</v>
      </c>
      <c r="B123">
        <v>50.54</v>
      </c>
    </row>
    <row r="124" spans="1:2" x14ac:dyDescent="0.2">
      <c r="A124">
        <v>45471</v>
      </c>
      <c r="B124">
        <v>82.04</v>
      </c>
    </row>
    <row r="125" spans="1:2" x14ac:dyDescent="0.2">
      <c r="A125">
        <v>45470</v>
      </c>
      <c r="B125">
        <v>89.1</v>
      </c>
    </row>
    <row r="126" spans="1:2" x14ac:dyDescent="0.2">
      <c r="A126">
        <v>45469</v>
      </c>
      <c r="B126">
        <v>97.17</v>
      </c>
    </row>
    <row r="127" spans="1:2" x14ac:dyDescent="0.2">
      <c r="A127">
        <v>45468</v>
      </c>
      <c r="B127">
        <v>70.069999999999993</v>
      </c>
    </row>
    <row r="128" spans="1:2" x14ac:dyDescent="0.2">
      <c r="A128">
        <v>45467</v>
      </c>
      <c r="B128">
        <v>41.15</v>
      </c>
    </row>
    <row r="129" spans="1:2" x14ac:dyDescent="0.2">
      <c r="A129">
        <v>45466</v>
      </c>
      <c r="B129">
        <v>26.76</v>
      </c>
    </row>
    <row r="130" spans="1:2" x14ac:dyDescent="0.2">
      <c r="A130">
        <v>45465</v>
      </c>
      <c r="B130">
        <v>42.91</v>
      </c>
    </row>
    <row r="131" spans="1:2" x14ac:dyDescent="0.2">
      <c r="A131">
        <v>45464</v>
      </c>
      <c r="B131">
        <v>85.92</v>
      </c>
    </row>
    <row r="132" spans="1:2" x14ac:dyDescent="0.2">
      <c r="A132">
        <v>45463</v>
      </c>
      <c r="B132">
        <v>90.6</v>
      </c>
    </row>
    <row r="133" spans="1:2" x14ac:dyDescent="0.2">
      <c r="A133">
        <v>45462</v>
      </c>
      <c r="B133">
        <v>76.33</v>
      </c>
    </row>
    <row r="134" spans="1:2" x14ac:dyDescent="0.2">
      <c r="A134">
        <v>45461</v>
      </c>
      <c r="B134">
        <v>56.71</v>
      </c>
    </row>
    <row r="135" spans="1:2" x14ac:dyDescent="0.2">
      <c r="A135">
        <v>45460</v>
      </c>
      <c r="B135">
        <v>29.27</v>
      </c>
    </row>
    <row r="136" spans="1:2" x14ac:dyDescent="0.2">
      <c r="A136">
        <v>45459</v>
      </c>
      <c r="B136">
        <v>16.12</v>
      </c>
    </row>
    <row r="137" spans="1:2" x14ac:dyDescent="0.2">
      <c r="A137">
        <v>45458</v>
      </c>
      <c r="B137">
        <v>19.690000000000001</v>
      </c>
    </row>
    <row r="138" spans="1:2" x14ac:dyDescent="0.2">
      <c r="A138">
        <v>45457</v>
      </c>
      <c r="B138">
        <v>43.74</v>
      </c>
    </row>
    <row r="139" spans="1:2" x14ac:dyDescent="0.2">
      <c r="A139">
        <v>45456</v>
      </c>
      <c r="B139">
        <v>65.22</v>
      </c>
    </row>
    <row r="140" spans="1:2" x14ac:dyDescent="0.2">
      <c r="A140">
        <v>45455</v>
      </c>
      <c r="B140">
        <v>55.15</v>
      </c>
    </row>
    <row r="141" spans="1:2" x14ac:dyDescent="0.2">
      <c r="A141">
        <v>45454</v>
      </c>
      <c r="B141">
        <v>65.48</v>
      </c>
    </row>
    <row r="142" spans="1:2" x14ac:dyDescent="0.2">
      <c r="A142">
        <v>45453</v>
      </c>
      <c r="B142">
        <v>44.61</v>
      </c>
    </row>
    <row r="143" spans="1:2" x14ac:dyDescent="0.2">
      <c r="A143">
        <v>45452</v>
      </c>
      <c r="B143">
        <v>16.43</v>
      </c>
    </row>
    <row r="144" spans="1:2" x14ac:dyDescent="0.2">
      <c r="A144">
        <v>45451</v>
      </c>
      <c r="B144">
        <v>71.42</v>
      </c>
    </row>
    <row r="145" spans="1:2" x14ac:dyDescent="0.2">
      <c r="A145">
        <v>45450</v>
      </c>
      <c r="B145">
        <v>79.13</v>
      </c>
    </row>
    <row r="146" spans="1:2" x14ac:dyDescent="0.2">
      <c r="A146">
        <v>45449</v>
      </c>
      <c r="B146">
        <v>93.42</v>
      </c>
    </row>
    <row r="147" spans="1:2" x14ac:dyDescent="0.2">
      <c r="A147">
        <v>45448</v>
      </c>
      <c r="B147">
        <v>93.26</v>
      </c>
    </row>
    <row r="148" spans="1:2" x14ac:dyDescent="0.2">
      <c r="A148">
        <v>45447</v>
      </c>
      <c r="B148">
        <v>87.64</v>
      </c>
    </row>
    <row r="149" spans="1:2" x14ac:dyDescent="0.2">
      <c r="A149">
        <v>45446</v>
      </c>
      <c r="B149">
        <v>28.56</v>
      </c>
    </row>
    <row r="150" spans="1:2" x14ac:dyDescent="0.2">
      <c r="A150">
        <v>45445</v>
      </c>
      <c r="B150">
        <v>4.26</v>
      </c>
    </row>
    <row r="151" spans="1:2" x14ac:dyDescent="0.2">
      <c r="A151">
        <v>45444</v>
      </c>
      <c r="B151">
        <v>1.76</v>
      </c>
    </row>
    <row r="152" spans="1:2" x14ac:dyDescent="0.2">
      <c r="A152">
        <v>45443</v>
      </c>
      <c r="B152">
        <v>2.69</v>
      </c>
    </row>
    <row r="153" spans="1:2" x14ac:dyDescent="0.2">
      <c r="A153">
        <v>45442</v>
      </c>
      <c r="B153">
        <v>24.37</v>
      </c>
    </row>
    <row r="154" spans="1:2" x14ac:dyDescent="0.2">
      <c r="A154">
        <v>45441</v>
      </c>
      <c r="B154">
        <v>38.86</v>
      </c>
    </row>
    <row r="155" spans="1:2" x14ac:dyDescent="0.2">
      <c r="A155">
        <v>45440</v>
      </c>
      <c r="B155">
        <v>27.47</v>
      </c>
    </row>
    <row r="156" spans="1:2" x14ac:dyDescent="0.2">
      <c r="A156">
        <v>45439</v>
      </c>
      <c r="B156">
        <v>30.84</v>
      </c>
    </row>
    <row r="157" spans="1:2" x14ac:dyDescent="0.2">
      <c r="A157">
        <v>45438</v>
      </c>
      <c r="B157">
        <v>25.42</v>
      </c>
    </row>
    <row r="158" spans="1:2" x14ac:dyDescent="0.2">
      <c r="A158">
        <v>45437</v>
      </c>
      <c r="B158">
        <v>43.71</v>
      </c>
    </row>
    <row r="159" spans="1:2" x14ac:dyDescent="0.2">
      <c r="A159">
        <v>45436</v>
      </c>
      <c r="B159">
        <v>71.67</v>
      </c>
    </row>
    <row r="160" spans="1:2" x14ac:dyDescent="0.2">
      <c r="A160">
        <v>45435</v>
      </c>
      <c r="B160">
        <v>60.45</v>
      </c>
    </row>
    <row r="161" spans="1:2" x14ac:dyDescent="0.2">
      <c r="A161">
        <v>45434</v>
      </c>
      <c r="B161">
        <v>44.76</v>
      </c>
    </row>
    <row r="162" spans="1:2" x14ac:dyDescent="0.2">
      <c r="A162">
        <v>45433</v>
      </c>
      <c r="B162">
        <v>46.09</v>
      </c>
    </row>
    <row r="163" spans="1:2" x14ac:dyDescent="0.2">
      <c r="A163">
        <v>45432</v>
      </c>
      <c r="B163">
        <v>32.72</v>
      </c>
    </row>
    <row r="164" spans="1:2" x14ac:dyDescent="0.2">
      <c r="A164">
        <v>45431</v>
      </c>
      <c r="B164">
        <v>26.6</v>
      </c>
    </row>
    <row r="165" spans="1:2" x14ac:dyDescent="0.2">
      <c r="A165">
        <v>45430</v>
      </c>
      <c r="B165">
        <v>32.99</v>
      </c>
    </row>
    <row r="166" spans="1:2" x14ac:dyDescent="0.2">
      <c r="A166">
        <v>45429</v>
      </c>
      <c r="B166">
        <v>53.42</v>
      </c>
    </row>
    <row r="167" spans="1:2" x14ac:dyDescent="0.2">
      <c r="A167">
        <v>45428</v>
      </c>
      <c r="B167">
        <v>32.35</v>
      </c>
    </row>
    <row r="168" spans="1:2" x14ac:dyDescent="0.2">
      <c r="A168">
        <v>45427</v>
      </c>
      <c r="B168">
        <v>14.21</v>
      </c>
    </row>
    <row r="169" spans="1:2" x14ac:dyDescent="0.2">
      <c r="A169">
        <v>45426</v>
      </c>
      <c r="B169">
        <v>8.14</v>
      </c>
    </row>
    <row r="170" spans="1:2" x14ac:dyDescent="0.2">
      <c r="A170">
        <v>45425</v>
      </c>
      <c r="B170">
        <v>23.34</v>
      </c>
    </row>
    <row r="171" spans="1:2" x14ac:dyDescent="0.2">
      <c r="A171">
        <v>45424</v>
      </c>
      <c r="B171">
        <v>21.53</v>
      </c>
    </row>
    <row r="172" spans="1:2" x14ac:dyDescent="0.2">
      <c r="A172">
        <v>45423</v>
      </c>
      <c r="B172">
        <v>20.59</v>
      </c>
    </row>
    <row r="173" spans="1:2" x14ac:dyDescent="0.2">
      <c r="A173">
        <v>45422</v>
      </c>
      <c r="B173">
        <v>28.95</v>
      </c>
    </row>
    <row r="174" spans="1:2" x14ac:dyDescent="0.2">
      <c r="A174">
        <v>45421</v>
      </c>
      <c r="B174">
        <v>33.54</v>
      </c>
    </row>
    <row r="175" spans="1:2" x14ac:dyDescent="0.2">
      <c r="A175">
        <v>45420</v>
      </c>
      <c r="B175">
        <v>21.24</v>
      </c>
    </row>
    <row r="176" spans="1:2" x14ac:dyDescent="0.2">
      <c r="A176">
        <v>45419</v>
      </c>
      <c r="B176">
        <v>42.04</v>
      </c>
    </row>
    <row r="177" spans="1:2" x14ac:dyDescent="0.2">
      <c r="A177">
        <v>45418</v>
      </c>
      <c r="B177">
        <v>47.8</v>
      </c>
    </row>
    <row r="178" spans="1:2" x14ac:dyDescent="0.2">
      <c r="A178">
        <v>45417</v>
      </c>
      <c r="B178">
        <v>17.53</v>
      </c>
    </row>
    <row r="179" spans="1:2" x14ac:dyDescent="0.2">
      <c r="A179">
        <v>45416</v>
      </c>
      <c r="B179">
        <v>14.8</v>
      </c>
    </row>
    <row r="180" spans="1:2" x14ac:dyDescent="0.2">
      <c r="A180">
        <v>45415</v>
      </c>
      <c r="B180">
        <v>26.11</v>
      </c>
    </row>
    <row r="181" spans="1:2" x14ac:dyDescent="0.2">
      <c r="A181">
        <v>45414</v>
      </c>
      <c r="B181">
        <v>15.6</v>
      </c>
    </row>
    <row r="182" spans="1:2" x14ac:dyDescent="0.2">
      <c r="A182">
        <v>45413</v>
      </c>
      <c r="B182">
        <v>12.53</v>
      </c>
    </row>
    <row r="183" spans="1:2" x14ac:dyDescent="0.2">
      <c r="A183">
        <v>45412</v>
      </c>
      <c r="B183">
        <v>53.44</v>
      </c>
    </row>
    <row r="184" spans="1:2" x14ac:dyDescent="0.2">
      <c r="A184">
        <v>45411</v>
      </c>
      <c r="B184">
        <v>58.27</v>
      </c>
    </row>
    <row r="185" spans="1:2" x14ac:dyDescent="0.2">
      <c r="A185">
        <v>45410</v>
      </c>
      <c r="B185">
        <v>28.72</v>
      </c>
    </row>
    <row r="186" spans="1:2" x14ac:dyDescent="0.2">
      <c r="A186">
        <v>45409</v>
      </c>
      <c r="B186">
        <v>25.02</v>
      </c>
    </row>
    <row r="187" spans="1:2" x14ac:dyDescent="0.2">
      <c r="A187">
        <v>45408</v>
      </c>
      <c r="B187">
        <v>57.49</v>
      </c>
    </row>
    <row r="188" spans="1:2" x14ac:dyDescent="0.2">
      <c r="A188">
        <v>45407</v>
      </c>
      <c r="B188">
        <v>41.44</v>
      </c>
    </row>
    <row r="189" spans="1:2" x14ac:dyDescent="0.2">
      <c r="A189">
        <v>45406</v>
      </c>
      <c r="B189">
        <v>18.57</v>
      </c>
    </row>
    <row r="190" spans="1:2" x14ac:dyDescent="0.2">
      <c r="A190">
        <v>45405</v>
      </c>
      <c r="B190">
        <v>5.84</v>
      </c>
    </row>
    <row r="191" spans="1:2" x14ac:dyDescent="0.2">
      <c r="A191">
        <v>45404</v>
      </c>
      <c r="B191">
        <v>1.9</v>
      </c>
    </row>
    <row r="192" spans="1:2" x14ac:dyDescent="0.2">
      <c r="A192">
        <v>45403</v>
      </c>
      <c r="B192">
        <v>2.17</v>
      </c>
    </row>
    <row r="193" spans="1:2" x14ac:dyDescent="0.2">
      <c r="A193">
        <v>45402</v>
      </c>
      <c r="B193">
        <v>5.66</v>
      </c>
    </row>
    <row r="194" spans="1:2" x14ac:dyDescent="0.2">
      <c r="A194">
        <v>45401</v>
      </c>
      <c r="B194">
        <v>15.18</v>
      </c>
    </row>
    <row r="195" spans="1:2" x14ac:dyDescent="0.2">
      <c r="A195">
        <v>45400</v>
      </c>
      <c r="B195">
        <v>4.54</v>
      </c>
    </row>
    <row r="196" spans="1:2" x14ac:dyDescent="0.2">
      <c r="A196">
        <v>45399</v>
      </c>
      <c r="B196">
        <v>3.26</v>
      </c>
    </row>
    <row r="197" spans="1:2" x14ac:dyDescent="0.2">
      <c r="A197">
        <v>45398</v>
      </c>
      <c r="B197">
        <v>1.37</v>
      </c>
    </row>
    <row r="198" spans="1:2" x14ac:dyDescent="0.2">
      <c r="A198">
        <v>45397</v>
      </c>
      <c r="B198">
        <v>3.48</v>
      </c>
    </row>
    <row r="199" spans="1:2" x14ac:dyDescent="0.2">
      <c r="A199">
        <v>45396</v>
      </c>
      <c r="B199">
        <v>5.6</v>
      </c>
    </row>
    <row r="200" spans="1:2" x14ac:dyDescent="0.2">
      <c r="A200">
        <v>45395</v>
      </c>
      <c r="B200">
        <v>9.17</v>
      </c>
    </row>
    <row r="201" spans="1:2" x14ac:dyDescent="0.2">
      <c r="A201">
        <v>45394</v>
      </c>
      <c r="B201">
        <v>19.940000000000001</v>
      </c>
    </row>
    <row r="202" spans="1:2" x14ac:dyDescent="0.2">
      <c r="A202">
        <v>45393</v>
      </c>
      <c r="B202">
        <v>12.03</v>
      </c>
    </row>
    <row r="203" spans="1:2" x14ac:dyDescent="0.2">
      <c r="A203">
        <v>45392</v>
      </c>
      <c r="B203">
        <v>4.3099999999999996</v>
      </c>
    </row>
    <row r="204" spans="1:2" x14ac:dyDescent="0.2">
      <c r="A204">
        <v>45391</v>
      </c>
      <c r="B204">
        <v>1.29</v>
      </c>
    </row>
    <row r="205" spans="1:2" x14ac:dyDescent="0.2">
      <c r="A205">
        <v>45390</v>
      </c>
      <c r="B205">
        <v>0.52</v>
      </c>
    </row>
    <row r="206" spans="1:2" x14ac:dyDescent="0.2">
      <c r="A206">
        <v>45389</v>
      </c>
      <c r="B206">
        <v>4.05</v>
      </c>
    </row>
    <row r="207" spans="1:2" x14ac:dyDescent="0.2">
      <c r="A207">
        <v>45388</v>
      </c>
      <c r="B207">
        <v>0.74</v>
      </c>
    </row>
    <row r="208" spans="1:2" x14ac:dyDescent="0.2">
      <c r="A208">
        <v>45387</v>
      </c>
      <c r="B208">
        <v>0.44</v>
      </c>
    </row>
    <row r="209" spans="1:2" x14ac:dyDescent="0.2">
      <c r="A209">
        <v>45386</v>
      </c>
      <c r="B209">
        <v>4</v>
      </c>
    </row>
    <row r="210" spans="1:2" x14ac:dyDescent="0.2">
      <c r="A210">
        <v>45385</v>
      </c>
      <c r="B210">
        <v>9.0299999999999994</v>
      </c>
    </row>
    <row r="211" spans="1:2" x14ac:dyDescent="0.2">
      <c r="A211">
        <v>45384</v>
      </c>
      <c r="B211">
        <v>9.85</v>
      </c>
    </row>
    <row r="212" spans="1:2" x14ac:dyDescent="0.2">
      <c r="A212">
        <v>45383</v>
      </c>
      <c r="B212">
        <v>2.76</v>
      </c>
    </row>
    <row r="213" spans="1:2" x14ac:dyDescent="0.2">
      <c r="A213">
        <v>45382</v>
      </c>
      <c r="B213">
        <v>0.83</v>
      </c>
    </row>
    <row r="214" spans="1:2" x14ac:dyDescent="0.2">
      <c r="A214">
        <v>45381</v>
      </c>
      <c r="B214">
        <v>4.5199999999999996</v>
      </c>
    </row>
    <row r="215" spans="1:2" x14ac:dyDescent="0.2">
      <c r="A215">
        <v>45380</v>
      </c>
      <c r="B215">
        <v>4.05</v>
      </c>
    </row>
    <row r="216" spans="1:2" x14ac:dyDescent="0.2">
      <c r="A216">
        <v>45379</v>
      </c>
      <c r="B216">
        <v>0.66</v>
      </c>
    </row>
    <row r="217" spans="1:2" x14ac:dyDescent="0.2">
      <c r="A217">
        <v>45378</v>
      </c>
      <c r="B217">
        <v>0.76</v>
      </c>
    </row>
    <row r="218" spans="1:2" x14ac:dyDescent="0.2">
      <c r="A218">
        <v>45377</v>
      </c>
      <c r="B218">
        <v>2.36</v>
      </c>
    </row>
    <row r="219" spans="1:2" x14ac:dyDescent="0.2">
      <c r="A219">
        <v>45376</v>
      </c>
      <c r="B219">
        <v>23.75</v>
      </c>
    </row>
    <row r="220" spans="1:2" x14ac:dyDescent="0.2">
      <c r="A220">
        <v>45375</v>
      </c>
      <c r="B220">
        <v>6.69</v>
      </c>
    </row>
    <row r="221" spans="1:2" x14ac:dyDescent="0.2">
      <c r="A221">
        <v>45374</v>
      </c>
      <c r="B221">
        <v>2.0099999999999998</v>
      </c>
    </row>
    <row r="222" spans="1:2" x14ac:dyDescent="0.2">
      <c r="A222">
        <v>45373</v>
      </c>
      <c r="B222">
        <v>22.4</v>
      </c>
    </row>
    <row r="223" spans="1:2" x14ac:dyDescent="0.2">
      <c r="A223">
        <v>45372</v>
      </c>
      <c r="B223">
        <v>35.9</v>
      </c>
    </row>
    <row r="224" spans="1:2" x14ac:dyDescent="0.2">
      <c r="A224">
        <v>45371</v>
      </c>
      <c r="B224">
        <v>56.94</v>
      </c>
    </row>
    <row r="225" spans="1:2" x14ac:dyDescent="0.2">
      <c r="A225">
        <v>45370</v>
      </c>
      <c r="B225">
        <v>65</v>
      </c>
    </row>
    <row r="226" spans="1:2" x14ac:dyDescent="0.2">
      <c r="A226">
        <v>45369</v>
      </c>
      <c r="B226">
        <v>61.34</v>
      </c>
    </row>
    <row r="227" spans="1:2" x14ac:dyDescent="0.2">
      <c r="A227">
        <v>45368</v>
      </c>
      <c r="B227">
        <v>28.05</v>
      </c>
    </row>
    <row r="228" spans="1:2" x14ac:dyDescent="0.2">
      <c r="A228">
        <v>45367</v>
      </c>
      <c r="B228">
        <v>31.61</v>
      </c>
    </row>
    <row r="229" spans="1:2" x14ac:dyDescent="0.2">
      <c r="A229">
        <v>45366</v>
      </c>
      <c r="B229">
        <v>37.729999999999997</v>
      </c>
    </row>
    <row r="230" spans="1:2" x14ac:dyDescent="0.2">
      <c r="A230">
        <v>45365</v>
      </c>
      <c r="B230">
        <v>35.99</v>
      </c>
    </row>
    <row r="231" spans="1:2" x14ac:dyDescent="0.2">
      <c r="A231">
        <v>45364</v>
      </c>
      <c r="B231">
        <v>42.36</v>
      </c>
    </row>
    <row r="232" spans="1:2" x14ac:dyDescent="0.2">
      <c r="A232">
        <v>45363</v>
      </c>
      <c r="B232">
        <v>42.28</v>
      </c>
    </row>
    <row r="233" spans="1:2" x14ac:dyDescent="0.2">
      <c r="A233">
        <v>45362</v>
      </c>
      <c r="B233">
        <v>14.63</v>
      </c>
    </row>
    <row r="234" spans="1:2" x14ac:dyDescent="0.2">
      <c r="A234">
        <v>45361</v>
      </c>
      <c r="B234">
        <v>0.54</v>
      </c>
    </row>
    <row r="235" spans="1:2" x14ac:dyDescent="0.2">
      <c r="A235">
        <v>45360</v>
      </c>
      <c r="B235">
        <v>0.59</v>
      </c>
    </row>
    <row r="236" spans="1:2" x14ac:dyDescent="0.2">
      <c r="A236">
        <v>45359</v>
      </c>
      <c r="B236">
        <v>1.67</v>
      </c>
    </row>
    <row r="237" spans="1:2" x14ac:dyDescent="0.2">
      <c r="A237">
        <v>45358</v>
      </c>
      <c r="B237">
        <v>8.52</v>
      </c>
    </row>
    <row r="238" spans="1:2" x14ac:dyDescent="0.2">
      <c r="A238">
        <v>45357</v>
      </c>
      <c r="B238">
        <v>45.97</v>
      </c>
    </row>
    <row r="239" spans="1:2" x14ac:dyDescent="0.2">
      <c r="A239">
        <v>45356</v>
      </c>
      <c r="B239">
        <v>33.450000000000003</v>
      </c>
    </row>
    <row r="240" spans="1:2" x14ac:dyDescent="0.2">
      <c r="A240">
        <v>45355</v>
      </c>
      <c r="B240">
        <v>7.95</v>
      </c>
    </row>
    <row r="241" spans="1:2" x14ac:dyDescent="0.2">
      <c r="A241">
        <v>45354</v>
      </c>
      <c r="B241">
        <v>3.79</v>
      </c>
    </row>
    <row r="242" spans="1:2" x14ac:dyDescent="0.2">
      <c r="A242">
        <v>45353</v>
      </c>
      <c r="B242">
        <v>4.16</v>
      </c>
    </row>
    <row r="243" spans="1:2" x14ac:dyDescent="0.2">
      <c r="A243">
        <v>45352</v>
      </c>
      <c r="B243">
        <v>2.14</v>
      </c>
    </row>
    <row r="244" spans="1:2" x14ac:dyDescent="0.2">
      <c r="A244">
        <v>45351</v>
      </c>
      <c r="B244">
        <v>4.8</v>
      </c>
    </row>
    <row r="245" spans="1:2" x14ac:dyDescent="0.2">
      <c r="A245">
        <v>45350</v>
      </c>
      <c r="B245">
        <v>9.35</v>
      </c>
    </row>
    <row r="246" spans="1:2" x14ac:dyDescent="0.2">
      <c r="A246">
        <v>45349</v>
      </c>
      <c r="B246">
        <v>3.66</v>
      </c>
    </row>
    <row r="247" spans="1:2" x14ac:dyDescent="0.2">
      <c r="A247">
        <v>45348</v>
      </c>
      <c r="B247">
        <v>3.82</v>
      </c>
    </row>
    <row r="248" spans="1:2" x14ac:dyDescent="0.2">
      <c r="A248">
        <v>45347</v>
      </c>
      <c r="B248">
        <v>3.06</v>
      </c>
    </row>
    <row r="249" spans="1:2" x14ac:dyDescent="0.2">
      <c r="A249">
        <v>45346</v>
      </c>
      <c r="B249">
        <v>6.94</v>
      </c>
    </row>
    <row r="250" spans="1:2" x14ac:dyDescent="0.2">
      <c r="A250">
        <v>45345</v>
      </c>
      <c r="B250">
        <v>6.72</v>
      </c>
    </row>
    <row r="251" spans="1:2" x14ac:dyDescent="0.2">
      <c r="A251">
        <v>45344</v>
      </c>
      <c r="B251">
        <v>10.71</v>
      </c>
    </row>
    <row r="252" spans="1:2" x14ac:dyDescent="0.2">
      <c r="A252">
        <v>45343</v>
      </c>
      <c r="B252">
        <v>45.3</v>
      </c>
    </row>
    <row r="253" spans="1:2" x14ac:dyDescent="0.2">
      <c r="A253">
        <v>45342</v>
      </c>
      <c r="B253">
        <v>52.86</v>
      </c>
    </row>
    <row r="254" spans="1:2" x14ac:dyDescent="0.2">
      <c r="A254">
        <v>45341</v>
      </c>
      <c r="B254">
        <v>45.55</v>
      </c>
    </row>
    <row r="255" spans="1:2" x14ac:dyDescent="0.2">
      <c r="A255">
        <v>45340</v>
      </c>
      <c r="B255">
        <v>47.04</v>
      </c>
    </row>
    <row r="256" spans="1:2" x14ac:dyDescent="0.2">
      <c r="A256">
        <v>45339</v>
      </c>
      <c r="B256">
        <v>48.69</v>
      </c>
    </row>
    <row r="257" spans="1:2" x14ac:dyDescent="0.2">
      <c r="A257">
        <v>45338</v>
      </c>
      <c r="B257">
        <v>54.24</v>
      </c>
    </row>
    <row r="258" spans="1:2" x14ac:dyDescent="0.2">
      <c r="A258">
        <v>45337</v>
      </c>
      <c r="B258">
        <v>51.22</v>
      </c>
    </row>
    <row r="259" spans="1:2" x14ac:dyDescent="0.2">
      <c r="A259">
        <v>45336</v>
      </c>
      <c r="B259">
        <v>59.57</v>
      </c>
    </row>
    <row r="260" spans="1:2" x14ac:dyDescent="0.2">
      <c r="A260">
        <v>45335</v>
      </c>
      <c r="B260">
        <v>62.72</v>
      </c>
    </row>
    <row r="261" spans="1:2" x14ac:dyDescent="0.2">
      <c r="A261">
        <v>45334</v>
      </c>
      <c r="B261">
        <v>45.85</v>
      </c>
    </row>
    <row r="262" spans="1:2" x14ac:dyDescent="0.2">
      <c r="A262">
        <v>45333</v>
      </c>
      <c r="B262">
        <v>44.83</v>
      </c>
    </row>
    <row r="263" spans="1:2" x14ac:dyDescent="0.2">
      <c r="A263">
        <v>45332</v>
      </c>
      <c r="B263">
        <v>9.4700000000000006</v>
      </c>
    </row>
    <row r="264" spans="1:2" x14ac:dyDescent="0.2">
      <c r="A264">
        <v>45331</v>
      </c>
      <c r="B264">
        <v>40.18</v>
      </c>
    </row>
    <row r="265" spans="1:2" x14ac:dyDescent="0.2">
      <c r="A265">
        <v>45330</v>
      </c>
      <c r="B265">
        <v>38.67</v>
      </c>
    </row>
    <row r="266" spans="1:2" x14ac:dyDescent="0.2">
      <c r="A266">
        <v>45329</v>
      </c>
      <c r="B266">
        <v>50.11</v>
      </c>
    </row>
    <row r="267" spans="1:2" x14ac:dyDescent="0.2">
      <c r="A267">
        <v>45328</v>
      </c>
      <c r="B267">
        <v>74.03</v>
      </c>
    </row>
    <row r="268" spans="1:2" x14ac:dyDescent="0.2">
      <c r="A268">
        <v>45327</v>
      </c>
      <c r="B268">
        <v>80.92</v>
      </c>
    </row>
    <row r="269" spans="1:2" x14ac:dyDescent="0.2">
      <c r="A269">
        <v>45326</v>
      </c>
      <c r="B269">
        <v>63.1</v>
      </c>
    </row>
    <row r="270" spans="1:2" x14ac:dyDescent="0.2">
      <c r="A270">
        <v>45325</v>
      </c>
      <c r="B270">
        <v>60.32</v>
      </c>
    </row>
    <row r="271" spans="1:2" x14ac:dyDescent="0.2">
      <c r="A271">
        <v>45324</v>
      </c>
      <c r="B271">
        <v>65.319999999999993</v>
      </c>
    </row>
    <row r="272" spans="1:2" x14ac:dyDescent="0.2">
      <c r="A272">
        <v>45323</v>
      </c>
      <c r="B272">
        <v>70.95</v>
      </c>
    </row>
    <row r="273" spans="1:2" x14ac:dyDescent="0.2">
      <c r="A273">
        <v>45322</v>
      </c>
      <c r="B273">
        <v>84.26</v>
      </c>
    </row>
    <row r="274" spans="1:2" x14ac:dyDescent="0.2">
      <c r="A274">
        <v>45321</v>
      </c>
      <c r="B274">
        <v>81.28</v>
      </c>
    </row>
    <row r="275" spans="1:2" x14ac:dyDescent="0.2">
      <c r="A275">
        <v>45320</v>
      </c>
      <c r="B275">
        <v>77.97</v>
      </c>
    </row>
    <row r="276" spans="1:2" x14ac:dyDescent="0.2">
      <c r="A276">
        <v>45319</v>
      </c>
      <c r="B276">
        <v>52.14</v>
      </c>
    </row>
    <row r="277" spans="1:2" x14ac:dyDescent="0.2">
      <c r="A277">
        <v>45318</v>
      </c>
      <c r="B277">
        <v>66.06</v>
      </c>
    </row>
    <row r="278" spans="1:2" x14ac:dyDescent="0.2">
      <c r="A278">
        <v>45317</v>
      </c>
      <c r="B278">
        <v>72.56</v>
      </c>
    </row>
    <row r="279" spans="1:2" x14ac:dyDescent="0.2">
      <c r="A279">
        <v>45316</v>
      </c>
      <c r="B279">
        <v>76.8</v>
      </c>
    </row>
    <row r="280" spans="1:2" x14ac:dyDescent="0.2">
      <c r="A280">
        <v>45315</v>
      </c>
      <c r="B280">
        <v>83.42</v>
      </c>
    </row>
    <row r="281" spans="1:2" x14ac:dyDescent="0.2">
      <c r="A281">
        <v>45314</v>
      </c>
      <c r="B281">
        <v>78.02</v>
      </c>
    </row>
    <row r="282" spans="1:2" x14ac:dyDescent="0.2">
      <c r="A282">
        <v>45313</v>
      </c>
      <c r="B282">
        <v>67.92</v>
      </c>
    </row>
    <row r="283" spans="1:2" x14ac:dyDescent="0.2">
      <c r="A283">
        <v>45312</v>
      </c>
      <c r="B283">
        <v>64.400000000000006</v>
      </c>
    </row>
    <row r="284" spans="1:2" x14ac:dyDescent="0.2">
      <c r="A284">
        <v>45311</v>
      </c>
      <c r="B284">
        <v>80.53</v>
      </c>
    </row>
    <row r="285" spans="1:2" x14ac:dyDescent="0.2">
      <c r="A285">
        <v>45310</v>
      </c>
      <c r="B285">
        <v>70.87</v>
      </c>
    </row>
    <row r="286" spans="1:2" x14ac:dyDescent="0.2">
      <c r="A286">
        <v>45309</v>
      </c>
      <c r="B286">
        <v>46.84</v>
      </c>
    </row>
    <row r="287" spans="1:2" x14ac:dyDescent="0.2">
      <c r="A287">
        <v>45308</v>
      </c>
      <c r="B287">
        <v>26.96</v>
      </c>
    </row>
    <row r="288" spans="1:2" x14ac:dyDescent="0.2">
      <c r="A288">
        <v>45307</v>
      </c>
      <c r="B288">
        <v>90.12</v>
      </c>
    </row>
    <row r="289" spans="1:2" x14ac:dyDescent="0.2">
      <c r="A289">
        <v>45306</v>
      </c>
      <c r="B289">
        <v>87.56</v>
      </c>
    </row>
    <row r="290" spans="1:2" x14ac:dyDescent="0.2">
      <c r="A290">
        <v>45305</v>
      </c>
      <c r="B290">
        <v>75.13</v>
      </c>
    </row>
    <row r="291" spans="1:2" x14ac:dyDescent="0.2">
      <c r="A291">
        <v>45304</v>
      </c>
      <c r="B291">
        <v>87.35</v>
      </c>
    </row>
    <row r="292" spans="1:2" x14ac:dyDescent="0.2">
      <c r="A292">
        <v>45303</v>
      </c>
      <c r="B292">
        <v>97.56</v>
      </c>
    </row>
    <row r="293" spans="1:2" x14ac:dyDescent="0.2">
      <c r="A293">
        <v>45302</v>
      </c>
      <c r="B293">
        <v>96.97</v>
      </c>
    </row>
    <row r="294" spans="1:2" x14ac:dyDescent="0.2">
      <c r="A294">
        <v>45301</v>
      </c>
      <c r="B294">
        <v>100.88</v>
      </c>
    </row>
    <row r="295" spans="1:2" x14ac:dyDescent="0.2">
      <c r="A295">
        <v>45300</v>
      </c>
      <c r="B295">
        <v>113.83</v>
      </c>
    </row>
    <row r="296" spans="1:2" x14ac:dyDescent="0.2">
      <c r="A296">
        <v>45299</v>
      </c>
      <c r="B296">
        <v>105.51</v>
      </c>
    </row>
    <row r="297" spans="1:2" x14ac:dyDescent="0.2">
      <c r="A297">
        <v>45298</v>
      </c>
      <c r="B297">
        <v>76</v>
      </c>
    </row>
    <row r="298" spans="1:2" x14ac:dyDescent="0.2">
      <c r="A298">
        <v>45297</v>
      </c>
      <c r="B298">
        <v>43.97</v>
      </c>
    </row>
    <row r="299" spans="1:2" x14ac:dyDescent="0.2">
      <c r="A299">
        <v>45296</v>
      </c>
      <c r="B299">
        <v>68.62</v>
      </c>
    </row>
    <row r="300" spans="1:2" x14ac:dyDescent="0.2">
      <c r="A300">
        <v>45295</v>
      </c>
      <c r="B300">
        <v>91.36</v>
      </c>
    </row>
    <row r="301" spans="1:2" x14ac:dyDescent="0.2">
      <c r="A301">
        <v>45294</v>
      </c>
      <c r="B301">
        <v>55.08</v>
      </c>
    </row>
    <row r="302" spans="1:2" x14ac:dyDescent="0.2">
      <c r="A302">
        <v>45293</v>
      </c>
      <c r="B302">
        <v>40.909999999999997</v>
      </c>
    </row>
    <row r="303" spans="1:2" x14ac:dyDescent="0.2">
      <c r="A303">
        <v>45292</v>
      </c>
      <c r="B303">
        <v>36.24</v>
      </c>
    </row>
  </sheetData>
  <sortState xmlns:xlrd2="http://schemas.microsoft.com/office/spreadsheetml/2017/richdata2" ref="E5:H38">
    <sortCondition ref="H4"/>
  </sortState>
  <mergeCells count="11">
    <mergeCell ref="AE1:AF2"/>
    <mergeCell ref="A1:B3"/>
    <mergeCell ref="D1:E2"/>
    <mergeCell ref="G1:H2"/>
    <mergeCell ref="J1:K2"/>
    <mergeCell ref="M1:N2"/>
    <mergeCell ref="AB1:AC2"/>
    <mergeCell ref="Y1:Z2"/>
    <mergeCell ref="V1:W2"/>
    <mergeCell ref="S1:T2"/>
    <mergeCell ref="P1: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33</xdr:col>
                    <xdr:colOff>38100</xdr:colOff>
                    <xdr:row>10</xdr:row>
                    <xdr:rowOff>9525</xdr:rowOff>
                  </from>
                  <to>
                    <xdr:col>35</xdr:col>
                    <xdr:colOff>304800</xdr:colOff>
                    <xdr:row>13</xdr:row>
                    <xdr:rowOff>85725</xdr:rowOff>
                  </to>
                </anchor>
              </controlPr>
            </control>
          </mc:Choice>
        </mc:AlternateContent>
      </controls>
    </mc:Choice>
  </mc:AlternateContent>
  <tableParts count="11">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21" t="s">
        <v>246</v>
      </c>
      <c r="K1" s="122"/>
      <c r="L1" s="125" t="s">
        <v>3</v>
      </c>
      <c r="M1" s="131" t="s">
        <v>235</v>
      </c>
      <c r="N1" s="132"/>
      <c r="O1" s="129" t="s">
        <v>4</v>
      </c>
      <c r="P1" s="130"/>
      <c r="Q1" s="117" t="s">
        <v>246</v>
      </c>
      <c r="R1" s="117"/>
      <c r="S1" s="118"/>
      <c r="T1" s="116"/>
    </row>
    <row r="2" spans="1:20" ht="12" customHeight="1" x14ac:dyDescent="0.2">
      <c r="A2" t="s">
        <v>3</v>
      </c>
      <c r="B2" s="23" t="str">
        <f>A7</f>
        <v>Ene 2024</v>
      </c>
      <c r="C2" t="s">
        <v>243</v>
      </c>
      <c r="G2" s="15" t="s">
        <v>253</v>
      </c>
      <c r="H2" s="24">
        <f ca="1">TODAY()</f>
        <v>45589</v>
      </c>
      <c r="I2" s="24"/>
      <c r="J2" s="123"/>
      <c r="K2" s="118"/>
      <c r="L2" s="126"/>
      <c r="M2" s="133"/>
      <c r="N2" s="134"/>
      <c r="O2" s="129"/>
      <c r="P2" s="130"/>
      <c r="Q2" s="117"/>
      <c r="R2" s="117"/>
      <c r="S2" s="118"/>
      <c r="T2" s="116"/>
    </row>
    <row r="3" spans="1:20" ht="12" customHeight="1" x14ac:dyDescent="0.2">
      <c r="A3" t="s">
        <v>229</v>
      </c>
      <c r="B3" s="23">
        <f ca="1">IF(C3="",ROUND(AVERAGE(omie!E5:OFFSET(omie!E5,MATCH(B4,omie_enero[fecha],0)-1,0)),2),C3)</f>
        <v>74.099999999999994</v>
      </c>
      <c r="C3" s="26"/>
      <c r="G3" s="115" t="s">
        <v>248</v>
      </c>
      <c r="H3" s="115"/>
      <c r="I3" s="4"/>
      <c r="J3" s="123"/>
      <c r="K3" s="118"/>
      <c r="L3" s="127" t="s">
        <v>13</v>
      </c>
      <c r="M3" s="135">
        <f>H1</f>
        <v>31</v>
      </c>
      <c r="N3" s="135"/>
      <c r="O3" s="128">
        <f ca="1">B3</f>
        <v>74.099999999999994</v>
      </c>
      <c r="P3" s="128"/>
      <c r="Q3" s="117"/>
      <c r="R3" s="117"/>
      <c r="S3" s="118"/>
      <c r="T3" s="116"/>
    </row>
    <row r="4" spans="1:20" ht="12" customHeight="1" x14ac:dyDescent="0.2">
      <c r="A4" t="s">
        <v>6</v>
      </c>
      <c r="B4" s="3">
        <f>DATE(2024,1,H1)</f>
        <v>45322</v>
      </c>
      <c r="G4" t="s">
        <v>247</v>
      </c>
      <c r="H4" s="30">
        <f>[1]omie_dinamic_dia!$G$2</f>
        <v>25</v>
      </c>
      <c r="I4" s="42"/>
      <c r="J4" s="123"/>
      <c r="K4" s="118"/>
      <c r="L4" s="127"/>
      <c r="M4" s="135"/>
      <c r="N4" s="135"/>
      <c r="O4" s="128"/>
      <c r="P4" s="128"/>
      <c r="Q4" s="117"/>
      <c r="R4" s="117"/>
      <c r="S4" s="118"/>
      <c r="T4" s="116"/>
    </row>
    <row r="5" spans="1:20" ht="12" customHeight="1" x14ac:dyDescent="0.2">
      <c r="A5" t="s">
        <v>15</v>
      </c>
      <c r="B5" s="3">
        <f>MAX(omie_enero[fecha])</f>
        <v>45322</v>
      </c>
      <c r="J5" s="124"/>
      <c r="K5" s="120"/>
      <c r="L5" s="127"/>
      <c r="M5" s="135"/>
      <c r="N5" s="135"/>
      <c r="O5" s="128"/>
      <c r="P5" s="128"/>
      <c r="Q5" s="119"/>
      <c r="R5" s="119"/>
      <c r="S5" s="120"/>
      <c r="T5" s="116"/>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5"/>
      <c r="S20" s="115"/>
      <c r="T20" s="115"/>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5"/>
      <c r="S21" s="115"/>
      <c r="T21" s="115"/>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5"/>
      <c r="S22" s="115"/>
      <c r="T22" s="115"/>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106" priority="14">
      <formula>$K7=3</formula>
    </cfRule>
    <cfRule type="expression" dxfId="105" priority="15">
      <formula>$K7=2</formula>
    </cfRule>
    <cfRule type="expression" dxfId="104"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21" t="s">
        <v>246</v>
      </c>
      <c r="K1" s="122"/>
      <c r="L1" s="125" t="s">
        <v>3</v>
      </c>
      <c r="M1" s="131" t="s">
        <v>365</v>
      </c>
      <c r="N1" s="132"/>
      <c r="O1" s="129" t="s">
        <v>4</v>
      </c>
      <c r="P1" s="130"/>
      <c r="Q1" s="117" t="s">
        <v>246</v>
      </c>
      <c r="R1" s="117"/>
      <c r="S1" s="118"/>
      <c r="T1" s="116"/>
    </row>
    <row r="2" spans="1:20" ht="12" customHeight="1" x14ac:dyDescent="0.2">
      <c r="A2" t="s">
        <v>3</v>
      </c>
      <c r="B2" s="23" t="str">
        <f>A7</f>
        <v>Feb 2024</v>
      </c>
      <c r="C2" t="s">
        <v>243</v>
      </c>
      <c r="G2" s="15" t="s">
        <v>253</v>
      </c>
      <c r="H2" s="24">
        <f ca="1">TODAY()</f>
        <v>45589</v>
      </c>
      <c r="I2" s="24"/>
      <c r="J2" s="123"/>
      <c r="K2" s="118"/>
      <c r="L2" s="126"/>
      <c r="M2" s="133"/>
      <c r="N2" s="134"/>
      <c r="O2" s="129"/>
      <c r="P2" s="130"/>
      <c r="Q2" s="117"/>
      <c r="R2" s="117"/>
      <c r="S2" s="118"/>
      <c r="T2" s="116"/>
    </row>
    <row r="3" spans="1:20" ht="12" customHeight="1" x14ac:dyDescent="0.2">
      <c r="A3" t="s">
        <v>229</v>
      </c>
      <c r="B3" s="23">
        <f ca="1">IF(C3="",ROUND(AVERAGE(omie!H5:OFFSET(omie!H5,MATCH(B4,omie_febrero[fecha],0)-1,0)),2),C3)</f>
        <v>40</v>
      </c>
      <c r="C3" s="26"/>
      <c r="G3" t="s">
        <v>248</v>
      </c>
      <c r="J3" s="123"/>
      <c r="K3" s="118"/>
      <c r="L3" s="127" t="s">
        <v>13</v>
      </c>
      <c r="M3" s="135">
        <f>H1</f>
        <v>29</v>
      </c>
      <c r="N3" s="135"/>
      <c r="O3" s="128">
        <f ca="1">B3</f>
        <v>40</v>
      </c>
      <c r="P3" s="128"/>
      <c r="Q3" s="117"/>
      <c r="R3" s="117"/>
      <c r="S3" s="118"/>
      <c r="T3" s="116"/>
    </row>
    <row r="4" spans="1:20" ht="12" customHeight="1" x14ac:dyDescent="0.2">
      <c r="A4" t="s">
        <v>6</v>
      </c>
      <c r="B4" s="3">
        <f>DATE(2024,2,H1)</f>
        <v>45351</v>
      </c>
      <c r="G4" t="s">
        <v>247</v>
      </c>
      <c r="H4" s="30">
        <f>[1]omie_dinamic_dia!$G$2</f>
        <v>25</v>
      </c>
      <c r="I4" s="42"/>
      <c r="J4" s="123"/>
      <c r="K4" s="118"/>
      <c r="L4" s="127"/>
      <c r="M4" s="135"/>
      <c r="N4" s="135"/>
      <c r="O4" s="128"/>
      <c r="P4" s="128"/>
      <c r="Q4" s="117"/>
      <c r="R4" s="117"/>
      <c r="S4" s="118"/>
      <c r="T4" s="116"/>
    </row>
    <row r="5" spans="1:20" ht="12" customHeight="1" x14ac:dyDescent="0.2">
      <c r="A5" t="s">
        <v>15</v>
      </c>
      <c r="B5" s="3">
        <f>MAX(omie_febrero[fecha])</f>
        <v>45351</v>
      </c>
      <c r="J5" s="124"/>
      <c r="K5" s="120"/>
      <c r="L5" s="127"/>
      <c r="M5" s="135"/>
      <c r="N5" s="135"/>
      <c r="O5" s="128"/>
      <c r="P5" s="128"/>
      <c r="Q5" s="119"/>
      <c r="R5" s="119"/>
      <c r="S5" s="120"/>
      <c r="T5" s="116"/>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5"/>
      <c r="S20" s="115"/>
      <c r="T20" s="115"/>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5"/>
      <c r="S21" s="115"/>
      <c r="T21" s="115"/>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5"/>
      <c r="S22" s="115"/>
      <c r="T22" s="115"/>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103" priority="2">
      <formula>$K7=3</formula>
    </cfRule>
    <cfRule type="expression" dxfId="102" priority="3">
      <formula>$K7=2</formula>
    </cfRule>
    <cfRule type="expression" dxfId="101"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21" t="s">
        <v>246</v>
      </c>
      <c r="K1" s="122"/>
      <c r="L1" s="125" t="s">
        <v>3</v>
      </c>
      <c r="M1" s="131" t="s">
        <v>478</v>
      </c>
      <c r="N1" s="132"/>
      <c r="O1" s="129" t="s">
        <v>4</v>
      </c>
      <c r="P1" s="130"/>
      <c r="Q1" s="117" t="s">
        <v>246</v>
      </c>
      <c r="R1" s="117"/>
      <c r="S1" s="118"/>
      <c r="T1" s="116"/>
    </row>
    <row r="2" spans="1:20" ht="12" customHeight="1" x14ac:dyDescent="0.2">
      <c r="A2" t="s">
        <v>3</v>
      </c>
      <c r="B2" s="23" t="str">
        <f>A7</f>
        <v>Mar 2024</v>
      </c>
      <c r="C2" t="s">
        <v>243</v>
      </c>
      <c r="G2" s="15" t="s">
        <v>253</v>
      </c>
      <c r="H2" s="24">
        <f ca="1">TODAY()</f>
        <v>45589</v>
      </c>
      <c r="I2" s="24"/>
      <c r="J2" s="123"/>
      <c r="K2" s="118"/>
      <c r="L2" s="126"/>
      <c r="M2" s="133"/>
      <c r="N2" s="134"/>
      <c r="O2" s="129"/>
      <c r="P2" s="130"/>
      <c r="Q2" s="117"/>
      <c r="R2" s="117"/>
      <c r="S2" s="118"/>
      <c r="T2" s="116"/>
    </row>
    <row r="3" spans="1:20" ht="12" customHeight="1" x14ac:dyDescent="0.2">
      <c r="A3" t="s">
        <v>229</v>
      </c>
      <c r="B3" s="44">
        <f ca="1">IF(C3="",ROUND(AVERAGE(omie!K5:OFFSET(omie!K5,MATCH(B4,omie_marzo[fecha],0)-1,0)),2),C3)</f>
        <v>20.28</v>
      </c>
      <c r="C3" s="26"/>
      <c r="G3" s="115" t="s">
        <v>248</v>
      </c>
      <c r="H3" s="115"/>
      <c r="I3" s="4"/>
      <c r="J3" s="123"/>
      <c r="K3" s="118"/>
      <c r="L3" s="127" t="s">
        <v>13</v>
      </c>
      <c r="M3" s="135">
        <f>H1</f>
        <v>31</v>
      </c>
      <c r="N3" s="135"/>
      <c r="O3" s="128">
        <f ca="1">B3</f>
        <v>20.28</v>
      </c>
      <c r="P3" s="128"/>
      <c r="Q3" s="117"/>
      <c r="R3" s="117"/>
      <c r="S3" s="118"/>
      <c r="T3" s="116"/>
    </row>
    <row r="4" spans="1:20" ht="12" customHeight="1" x14ac:dyDescent="0.2">
      <c r="A4" t="s">
        <v>6</v>
      </c>
      <c r="B4" s="3">
        <f>DATE(2024,3,H1)</f>
        <v>45382</v>
      </c>
      <c r="G4" t="s">
        <v>247</v>
      </c>
      <c r="H4" s="30">
        <f>[1]omie_dinamic_dia!$G$2</f>
        <v>25</v>
      </c>
      <c r="I4" s="42"/>
      <c r="J4" s="123"/>
      <c r="K4" s="118"/>
      <c r="L4" s="127"/>
      <c r="M4" s="135"/>
      <c r="N4" s="135"/>
      <c r="O4" s="128"/>
      <c r="P4" s="128"/>
      <c r="Q4" s="117"/>
      <c r="R4" s="117"/>
      <c r="S4" s="118"/>
      <c r="T4" s="116"/>
    </row>
    <row r="5" spans="1:20" ht="12" customHeight="1" x14ac:dyDescent="0.2">
      <c r="A5" t="s">
        <v>15</v>
      </c>
      <c r="B5" s="3">
        <f>MAX(omie_marzo[fecha])</f>
        <v>45382</v>
      </c>
      <c r="J5" s="124"/>
      <c r="K5" s="120"/>
      <c r="L5" s="127"/>
      <c r="M5" s="135"/>
      <c r="N5" s="135"/>
      <c r="O5" s="128"/>
      <c r="P5" s="128"/>
      <c r="Q5" s="119"/>
      <c r="R5" s="119"/>
      <c r="S5" s="120"/>
      <c r="T5" s="116"/>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5"/>
      <c r="S20" s="115"/>
      <c r="T20" s="115"/>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5"/>
      <c r="S21" s="115"/>
      <c r="T21" s="115"/>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5"/>
      <c r="S22" s="115"/>
      <c r="T22" s="115"/>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100" priority="2">
      <formula>$K7=3</formula>
    </cfRule>
    <cfRule type="expression" dxfId="99" priority="3">
      <formula>$K7=2</formula>
    </cfRule>
    <cfRule type="expression" dxfId="98"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6" t="s">
        <v>546</v>
      </c>
      <c r="L1" s="137"/>
      <c r="M1" s="125" t="s">
        <v>3</v>
      </c>
      <c r="N1" s="131" t="s">
        <v>545</v>
      </c>
      <c r="O1" s="132"/>
      <c r="P1" s="129" t="s">
        <v>4</v>
      </c>
      <c r="Q1" s="130"/>
      <c r="R1" s="142" t="s">
        <v>547</v>
      </c>
      <c r="S1" s="143"/>
      <c r="T1" s="144"/>
      <c r="U1" s="116"/>
    </row>
    <row r="2" spans="1:21" ht="12" customHeight="1" x14ac:dyDescent="0.2">
      <c r="A2" t="s">
        <v>3</v>
      </c>
      <c r="B2" s="23" t="str">
        <f>A7</f>
        <v>Abr 2024</v>
      </c>
      <c r="C2" t="s">
        <v>243</v>
      </c>
      <c r="G2" s="15" t="s">
        <v>253</v>
      </c>
      <c r="H2" s="24">
        <f ca="1">TODAY()</f>
        <v>45589</v>
      </c>
      <c r="I2" s="29"/>
      <c r="K2" s="138"/>
      <c r="L2" s="139"/>
      <c r="M2" s="126"/>
      <c r="N2" s="133"/>
      <c r="O2" s="134"/>
      <c r="P2" s="129"/>
      <c r="Q2" s="130"/>
      <c r="R2" s="145"/>
      <c r="S2" s="146"/>
      <c r="T2" s="147"/>
      <c r="U2" s="116"/>
    </row>
    <row r="3" spans="1:21" ht="12" customHeight="1" x14ac:dyDescent="0.2">
      <c r="A3" t="s">
        <v>229</v>
      </c>
      <c r="B3" s="44">
        <f ca="1">IF(C3="",ROUND(AVERAGE(omie!N5:OFFSET(omie!N5,MATCH(B4,omie_abril[fecha],0)-1,0)),2),C3)</f>
        <v>13.67</v>
      </c>
      <c r="C3" s="26"/>
      <c r="G3" s="115" t="s">
        <v>248</v>
      </c>
      <c r="H3" s="115"/>
      <c r="I3" s="29"/>
      <c r="K3" s="138"/>
      <c r="L3" s="139"/>
      <c r="M3" s="127" t="s">
        <v>13</v>
      </c>
      <c r="N3" s="135">
        <f>H1</f>
        <v>30</v>
      </c>
      <c r="O3" s="135"/>
      <c r="P3" s="128">
        <f ca="1">B3</f>
        <v>13.67</v>
      </c>
      <c r="Q3" s="128"/>
      <c r="R3" s="145"/>
      <c r="S3" s="146"/>
      <c r="T3" s="147"/>
      <c r="U3" s="116"/>
    </row>
    <row r="4" spans="1:21" ht="12" customHeight="1" x14ac:dyDescent="0.2">
      <c r="A4" t="s">
        <v>6</v>
      </c>
      <c r="B4" s="3">
        <f>DATE(2024,4,H1)</f>
        <v>45412</v>
      </c>
      <c r="G4" t="s">
        <v>247</v>
      </c>
      <c r="H4" s="30">
        <f>[1]omie_dinamic_dia!$G$2</f>
        <v>25</v>
      </c>
      <c r="I4" s="29"/>
      <c r="K4" s="138"/>
      <c r="L4" s="139"/>
      <c r="M4" s="127"/>
      <c r="N4" s="135"/>
      <c r="O4" s="135"/>
      <c r="P4" s="128"/>
      <c r="Q4" s="128"/>
      <c r="R4" s="145"/>
      <c r="S4" s="146"/>
      <c r="T4" s="147"/>
      <c r="U4" s="116"/>
    </row>
    <row r="5" spans="1:21" ht="12" customHeight="1" x14ac:dyDescent="0.2">
      <c r="A5" t="s">
        <v>15</v>
      </c>
      <c r="B5" s="3">
        <f>MAX(omie_abril[fecha])</f>
        <v>45412</v>
      </c>
      <c r="I5" s="29"/>
      <c r="K5" s="140"/>
      <c r="L5" s="141"/>
      <c r="M5" s="127"/>
      <c r="N5" s="135"/>
      <c r="O5" s="135"/>
      <c r="P5" s="128"/>
      <c r="Q5" s="128"/>
      <c r="R5" s="148"/>
      <c r="S5" s="149"/>
      <c r="T5" s="150"/>
      <c r="U5" s="116"/>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5"/>
      <c r="T20" s="115"/>
      <c r="U20" s="115"/>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5"/>
      <c r="T21" s="115"/>
      <c r="U21" s="115"/>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5"/>
      <c r="T22" s="115"/>
      <c r="U22" s="115"/>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97" priority="17">
      <formula>$K7=3</formula>
    </cfRule>
    <cfRule type="expression" dxfId="96" priority="18">
      <formula>$K7=2</formula>
    </cfRule>
    <cfRule type="expression" dxfId="95"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6" t="s">
        <v>546</v>
      </c>
      <c r="L1" s="137"/>
      <c r="M1" s="125" t="s">
        <v>3</v>
      </c>
      <c r="N1" s="131" t="s">
        <v>654</v>
      </c>
      <c r="O1" s="132"/>
      <c r="P1" s="129" t="s">
        <v>4</v>
      </c>
      <c r="Q1" s="130"/>
      <c r="R1" s="142" t="s">
        <v>655</v>
      </c>
      <c r="S1" s="143"/>
      <c r="T1" s="144"/>
      <c r="U1" s="116"/>
    </row>
    <row r="2" spans="1:21" ht="12" customHeight="1" x14ac:dyDescent="0.2">
      <c r="A2" t="s">
        <v>3</v>
      </c>
      <c r="B2" s="23" t="str">
        <f>A7</f>
        <v>May 2024</v>
      </c>
      <c r="C2" s="4" t="s">
        <v>243</v>
      </c>
      <c r="G2" s="15" t="s">
        <v>253</v>
      </c>
      <c r="H2" s="24">
        <f ca="1">TODAY()</f>
        <v>45589</v>
      </c>
      <c r="I2" s="29"/>
      <c r="K2" s="138"/>
      <c r="L2" s="139"/>
      <c r="M2" s="126"/>
      <c r="N2" s="133"/>
      <c r="O2" s="134"/>
      <c r="P2" s="129"/>
      <c r="Q2" s="130"/>
      <c r="R2" s="145"/>
      <c r="S2" s="146"/>
      <c r="T2" s="147"/>
      <c r="U2" s="116"/>
    </row>
    <row r="3" spans="1:21" ht="12" customHeight="1" x14ac:dyDescent="0.2">
      <c r="A3" t="s">
        <v>229</v>
      </c>
      <c r="B3" s="44">
        <f ca="1">IF(C3="",ROUND(AVERAGE(omie!Q5:OFFSET(omie!Q5,MATCH(B4,omie_mayo[fecha],0)-1,0)),2),C3)</f>
        <v>30.4</v>
      </c>
      <c r="C3" s="65"/>
      <c r="G3" s="115" t="s">
        <v>248</v>
      </c>
      <c r="H3" s="115"/>
      <c r="I3" s="29"/>
      <c r="K3" s="138"/>
      <c r="L3" s="139"/>
      <c r="M3" s="127" t="s">
        <v>13</v>
      </c>
      <c r="N3" s="135">
        <f>H1</f>
        <v>31</v>
      </c>
      <c r="O3" s="135"/>
      <c r="P3" s="128">
        <f ca="1">B3</f>
        <v>30.4</v>
      </c>
      <c r="Q3" s="128"/>
      <c r="R3" s="145"/>
      <c r="S3" s="146"/>
      <c r="T3" s="147"/>
      <c r="U3" s="116"/>
    </row>
    <row r="4" spans="1:21" ht="12" customHeight="1" x14ac:dyDescent="0.2">
      <c r="A4" t="s">
        <v>6</v>
      </c>
      <c r="B4" s="3">
        <f>DATE(2024,5,H1)</f>
        <v>45443</v>
      </c>
      <c r="G4" t="s">
        <v>247</v>
      </c>
      <c r="H4" s="67">
        <f>[1]omie_dinamic_dia!$G$2</f>
        <v>25</v>
      </c>
      <c r="I4" s="29"/>
      <c r="K4" s="138"/>
      <c r="L4" s="139"/>
      <c r="M4" s="127"/>
      <c r="N4" s="135"/>
      <c r="O4" s="135"/>
      <c r="P4" s="128"/>
      <c r="Q4" s="128"/>
      <c r="R4" s="145"/>
      <c r="S4" s="146"/>
      <c r="T4" s="147"/>
      <c r="U4" s="116"/>
    </row>
    <row r="5" spans="1:21" ht="12" customHeight="1" x14ac:dyDescent="0.2">
      <c r="A5" t="s">
        <v>15</v>
      </c>
      <c r="B5" s="3">
        <f>MAX(omie_mayo[fecha])</f>
        <v>45443</v>
      </c>
      <c r="I5" s="29"/>
      <c r="K5" s="140"/>
      <c r="L5" s="141"/>
      <c r="M5" s="127"/>
      <c r="N5" s="135"/>
      <c r="O5" s="135"/>
      <c r="P5" s="128"/>
      <c r="Q5" s="128"/>
      <c r="R5" s="148"/>
      <c r="S5" s="149"/>
      <c r="T5" s="150"/>
      <c r="U5" s="116"/>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5"/>
      <c r="T20" s="115"/>
      <c r="U20" s="115"/>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5"/>
      <c r="T21" s="115"/>
      <c r="U21" s="115"/>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5"/>
      <c r="T22" s="115"/>
      <c r="U22" s="115"/>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94" priority="3">
      <formula>$K7=3</formula>
    </cfRule>
    <cfRule type="expression" dxfId="93" priority="4">
      <formula>$K7=2</formula>
    </cfRule>
    <cfRule type="expression" dxfId="92" priority="5">
      <formula>$K7=1</formula>
    </cfRule>
  </conditionalFormatting>
  <conditionalFormatting sqref="C7:C49">
    <cfRule type="duplicateValues" dxfId="91"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6" t="s">
        <v>546</v>
      </c>
      <c r="L1" s="137"/>
      <c r="M1" s="125" t="s">
        <v>3</v>
      </c>
      <c r="N1" s="131" t="s">
        <v>793</v>
      </c>
      <c r="O1" s="132"/>
      <c r="P1" s="129" t="s">
        <v>4</v>
      </c>
      <c r="Q1" s="130"/>
      <c r="R1" s="151" t="s">
        <v>794</v>
      </c>
      <c r="S1" s="152"/>
      <c r="T1" s="152"/>
      <c r="U1" s="79"/>
      <c r="Y1" s="115"/>
    </row>
    <row r="2" spans="1:25" ht="12" customHeight="1" x14ac:dyDescent="0.2">
      <c r="A2" t="s">
        <v>3</v>
      </c>
      <c r="B2" s="23" t="str">
        <f>A7</f>
        <v>Jun 2024</v>
      </c>
      <c r="C2" s="4" t="s">
        <v>243</v>
      </c>
      <c r="G2" s="15" t="s">
        <v>253</v>
      </c>
      <c r="H2" s="24">
        <f ca="1">TODAY()</f>
        <v>45589</v>
      </c>
      <c r="I2" s="29"/>
      <c r="K2" s="138"/>
      <c r="L2" s="139"/>
      <c r="M2" s="126"/>
      <c r="N2" s="133"/>
      <c r="O2" s="134"/>
      <c r="P2" s="129"/>
      <c r="Q2" s="130"/>
      <c r="R2" s="151"/>
      <c r="S2" s="152"/>
      <c r="T2" s="152"/>
      <c r="U2" s="79"/>
      <c r="Y2" s="115"/>
    </row>
    <row r="3" spans="1:25" ht="12" customHeight="1" x14ac:dyDescent="0.2">
      <c r="A3" t="s">
        <v>229</v>
      </c>
      <c r="B3" s="44">
        <f ca="1">IF(C3="",ROUND(AVERAGE(omie!T5:OFFSET(omie!T5,MATCH(B4,omie_junio[fecha],0)-1,0)),2),C3)</f>
        <v>56.08</v>
      </c>
      <c r="C3" s="65"/>
      <c r="G3" s="115" t="s">
        <v>248</v>
      </c>
      <c r="H3" s="115"/>
      <c r="I3" s="29"/>
      <c r="K3" s="138"/>
      <c r="L3" s="139"/>
      <c r="M3" s="127" t="s">
        <v>13</v>
      </c>
      <c r="N3" s="135">
        <f>H1</f>
        <v>30</v>
      </c>
      <c r="O3" s="135"/>
      <c r="P3" s="128">
        <f ca="1">B3</f>
        <v>56.08</v>
      </c>
      <c r="Q3" s="128"/>
      <c r="R3" s="151"/>
      <c r="S3" s="152"/>
      <c r="T3" s="152"/>
      <c r="U3" s="79"/>
      <c r="Y3" s="115"/>
    </row>
    <row r="4" spans="1:25" ht="12" customHeight="1" x14ac:dyDescent="0.2">
      <c r="A4" t="s">
        <v>6</v>
      </c>
      <c r="B4" s="3">
        <f>DATE(2024,6,H1)</f>
        <v>45473</v>
      </c>
      <c r="G4" t="s">
        <v>247</v>
      </c>
      <c r="H4" s="67">
        <f>[1]omie_dinamic_dia!$G$2</f>
        <v>25</v>
      </c>
      <c r="I4" s="29"/>
      <c r="K4" s="138"/>
      <c r="L4" s="139"/>
      <c r="M4" s="127"/>
      <c r="N4" s="135"/>
      <c r="O4" s="135"/>
      <c r="P4" s="128"/>
      <c r="Q4" s="128"/>
      <c r="R4" s="151"/>
      <c r="S4" s="152"/>
      <c r="T4" s="152"/>
      <c r="U4" s="79"/>
      <c r="Y4" s="115"/>
    </row>
    <row r="5" spans="1:25" ht="12" customHeight="1" x14ac:dyDescent="0.2">
      <c r="A5" t="s">
        <v>15</v>
      </c>
      <c r="B5" s="3">
        <f>MAX(omie_junio[fecha])</f>
        <v>45473</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5"/>
      <c r="V20" s="115"/>
      <c r="W20" s="115"/>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5"/>
      <c r="V21" s="115"/>
      <c r="W21" s="115"/>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5"/>
      <c r="V22" s="115"/>
      <c r="W22" s="115"/>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90" priority="3">
      <formula>$K7=3</formula>
    </cfRule>
    <cfRule type="expression" dxfId="89" priority="4">
      <formula>$K7=2</formula>
    </cfRule>
    <cfRule type="expression" dxfId="88" priority="5">
      <formula>$K7=1</formula>
    </cfRule>
  </conditionalFormatting>
  <conditionalFormatting sqref="C7:C59">
    <cfRule type="duplicateValues" dxfId="87" priority="29"/>
  </conditionalFormatting>
  <conditionalFormatting sqref="B7:B59">
    <cfRule type="duplicateValues" dxfId="86" priority="31"/>
  </conditionalFormatting>
  <conditionalFormatting sqref="R8:S13 R17:S26">
    <cfRule type="expression" dxfId="85" priority="37">
      <formula>$K38=3</formula>
    </cfRule>
    <cfRule type="expression" dxfId="84" priority="38">
      <formula>$K38=2</formula>
    </cfRule>
    <cfRule type="expression" dxfId="83" priority="39">
      <formula>$K38=1</formula>
    </cfRule>
  </conditionalFormatting>
  <conditionalFormatting sqref="P38:Q59 Q37">
    <cfRule type="expression" dxfId="82" priority="60">
      <formula>$K34=3</formula>
    </cfRule>
    <cfRule type="expression" dxfId="81" priority="61">
      <formula>$K34=2</formula>
    </cfRule>
    <cfRule type="expression" dxfId="80"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6" t="s">
        <v>546</v>
      </c>
      <c r="L1" s="137"/>
      <c r="M1" s="125" t="s">
        <v>3</v>
      </c>
      <c r="N1" s="131" t="s">
        <v>940</v>
      </c>
      <c r="O1" s="132"/>
      <c r="P1" s="129" t="s">
        <v>4</v>
      </c>
      <c r="Q1" s="130"/>
      <c r="R1" s="151" t="s">
        <v>941</v>
      </c>
      <c r="S1" s="152"/>
      <c r="T1" s="152"/>
      <c r="U1" s="79"/>
      <c r="Y1" s="115"/>
    </row>
    <row r="2" spans="1:25" ht="12" customHeight="1" x14ac:dyDescent="0.2">
      <c r="A2" t="s">
        <v>3</v>
      </c>
      <c r="B2" s="23" t="str">
        <f>A7</f>
        <v>Jul 2024</v>
      </c>
      <c r="C2" s="4" t="s">
        <v>243</v>
      </c>
      <c r="G2" s="15" t="s">
        <v>253</v>
      </c>
      <c r="H2" s="24">
        <f ca="1">TODAY()</f>
        <v>45589</v>
      </c>
      <c r="I2" s="29"/>
      <c r="K2" s="138"/>
      <c r="L2" s="139"/>
      <c r="M2" s="126"/>
      <c r="N2" s="133"/>
      <c r="O2" s="134"/>
      <c r="P2" s="129"/>
      <c r="Q2" s="130"/>
      <c r="R2" s="151"/>
      <c r="S2" s="152"/>
      <c r="T2" s="152"/>
      <c r="U2" s="79"/>
      <c r="Y2" s="115"/>
    </row>
    <row r="3" spans="1:25" ht="12" customHeight="1" x14ac:dyDescent="0.2">
      <c r="A3" t="s">
        <v>229</v>
      </c>
      <c r="B3" s="44">
        <f ca="1">IF(C3="",ROUND(AVERAGE(omie!W5:OFFSET(omie!W5,MATCH(B4,omie_julio[fecha],0)-1,0)),2),C3)</f>
        <v>72.31</v>
      </c>
      <c r="C3" s="65"/>
      <c r="G3" s="115" t="s">
        <v>248</v>
      </c>
      <c r="H3" s="115"/>
      <c r="I3" s="29"/>
      <c r="K3" s="138"/>
      <c r="L3" s="139"/>
      <c r="M3" s="127" t="s">
        <v>13</v>
      </c>
      <c r="N3" s="135">
        <f>H1</f>
        <v>31</v>
      </c>
      <c r="O3" s="135"/>
      <c r="P3" s="128">
        <f ca="1">B3</f>
        <v>72.31</v>
      </c>
      <c r="Q3" s="128"/>
      <c r="R3" s="151"/>
      <c r="S3" s="152"/>
      <c r="T3" s="152"/>
      <c r="U3" s="79"/>
      <c r="Y3" s="115"/>
    </row>
    <row r="4" spans="1:25" ht="12" customHeight="1" x14ac:dyDescent="0.2">
      <c r="A4" t="s">
        <v>6</v>
      </c>
      <c r="B4" s="3">
        <f>DATE(2024,7,H1)</f>
        <v>45504</v>
      </c>
      <c r="G4" t="s">
        <v>247</v>
      </c>
      <c r="H4" s="67">
        <f>[1]omie_dinamic_dia!$G$2</f>
        <v>25</v>
      </c>
      <c r="I4" s="29"/>
      <c r="K4" s="138"/>
      <c r="L4" s="139"/>
      <c r="M4" s="127"/>
      <c r="N4" s="135"/>
      <c r="O4" s="135"/>
      <c r="P4" s="128"/>
      <c r="Q4" s="128"/>
      <c r="R4" s="151"/>
      <c r="S4" s="152"/>
      <c r="T4" s="152"/>
      <c r="U4" s="79"/>
      <c r="Y4" s="115"/>
    </row>
    <row r="5" spans="1:25" ht="12" customHeight="1" x14ac:dyDescent="0.2">
      <c r="A5" t="s">
        <v>15</v>
      </c>
      <c r="B5" s="3">
        <f>MAX(omie_julio[fecha])</f>
        <v>45504</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15"/>
      <c r="V20" s="115"/>
      <c r="W20" s="115"/>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15"/>
      <c r="V21" s="115"/>
      <c r="W21" s="115"/>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15"/>
      <c r="V22" s="115"/>
      <c r="W22" s="115"/>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98">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0"/>
      <c r="L59" s="100"/>
      <c r="M59" s="100"/>
      <c r="N59" s="100"/>
      <c r="O59" s="100"/>
      <c r="U59" s="42"/>
    </row>
    <row r="60" spans="1:21" x14ac:dyDescent="0.2">
      <c r="K60" s="100"/>
      <c r="L60" s="100"/>
      <c r="M60" s="100"/>
      <c r="N60" s="100"/>
      <c r="O60" s="100"/>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58">
    <cfRule type="expression" dxfId="79" priority="2">
      <formula>$K7=3</formula>
    </cfRule>
    <cfRule type="expression" dxfId="78" priority="3">
      <formula>$K7=2</formula>
    </cfRule>
    <cfRule type="expression" dxfId="77" priority="4">
      <formula>$K7=1</formula>
    </cfRule>
  </conditionalFormatting>
  <conditionalFormatting sqref="R8:S13 R17:S20 R25:S26">
    <cfRule type="expression" dxfId="76" priority="9">
      <formula>$K38=1</formula>
    </cfRule>
  </conditionalFormatting>
  <conditionalFormatting sqref="P39:Q54 Q38 P58:Q60">
    <cfRule type="expression" dxfId="75" priority="10">
      <formula>$K34=3</formula>
    </cfRule>
    <cfRule type="expression" dxfId="74" priority="11">
      <formula>$K34=2</formula>
    </cfRule>
    <cfRule type="expression" dxfId="73"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72" priority="81"/>
  </conditionalFormatting>
  <conditionalFormatting sqref="B7:B58">
    <cfRule type="duplicateValues" dxfId="71"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6" t="s">
        <v>546</v>
      </c>
      <c r="L1" s="137"/>
      <c r="M1" s="125" t="s">
        <v>3</v>
      </c>
      <c r="N1" s="131" t="s">
        <v>1031</v>
      </c>
      <c r="O1" s="132"/>
      <c r="P1" s="129" t="s">
        <v>4</v>
      </c>
      <c r="Q1" s="130"/>
      <c r="R1" s="151" t="s">
        <v>1032</v>
      </c>
      <c r="S1" s="152"/>
      <c r="T1" s="152"/>
      <c r="U1" s="79"/>
      <c r="Y1" s="115"/>
    </row>
    <row r="2" spans="1:25" ht="12" customHeight="1" x14ac:dyDescent="0.2">
      <c r="A2" t="s">
        <v>3</v>
      </c>
      <c r="B2" s="23" t="str">
        <f>A7</f>
        <v>Ago 2024</v>
      </c>
      <c r="C2" s="4" t="s">
        <v>243</v>
      </c>
      <c r="G2" s="15" t="s">
        <v>253</v>
      </c>
      <c r="H2" s="24">
        <f ca="1">TODAY()</f>
        <v>45589</v>
      </c>
      <c r="I2" s="29"/>
      <c r="K2" s="138"/>
      <c r="L2" s="139"/>
      <c r="M2" s="126"/>
      <c r="N2" s="133"/>
      <c r="O2" s="134"/>
      <c r="P2" s="129"/>
      <c r="Q2" s="130"/>
      <c r="R2" s="151"/>
      <c r="S2" s="152"/>
      <c r="T2" s="152"/>
      <c r="U2" s="79"/>
      <c r="Y2" s="115"/>
    </row>
    <row r="3" spans="1:25" ht="12" customHeight="1" x14ac:dyDescent="0.2">
      <c r="A3" t="s">
        <v>229</v>
      </c>
      <c r="B3" s="44">
        <f ca="1">IF(C3="",ROUND(AVERAGE(omie!Z5:OFFSET(omie!Z5,MATCH(B4,omie_agosto[fecha],0)-1,0)),2),C3)</f>
        <v>91.05</v>
      </c>
      <c r="C3" s="65"/>
      <c r="G3" s="115" t="s">
        <v>248</v>
      </c>
      <c r="H3" s="115"/>
      <c r="I3" s="29"/>
      <c r="K3" s="138"/>
      <c r="L3" s="139"/>
      <c r="M3" s="127" t="s">
        <v>13</v>
      </c>
      <c r="N3" s="135">
        <f>H1</f>
        <v>31</v>
      </c>
      <c r="O3" s="135"/>
      <c r="P3" s="128">
        <f ca="1">B3</f>
        <v>91.05</v>
      </c>
      <c r="Q3" s="128"/>
      <c r="R3" s="151"/>
      <c r="S3" s="152"/>
      <c r="T3" s="152"/>
      <c r="U3" s="79"/>
      <c r="Y3" s="115"/>
    </row>
    <row r="4" spans="1:25" ht="12" customHeight="1" x14ac:dyDescent="0.2">
      <c r="A4" t="s">
        <v>6</v>
      </c>
      <c r="B4" s="3">
        <f>DATE(2024,8,H1)</f>
        <v>45535</v>
      </c>
      <c r="G4" t="s">
        <v>247</v>
      </c>
      <c r="H4" s="67">
        <f>[1]omie_dinamic_dia!$G$2</f>
        <v>25</v>
      </c>
      <c r="I4" s="29"/>
      <c r="K4" s="138"/>
      <c r="L4" s="139"/>
      <c r="M4" s="127"/>
      <c r="N4" s="135"/>
      <c r="O4" s="135"/>
      <c r="P4" s="128"/>
      <c r="Q4" s="128"/>
      <c r="R4" s="151"/>
      <c r="S4" s="152"/>
      <c r="T4" s="152"/>
      <c r="U4" s="79"/>
      <c r="Y4" s="115"/>
    </row>
    <row r="5" spans="1:25" ht="12" customHeight="1" x14ac:dyDescent="0.2">
      <c r="A5" t="s">
        <v>15</v>
      </c>
      <c r="B5" s="3">
        <f>MAX(omie_agosto[fecha])</f>
        <v>45535</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3">
        <f ca="1">INDEX(apuestas_ago[orden],MATCH(resultados_ago[Apuesta MiniPorra],apuestas_ago[Apuesta Miniporra],0))</f>
        <v>4</v>
      </c>
      <c r="L10" s="104" t="str">
        <f>apuestas_ago[[#This Row],[Nombre]]</f>
        <v>Sergio Alfonso</v>
      </c>
      <c r="M10" s="105">
        <f>apuestas_ago[[#This Row],[Apuesta Miniporra]]</f>
        <v>82.28</v>
      </c>
      <c r="N10" s="105">
        <f ca="1">INDEX(apuestas_ago[desvio],MATCH(resultados_ago[[#This Row],[Apuesta MiniPorra]],apuestas_ago[Apuesta Miniporra],0))</f>
        <v>-8.769999999999996</v>
      </c>
      <c r="O10" s="106">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3">
        <f ca="1">INDEX(apuestas_ago[orden],MATCH(resultados_ago[Apuesta MiniPorra],apuestas_ago[Apuesta Miniporra],0))</f>
        <v>5</v>
      </c>
      <c r="L11" s="104" t="str">
        <f>apuestas_ago[[#This Row],[Nombre]]</f>
        <v>Jose F Vidal</v>
      </c>
      <c r="M11" s="105">
        <f>apuestas_ago[[#This Row],[Apuesta Miniporra]]</f>
        <v>81.599999999999994</v>
      </c>
      <c r="N11" s="105">
        <f ca="1">INDEX(apuestas_ago[desvio],MATCH(resultados_ago[[#This Row],[Apuesta MiniPorra]],apuestas_ago[Apuesta Miniporra],0))</f>
        <v>-9.4500000000000028</v>
      </c>
      <c r="O11" s="106">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3">
        <f ca="1">INDEX(apuestas_ago[orden],MATCH(resultados_ago[Apuesta MiniPorra],apuestas_ago[Apuesta Miniporra],0))</f>
        <v>6</v>
      </c>
      <c r="L12" s="104" t="str">
        <f>apuestas_ago[[#This Row],[Nombre]]</f>
        <v>Víctor Baeschlin Sánchez</v>
      </c>
      <c r="M12" s="105">
        <f>apuestas_ago[[#This Row],[Apuesta Miniporra]]</f>
        <v>80.650000000000006</v>
      </c>
      <c r="N12" s="105">
        <f ca="1">INDEX(apuestas_ago[desvio],MATCH(resultados_ago[[#This Row],[Apuesta MiniPorra]],apuestas_ago[Apuesta Miniporra],0))</f>
        <v>-10.399999999999991</v>
      </c>
      <c r="O12" s="106">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3">
        <f ca="1">INDEX(apuestas_ago[orden],MATCH(resultados_ago[Apuesta MiniPorra],apuestas_ago[Apuesta Miniporra],0))</f>
        <v>7</v>
      </c>
      <c r="L13" s="104" t="str">
        <f>apuestas_ago[[#This Row],[Nombre]]</f>
        <v>Jaime Larrañaga Juez</v>
      </c>
      <c r="M13" s="105">
        <f>apuestas_ago[[#This Row],[Apuesta Miniporra]]</f>
        <v>79.989999999999995</v>
      </c>
      <c r="N13" s="105">
        <f ca="1">INDEX(apuestas_ago[desvio],MATCH(resultados_ago[[#This Row],[Apuesta MiniPorra]],apuestas_ago[Apuesta Miniporra],0))</f>
        <v>-11.060000000000002</v>
      </c>
      <c r="O13" s="106">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3">
        <f ca="1">INDEX(apuestas_ago[orden],MATCH(resultados_ago[Apuesta MiniPorra],apuestas_ago[Apuesta Miniporra],0))</f>
        <v>8</v>
      </c>
      <c r="L14" s="104" t="str">
        <f>apuestas_ago[[#This Row],[Nombre]]</f>
        <v>Juan Pedro Conejo Sanchez</v>
      </c>
      <c r="M14" s="105">
        <f>apuestas_ago[[#This Row],[Apuesta Miniporra]]</f>
        <v>78.989999999999995</v>
      </c>
      <c r="N14" s="105">
        <f ca="1">INDEX(apuestas_ago[desvio],MATCH(resultados_ago[[#This Row],[Apuesta MiniPorra]],apuestas_ago[Apuesta Miniporra],0))</f>
        <v>-12.060000000000002</v>
      </c>
      <c r="O14" s="106">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5"/>
      <c r="V20" s="115"/>
      <c r="W20" s="115"/>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5"/>
      <c r="V21" s="115"/>
      <c r="W21" s="115"/>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5"/>
      <c r="V22" s="115"/>
      <c r="W22" s="115"/>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98">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7">
    <cfRule type="expression" dxfId="70" priority="1">
      <formula>$K7=3</formula>
    </cfRule>
    <cfRule type="expression" dxfId="69" priority="2">
      <formula>$K7=2</formula>
    </cfRule>
    <cfRule type="expression" dxfId="68" priority="3">
      <formula>$K7=1</formula>
    </cfRule>
  </conditionalFormatting>
  <conditionalFormatting sqref="R8:S13 R17:S20 R25:S26">
    <cfRule type="expression" dxfId="67" priority="4">
      <formula>$K38=1</formula>
    </cfRule>
  </conditionalFormatting>
  <conditionalFormatting sqref="P39:Q54 Q38 P58:Q60">
    <cfRule type="expression" dxfId="66" priority="5">
      <formula>$K34=3</formula>
    </cfRule>
    <cfRule type="expression" dxfId="65" priority="6">
      <formula>$K34=2</formula>
    </cfRule>
    <cfRule type="expression" dxfId="64"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63" priority="86"/>
  </conditionalFormatting>
  <conditionalFormatting sqref="B7:B47">
    <cfRule type="duplicateValues" dxfId="62"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C00000"/>
  </sheetPr>
  <dimension ref="A1:Y71"/>
  <sheetViews>
    <sheetView showGridLines="0" zoomScale="130" zoomScaleNormal="130" workbookViewId="0">
      <selection activeCell="F7" sqref="F7"/>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30</v>
      </c>
      <c r="I1" s="29"/>
      <c r="K1" s="136" t="s">
        <v>546</v>
      </c>
      <c r="L1" s="137"/>
      <c r="M1" s="125" t="s">
        <v>3</v>
      </c>
      <c r="N1" s="131" t="s">
        <v>1107</v>
      </c>
      <c r="O1" s="132"/>
      <c r="P1" s="129" t="s">
        <v>4</v>
      </c>
      <c r="Q1" s="130"/>
      <c r="R1" s="151" t="s">
        <v>1108</v>
      </c>
      <c r="S1" s="152"/>
      <c r="T1" s="152"/>
      <c r="U1" s="79"/>
      <c r="Y1" s="115"/>
    </row>
    <row r="2" spans="1:25" ht="12" customHeight="1" x14ac:dyDescent="0.2">
      <c r="A2" t="s">
        <v>3</v>
      </c>
      <c r="B2" s="23" t="str">
        <f>A7</f>
        <v>Sep 2024</v>
      </c>
      <c r="C2" s="4" t="s">
        <v>243</v>
      </c>
      <c r="G2" s="15" t="s">
        <v>253</v>
      </c>
      <c r="H2" s="24">
        <f ca="1">TODAY()</f>
        <v>45589</v>
      </c>
      <c r="I2" s="29"/>
      <c r="K2" s="138"/>
      <c r="L2" s="139"/>
      <c r="M2" s="126"/>
      <c r="N2" s="133"/>
      <c r="O2" s="134"/>
      <c r="P2" s="129"/>
      <c r="Q2" s="130"/>
      <c r="R2" s="151"/>
      <c r="S2" s="152"/>
      <c r="T2" s="152"/>
      <c r="U2" s="79"/>
      <c r="Y2" s="115"/>
    </row>
    <row r="3" spans="1:25" ht="12" customHeight="1" x14ac:dyDescent="0.2">
      <c r="A3" t="s">
        <v>229</v>
      </c>
      <c r="B3" s="44">
        <f ca="1">IF(C3="",ROUND(AVERAGE(omie!AC5:OFFSET(omie!AC5,MATCH(B4,omie_septiembre[fecha],0)-1,0)),2),C3)</f>
        <v>72.62</v>
      </c>
      <c r="C3" s="65"/>
      <c r="G3" s="115" t="s">
        <v>248</v>
      </c>
      <c r="H3" s="115"/>
      <c r="I3" s="29"/>
      <c r="K3" s="138"/>
      <c r="L3" s="139"/>
      <c r="M3" s="127" t="s">
        <v>13</v>
      </c>
      <c r="N3" s="135">
        <f>H1</f>
        <v>30</v>
      </c>
      <c r="O3" s="135"/>
      <c r="P3" s="128">
        <f ca="1">B3</f>
        <v>72.62</v>
      </c>
      <c r="Q3" s="128"/>
      <c r="R3" s="151"/>
      <c r="S3" s="152"/>
      <c r="T3" s="152"/>
      <c r="U3" s="79"/>
      <c r="Y3" s="115"/>
    </row>
    <row r="4" spans="1:25" ht="12" customHeight="1" x14ac:dyDescent="0.2">
      <c r="A4" t="s">
        <v>6</v>
      </c>
      <c r="B4" s="3">
        <f>DATE(2024,9,H1)</f>
        <v>45565</v>
      </c>
      <c r="G4" t="s">
        <v>247</v>
      </c>
      <c r="H4" s="67">
        <f>[1]omie_dinamic_dia!$G$2</f>
        <v>25</v>
      </c>
      <c r="I4" s="29"/>
      <c r="K4" s="138"/>
      <c r="L4" s="139"/>
      <c r="M4" s="127"/>
      <c r="N4" s="135"/>
      <c r="O4" s="135"/>
      <c r="P4" s="128"/>
      <c r="Q4" s="128"/>
      <c r="R4" s="151"/>
      <c r="S4" s="152"/>
      <c r="T4" s="152"/>
      <c r="U4" s="79"/>
      <c r="Y4" s="115"/>
    </row>
    <row r="5" spans="1:25" ht="12" customHeight="1" x14ac:dyDescent="0.2">
      <c r="A5" t="s">
        <v>15</v>
      </c>
      <c r="B5" s="3">
        <f>MAX(omie_septiembre[fecha])</f>
        <v>45565</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31.72</v>
      </c>
      <c r="G7" s="68">
        <f ca="1">ABS(apuestas_sep24[[#This Row],[desvio]])/$B$3</f>
        <v>0.43679427155053702</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31.72</v>
      </c>
      <c r="O7" s="13">
        <f ca="1">INDEX(apuestas_sep24[desvio %],MATCH(resultados_sep[[#This Row],[Apuesta MiniPorra]],apuestas_sep24[Apuesta Miniporra],0))</f>
        <v>0.43679427155053702</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25.879999999999995</v>
      </c>
      <c r="G8" s="68">
        <f ca="1">ABS(apuestas_sep24[[#This Row],[desvio]])/$B$3</f>
        <v>0.35637565408978233</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25.879999999999995</v>
      </c>
      <c r="O8" s="13">
        <f ca="1">INDEX(apuestas_sep24[desvio %],MATCH(resultados_sep[[#This Row],[Apuesta MiniPorra]],apuestas_sep24[Apuesta Miniporra],0))</f>
        <v>0.35637565408978233</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24.429999999999993</v>
      </c>
      <c r="G9" s="68">
        <f ca="1">ABS(apuestas_sep24[[#This Row],[desvio]])/$B$3</f>
        <v>0.336408702836684</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24.429999999999993</v>
      </c>
      <c r="O9" s="13">
        <f ca="1">INDEX(apuestas_sep24[desvio %],MATCH(resultados_sep[[#This Row],[Apuesta MiniPorra]],apuestas_sep24[Apuesta Miniporra],0))</f>
        <v>0.336408702836684</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22.92</v>
      </c>
      <c r="G10" s="68">
        <f ca="1">ABS(apuestas_sep24[[#This Row],[desvio]])/$B$3</f>
        <v>0.31561553291104377</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22.92</v>
      </c>
      <c r="O10" s="13">
        <f ca="1">INDEX(apuestas_sep24[desvio %],MATCH(resultados_sep[[#This Row],[Apuesta MiniPorra]],apuestas_sep24[Apuesta Miniporra],0))</f>
        <v>0.31561553291104377</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22.599999999999994</v>
      </c>
      <c r="G11" s="68">
        <f ca="1">ABS(apuestas_sep24[[#This Row],[desvio]])/$B$3</f>
        <v>0.31120903332415301</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22.599999999999994</v>
      </c>
      <c r="O11" s="13">
        <f ca="1">INDEX(apuestas_sep24[desvio %],MATCH(resultados_sep[[#This Row],[Apuesta MiniPorra]],apuestas_sep24[Apuesta Miniporra],0))</f>
        <v>0.31120903332415301</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22.17</v>
      </c>
      <c r="G12" s="68">
        <f ca="1">ABS(apuestas_sep24[[#This Row],[desvio]])/$B$3</f>
        <v>0.30528779950426882</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22.17</v>
      </c>
      <c r="O12" s="13">
        <f ca="1">INDEX(apuestas_sep24[desvio %],MATCH(resultados_sep[[#This Row],[Apuesta MiniPorra]],apuestas_sep24[Apuesta Miniporra],0))</f>
        <v>0.30528779950426882</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21.679999999999993</v>
      </c>
      <c r="G13" s="68">
        <f ca="1">ABS(apuestas_sep24[[#This Row],[desvio]])/$B$3</f>
        <v>0.29854034701184234</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21.679999999999993</v>
      </c>
      <c r="O13" s="13">
        <f ca="1">INDEX(apuestas_sep24[desvio %],MATCH(resultados_sep[[#This Row],[Apuesta MiniPorra]],apuestas_sep24[Apuesta Miniporra],0))</f>
        <v>0.29854034701184234</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21.269999999999996</v>
      </c>
      <c r="G14" s="68">
        <f ca="1">ABS(apuestas_sep24[[#This Row],[desvio]])/$B$3</f>
        <v>0.29289451941613875</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21.269999999999996</v>
      </c>
      <c r="O14" s="13">
        <f ca="1">INDEX(apuestas_sep24[desvio %],MATCH(resultados_sep[[#This Row],[Apuesta MiniPorra]],apuestas_sep24[Apuesta Miniporra],0))</f>
        <v>0.29289451941613875</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21.03</v>
      </c>
      <c r="G15" s="68">
        <f ca="1">ABS(apuestas_sep24[[#This Row],[desvio]])/$B$3</f>
        <v>0.28958964472597082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21.03</v>
      </c>
      <c r="O15" s="13">
        <f ca="1">INDEX(apuestas_sep24[desvio %],MATCH(resultados_sep[[#This Row],[Apuesta MiniPorra]],apuestas_sep24[Apuesta Miniporra],0))</f>
        <v>0.28958964472597082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20.25</v>
      </c>
      <c r="G16" s="68">
        <f ca="1">ABS(apuestas_sep24[[#This Row],[desvio]])/$B$3</f>
        <v>0.27884880198292478</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20.25</v>
      </c>
      <c r="O16" s="13">
        <f ca="1">INDEX(apuestas_sep24[desvio %],MATCH(resultados_sep[[#This Row],[Apuesta MiniPorra]],apuestas_sep24[Apuesta Miniporra],0))</f>
        <v>0.27884880198292478</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20.179999999999993</v>
      </c>
      <c r="G17" s="68">
        <f ca="1">ABS(apuestas_sep24[[#This Row],[desvio]])/$B$3</f>
        <v>0.27788488019829238</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20.179999999999993</v>
      </c>
      <c r="O17" s="13">
        <f ca="1">INDEX(apuestas_sep24[desvio %],MATCH(resultados_sep[[#This Row],[Apuesta MiniPorra]],apuestas_sep24[Apuesta Miniporra],0))</f>
        <v>0.27788488019829238</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19.239999999999995</v>
      </c>
      <c r="G18" s="68">
        <f ca="1">ABS(apuestas_sep24[[#This Row],[desvio]])/$B$3</f>
        <v>0.26494078766180107</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19.239999999999995</v>
      </c>
      <c r="O18" s="13">
        <f ca="1">INDEX(apuestas_sep24[desvio %],MATCH(resultados_sep[[#This Row],[Apuesta MiniPorra]],apuestas_sep24[Apuesta Miniporra],0))</f>
        <v>0.26494078766180107</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19.149999999999991</v>
      </c>
      <c r="G19" s="68">
        <f ca="1">ABS(apuestas_sep24[[#This Row],[desvio]])/$B$3</f>
        <v>0.26370145965298802</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19.149999999999991</v>
      </c>
      <c r="O19" s="13">
        <f ca="1">INDEX(apuestas_sep24[desvio %],MATCH(resultados_sep[[#This Row],[Apuesta MiniPorra]],apuestas_sep24[Apuesta Miniporra],0))</f>
        <v>0.26370145965298802</v>
      </c>
      <c r="P19" s="4">
        <v>13</v>
      </c>
      <c r="Q19" s="28">
        <f>IF(ISBLANK(omie!AB17),"",omie!AC17)</f>
        <v>47.1</v>
      </c>
      <c r="R19" s="71"/>
      <c r="S19" s="71"/>
      <c r="T19" s="28"/>
      <c r="U19"/>
    </row>
    <row r="20" spans="1:23" x14ac:dyDescent="0.2">
      <c r="A20" t="s">
        <v>1039</v>
      </c>
      <c r="B20" t="s">
        <v>1103</v>
      </c>
      <c r="C20" s="28">
        <v>91.26</v>
      </c>
      <c r="D20" t="s">
        <v>118</v>
      </c>
      <c r="E20" t="s">
        <v>1075</v>
      </c>
      <c r="F20" s="28">
        <f ca="1">apuestas_sep24[[#This Row],[Apuesta Miniporra]]-$B$3</f>
        <v>18.64</v>
      </c>
      <c r="G20" s="68">
        <f ca="1">ABS(apuestas_sep24[[#This Row],[desvio]])/$B$3</f>
        <v>0.25667860093638117</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18.64</v>
      </c>
      <c r="O20" s="13">
        <f ca="1">INDEX(apuestas_sep24[desvio %],MATCH(resultados_sep[[#This Row],[Apuesta MiniPorra]],apuestas_sep24[Apuesta Miniporra],0))</f>
        <v>0.25667860093638117</v>
      </c>
      <c r="P20" s="4">
        <v>14</v>
      </c>
      <c r="Q20" s="28">
        <f>IF(ISBLANK(omie!AB18),"",omie!AC18)</f>
        <v>45.61</v>
      </c>
      <c r="T20" s="28"/>
      <c r="U20" s="115"/>
      <c r="V20" s="115"/>
      <c r="W20" s="115"/>
    </row>
    <row r="21" spans="1:23" x14ac:dyDescent="0.2">
      <c r="A21" t="s">
        <v>1039</v>
      </c>
      <c r="B21" t="s">
        <v>219</v>
      </c>
      <c r="C21" s="28">
        <v>91.11</v>
      </c>
      <c r="D21" t="s">
        <v>118</v>
      </c>
      <c r="E21" t="s">
        <v>451</v>
      </c>
      <c r="F21" s="28">
        <f ca="1">apuestas_sep24[[#This Row],[Apuesta Miniporra]]-$B$3</f>
        <v>18.489999999999995</v>
      </c>
      <c r="G21" s="68">
        <f ca="1">ABS(apuestas_sep24[[#This Row],[desvio]])/$B$3</f>
        <v>0.25461305425502606</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18.489999999999995</v>
      </c>
      <c r="O21" s="13">
        <f ca="1">INDEX(apuestas_sep24[desvio %],MATCH(resultados_sep[[#This Row],[Apuesta MiniPorra]],apuestas_sep24[Apuesta Miniporra],0))</f>
        <v>0.25461305425502606</v>
      </c>
      <c r="P21" s="4">
        <v>15</v>
      </c>
      <c r="Q21" s="28">
        <f>IF(ISBLANK(omie!AB19),"",omie!AC19)</f>
        <v>32.520000000000003</v>
      </c>
      <c r="T21" s="28"/>
      <c r="U21" s="115"/>
      <c r="V21" s="115"/>
      <c r="W21" s="115"/>
    </row>
    <row r="22" spans="1:23" x14ac:dyDescent="0.2">
      <c r="A22" t="s">
        <v>1039</v>
      </c>
      <c r="B22" t="s">
        <v>215</v>
      </c>
      <c r="C22" s="28">
        <v>90.9</v>
      </c>
      <c r="D22" t="s">
        <v>118</v>
      </c>
      <c r="E22" t="s">
        <v>103</v>
      </c>
      <c r="F22" s="28">
        <f ca="1">apuestas_sep24[[#This Row],[Apuesta Miniporra]]-$B$3</f>
        <v>18.28</v>
      </c>
      <c r="G22" s="68">
        <f ca="1">ABS(apuestas_sep24[[#This Row],[desvio]])/$B$3</f>
        <v>0.25172128890112916</v>
      </c>
      <c r="H22" s="4">
        <f ca="1">_xlfn.RANK.EQ(apuestas_sep24[[#This Row],[desvio %]],apuestas_sep24[desvio %],1)</f>
        <v>24</v>
      </c>
      <c r="J22" s="66" t="s">
        <v>1039</v>
      </c>
      <c r="K22" s="10">
        <f ca="1">INDEX(apuestas_sep24[orden],MATCH(resultados_sep[Apuesta MiniPorra],apuestas_sep24[Apuesta Miniporra],0))</f>
        <v>24</v>
      </c>
      <c r="L22" s="6" t="str">
        <f>apuestas_sep24[[#This Row],[Nombre]]</f>
        <v>Carles Estruch Puig</v>
      </c>
      <c r="M22" s="14">
        <f>apuestas_sep24[[#This Row],[Apuesta Miniporra]]</f>
        <v>90.9</v>
      </c>
      <c r="N22" s="14">
        <f ca="1">INDEX(apuestas_sep24[desvio],MATCH(resultados_sep[[#This Row],[Apuesta MiniPorra]],apuestas_sep24[Apuesta Miniporra],0))</f>
        <v>18.28</v>
      </c>
      <c r="O22" s="13">
        <f ca="1">INDEX(apuestas_sep24[desvio %],MATCH(resultados_sep[[#This Row],[Apuesta MiniPorra]],apuestas_sep24[Apuesta Miniporra],0))</f>
        <v>0.25172128890112916</v>
      </c>
      <c r="P22" s="4">
        <v>16</v>
      </c>
      <c r="Q22" s="28">
        <f>IF(ISBLANK(omie!AB20),"",omie!AC20)</f>
        <v>27.19</v>
      </c>
      <c r="T22" s="28"/>
      <c r="U22" s="115"/>
      <c r="V22" s="115"/>
      <c r="W22" s="115"/>
    </row>
    <row r="23" spans="1:23" x14ac:dyDescent="0.2">
      <c r="A23" t="s">
        <v>1039</v>
      </c>
      <c r="B23" t="s">
        <v>942</v>
      </c>
      <c r="C23" s="28">
        <v>90.66</v>
      </c>
      <c r="D23" t="s">
        <v>118</v>
      </c>
      <c r="E23" t="s">
        <v>901</v>
      </c>
      <c r="F23" s="28">
        <f ca="1">apuestas_sep24[[#This Row],[Apuesta Miniporra]]-$B$3</f>
        <v>18.039999999999992</v>
      </c>
      <c r="G23" s="68">
        <f ca="1">ABS(apuestas_sep24[[#This Row],[desvio]])/$B$3</f>
        <v>0.24841641421096106</v>
      </c>
      <c r="H23" s="4">
        <f ca="1">_xlfn.RANK.EQ(apuestas_sep24[[#This Row],[desvio %]],apuestas_sep24[desvio %],1)</f>
        <v>23</v>
      </c>
      <c r="J23" s="66" t="s">
        <v>1039</v>
      </c>
      <c r="K23" s="10">
        <f ca="1">INDEX(apuestas_sep24[orden],MATCH(resultados_sep[Apuesta MiniPorra],apuestas_sep24[Apuesta Miniporra],0))</f>
        <v>23</v>
      </c>
      <c r="L23" s="6" t="str">
        <f>apuestas_sep24[[#This Row],[Nombre]]</f>
        <v>Rafael Tejada Bonilla</v>
      </c>
      <c r="M23" s="14">
        <f>apuestas_sep24[[#This Row],[Apuesta Miniporra]]</f>
        <v>90.66</v>
      </c>
      <c r="N23" s="14">
        <f ca="1">INDEX(apuestas_sep24[desvio],MATCH(resultados_sep[[#This Row],[Apuesta MiniPorra]],apuestas_sep24[Apuesta Miniporra],0))</f>
        <v>18.039999999999992</v>
      </c>
      <c r="O23" s="13">
        <f ca="1">INDEX(apuestas_sep24[desvio %],MATCH(resultados_sep[[#This Row],[Apuesta MiniPorra]],apuestas_sep24[Apuesta Miniporra],0))</f>
        <v>0.24841641421096106</v>
      </c>
      <c r="P23" s="4">
        <v>17</v>
      </c>
      <c r="Q23" s="28">
        <f>IF(ISBLANK(omie!AB21),"",omie!AC21)</f>
        <v>25.7</v>
      </c>
      <c r="T23" s="28"/>
      <c r="U23"/>
    </row>
    <row r="24" spans="1:23" x14ac:dyDescent="0.2">
      <c r="A24" t="s">
        <v>1039</v>
      </c>
      <c r="B24" t="s">
        <v>381</v>
      </c>
      <c r="C24" s="28">
        <v>89.93</v>
      </c>
      <c r="D24" t="s">
        <v>1062</v>
      </c>
      <c r="E24" t="s">
        <v>37</v>
      </c>
      <c r="F24" s="28">
        <f ca="1">apuestas_sep24[[#This Row],[Apuesta Miniporra]]-$B$3</f>
        <v>17.310000000000002</v>
      </c>
      <c r="G24" s="68">
        <f ca="1">ABS(apuestas_sep24[[#This Row],[desvio]])/$B$3</f>
        <v>0.23836408702836687</v>
      </c>
      <c r="H24" s="4">
        <f ca="1">_xlfn.RANK.EQ(apuestas_sep24[[#This Row],[desvio %]],apuestas_sep24[desvio %],1)</f>
        <v>22</v>
      </c>
      <c r="J24" s="66" t="s">
        <v>1039</v>
      </c>
      <c r="K24" s="10">
        <f ca="1">INDEX(apuestas_sep24[orden],MATCH(resultados_sep[Apuesta MiniPorra],apuestas_sep24[Apuesta Miniporra],0))</f>
        <v>22</v>
      </c>
      <c r="L24" s="6" t="str">
        <f>apuestas_sep24[[#This Row],[Nombre]]</f>
        <v>Roberto Cavero García</v>
      </c>
      <c r="M24" s="14">
        <f>apuestas_sep24[[#This Row],[Apuesta Miniporra]]</f>
        <v>89.93</v>
      </c>
      <c r="N24" s="14">
        <f ca="1">INDEX(apuestas_sep24[desvio],MATCH(resultados_sep[[#This Row],[Apuesta MiniPorra]],apuestas_sep24[Apuesta Miniporra],0))</f>
        <v>17.310000000000002</v>
      </c>
      <c r="O24" s="13">
        <f ca="1">INDEX(apuestas_sep24[desvio %],MATCH(resultados_sep[[#This Row],[Apuesta MiniPorra]],apuestas_sep24[Apuesta Miniporra],0))</f>
        <v>0.23836408702836687</v>
      </c>
      <c r="P24" s="4">
        <v>18</v>
      </c>
      <c r="Q24" s="28">
        <f>IF(ISBLANK(omie!AB22),"",omie!AC22)</f>
        <v>90.92</v>
      </c>
      <c r="T24" s="28"/>
      <c r="U24"/>
    </row>
    <row r="25" spans="1:23" x14ac:dyDescent="0.2">
      <c r="A25" t="s">
        <v>1039</v>
      </c>
      <c r="B25" t="s">
        <v>1104</v>
      </c>
      <c r="C25" s="28">
        <v>89.4</v>
      </c>
      <c r="D25" t="s">
        <v>118</v>
      </c>
      <c r="E25" t="s">
        <v>1041</v>
      </c>
      <c r="F25" s="28">
        <f ca="1">apuestas_sep24[[#This Row],[Apuesta Miniporra]]-$B$3</f>
        <v>16.78</v>
      </c>
      <c r="G25" s="68">
        <f ca="1">ABS(apuestas_sep24[[#This Row],[desvio]])/$B$3</f>
        <v>0.23106582208757917</v>
      </c>
      <c r="H25" s="4">
        <f ca="1">_xlfn.RANK.EQ(apuestas_sep24[[#This Row],[desvio %]],apuestas_sep24[desvio %],1)</f>
        <v>21</v>
      </c>
      <c r="J25" s="66" t="s">
        <v>1039</v>
      </c>
      <c r="K25" s="10">
        <f ca="1">INDEX(apuestas_sep24[orden],MATCH(resultados_sep[Apuesta MiniPorra],apuestas_sep24[Apuesta Miniporra],0))</f>
        <v>21</v>
      </c>
      <c r="L25" s="6" t="str">
        <f>apuestas_sep24[[#This Row],[Nombre]]</f>
        <v>Jagoba Riveiro Zafra</v>
      </c>
      <c r="M25" s="14">
        <f>apuestas_sep24[[#This Row],[Apuesta Miniporra]]</f>
        <v>89.4</v>
      </c>
      <c r="N25" s="14">
        <f ca="1">INDEX(apuestas_sep24[desvio],MATCH(resultados_sep[[#This Row],[Apuesta MiniPorra]],apuestas_sep24[Apuesta Miniporra],0))</f>
        <v>16.78</v>
      </c>
      <c r="O25" s="13">
        <f ca="1">INDEX(apuestas_sep24[desvio %],MATCH(resultados_sep[[#This Row],[Apuesta MiniPorra]],apuestas_sep24[Apuesta Miniporra],0))</f>
        <v>0.23106582208757917</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16.61</v>
      </c>
      <c r="G26" s="68">
        <f ca="1">ABS(apuestas_sep24[[#This Row],[desvio]])/$B$3</f>
        <v>0.22872486918204349</v>
      </c>
      <c r="H26" s="4">
        <f ca="1">_xlfn.RANK.EQ(apuestas_sep24[[#This Row],[desvio %]],apuestas_sep24[desvio %],1)</f>
        <v>20</v>
      </c>
      <c r="J26" s="66" t="s">
        <v>1039</v>
      </c>
      <c r="K26" s="10">
        <f ca="1">INDEX(apuestas_sep24[orden],MATCH(resultados_sep[Apuesta MiniPorra],apuestas_sep24[Apuesta Miniporra],0))</f>
        <v>20</v>
      </c>
      <c r="L26" s="6" t="str">
        <f>apuestas_sep24[[#This Row],[Nombre]]</f>
        <v>Ricardo Estévez Solís</v>
      </c>
      <c r="M26" s="14">
        <f>apuestas_sep24[[#This Row],[Apuesta Miniporra]]</f>
        <v>89.23</v>
      </c>
      <c r="N26" s="14">
        <f ca="1">INDEX(apuestas_sep24[desvio],MATCH(resultados_sep[[#This Row],[Apuesta MiniPorra]],apuestas_sep24[Apuesta Miniporra],0))</f>
        <v>16.61</v>
      </c>
      <c r="O26" s="13">
        <f ca="1">INDEX(apuestas_sep24[desvio %],MATCH(resultados_sep[[#This Row],[Apuesta MiniPorra]],apuestas_sep24[Apuesta Miniporra],0))</f>
        <v>0.22872486918204349</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16.259999999999991</v>
      </c>
      <c r="G27" s="68">
        <f ca="1">ABS(apuestas_sep24[[#This Row],[desvio]])/$B$3</f>
        <v>0.22390526025888172</v>
      </c>
      <c r="H27" s="4">
        <f ca="1">_xlfn.RANK.EQ(apuestas_sep24[[#This Row],[desvio %]],apuestas_sep24[desvio %],1)</f>
        <v>19</v>
      </c>
      <c r="J27" s="66" t="s">
        <v>1039</v>
      </c>
      <c r="K27" s="10">
        <f ca="1">INDEX(apuestas_sep24[orden],MATCH(resultados_sep[Apuesta MiniPorra],apuestas_sep24[Apuesta Miniporra],0))</f>
        <v>19</v>
      </c>
      <c r="L27" s="6" t="str">
        <f>apuestas_sep24[[#This Row],[Nombre]]</f>
        <v>Jorge Antonio González Sánchez</v>
      </c>
      <c r="M27" s="14">
        <f>apuestas_sep24[[#This Row],[Apuesta Miniporra]]</f>
        <v>88.88</v>
      </c>
      <c r="N27" s="14">
        <f ca="1">INDEX(apuestas_sep24[desvio],MATCH(resultados_sep[[#This Row],[Apuesta MiniPorra]],apuestas_sep24[Apuesta Miniporra],0))</f>
        <v>16.259999999999991</v>
      </c>
      <c r="O27" s="13">
        <f ca="1">INDEX(apuestas_sep24[desvio %],MATCH(resultados_sep[[#This Row],[Apuesta MiniPorra]],apuestas_sep24[Apuesta Miniporra],0))</f>
        <v>0.22390526025888172</v>
      </c>
      <c r="P27" s="4">
        <v>21</v>
      </c>
      <c r="Q27" s="28">
        <f>IF(ISBLANK(omie!AB25),"",omie!AC25)</f>
        <v>85.39</v>
      </c>
      <c r="T27" s="28"/>
      <c r="U27"/>
    </row>
    <row r="28" spans="1:23" x14ac:dyDescent="0.2">
      <c r="A28" t="s">
        <v>1039</v>
      </c>
      <c r="B28" t="s">
        <v>328</v>
      </c>
      <c r="C28" s="28">
        <v>88.05</v>
      </c>
      <c r="D28" t="s">
        <v>118</v>
      </c>
      <c r="E28" t="s">
        <v>328</v>
      </c>
      <c r="F28" s="28">
        <f ca="1">apuestas_sep24[[#This Row],[Apuesta Miniporra]]-$B$3</f>
        <v>15.429999999999993</v>
      </c>
      <c r="G28" s="68">
        <f ca="1">ABS(apuestas_sep24[[#This Row],[desvio]])/$B$3</f>
        <v>0.21247590195538407</v>
      </c>
      <c r="H28" s="4">
        <f ca="1">_xlfn.RANK.EQ(apuestas_sep24[[#This Row],[desvio %]],apuestas_sep24[desvio %],1)</f>
        <v>18</v>
      </c>
      <c r="J28" s="66" t="s">
        <v>1039</v>
      </c>
      <c r="K28" s="10">
        <f ca="1">INDEX(apuestas_sep24[orden],MATCH(resultados_sep[Apuesta MiniPorra],apuestas_sep24[Apuesta Miniporra],0))</f>
        <v>18</v>
      </c>
      <c r="L28" s="6" t="str">
        <f>apuestas_sep24[[#This Row],[Nombre]]</f>
        <v>Aitor Folch</v>
      </c>
      <c r="M28" s="14">
        <f>apuestas_sep24[[#This Row],[Apuesta Miniporra]]</f>
        <v>88.05</v>
      </c>
      <c r="N28" s="14">
        <f ca="1">INDEX(apuestas_sep24[desvio],MATCH(resultados_sep[[#This Row],[Apuesta MiniPorra]],apuestas_sep24[Apuesta Miniporra],0))</f>
        <v>15.429999999999993</v>
      </c>
      <c r="O28" s="13">
        <f ca="1">INDEX(apuestas_sep24[desvio %],MATCH(resultados_sep[[#This Row],[Apuesta MiniPorra]],apuestas_sep24[Apuesta Miniporra],0))</f>
        <v>0.21247590195538407</v>
      </c>
      <c r="P28" s="4">
        <v>22</v>
      </c>
      <c r="Q28" s="28">
        <f>IF(ISBLANK(omie!AB26),"",omie!AC26)</f>
        <v>69.91</v>
      </c>
      <c r="T28" s="28"/>
      <c r="U28"/>
    </row>
    <row r="29" spans="1:23" x14ac:dyDescent="0.2">
      <c r="A29" t="s">
        <v>1039</v>
      </c>
      <c r="B29" t="s">
        <v>406</v>
      </c>
      <c r="C29" s="28">
        <v>88</v>
      </c>
      <c r="D29" t="s">
        <v>118</v>
      </c>
      <c r="E29" t="s">
        <v>271</v>
      </c>
      <c r="F29" s="28">
        <f ca="1">apuestas_sep24[[#This Row],[Apuesta Miniporra]]-$B$3</f>
        <v>15.379999999999995</v>
      </c>
      <c r="G29" s="68">
        <f ca="1">ABS(apuestas_sep24[[#This Row],[desvio]])/$B$3</f>
        <v>0.21178738639493244</v>
      </c>
      <c r="H29" s="4">
        <f ca="1">_xlfn.RANK.EQ(apuestas_sep24[[#This Row],[desvio %]],apuestas_sep24[desvio %],1)</f>
        <v>17</v>
      </c>
      <c r="J29" s="66" t="s">
        <v>1039</v>
      </c>
      <c r="K29" s="10">
        <f ca="1">INDEX(apuestas_sep24[orden],MATCH(resultados_sep[Apuesta MiniPorra],apuestas_sep24[Apuesta Miniporra],0))</f>
        <v>17</v>
      </c>
      <c r="L29" s="6" t="str">
        <f>apuestas_sep24[[#This Row],[Nombre]]</f>
        <v>Javier Pérez Salazar</v>
      </c>
      <c r="M29" s="14">
        <f>apuestas_sep24[[#This Row],[Apuesta Miniporra]]</f>
        <v>88</v>
      </c>
      <c r="N29" s="14">
        <f ca="1">INDEX(apuestas_sep24[desvio],MATCH(resultados_sep[[#This Row],[Apuesta MiniPorra]],apuestas_sep24[Apuesta Miniporra],0))</f>
        <v>15.379999999999995</v>
      </c>
      <c r="O29" s="13">
        <f ca="1">INDEX(apuestas_sep24[desvio %],MATCH(resultados_sep[[#This Row],[Apuesta MiniPorra]],apuestas_sep24[Apuesta Miniporra],0))</f>
        <v>0.21178738639493244</v>
      </c>
      <c r="P29" s="4">
        <v>23</v>
      </c>
      <c r="Q29" s="28">
        <f>IF(ISBLANK(omie!AB27),"",omie!AC27)</f>
        <v>90.03</v>
      </c>
      <c r="T29" s="28"/>
      <c r="U29"/>
    </row>
    <row r="30" spans="1:23" x14ac:dyDescent="0.2">
      <c r="A30" t="s">
        <v>1039</v>
      </c>
      <c r="B30" t="s">
        <v>412</v>
      </c>
      <c r="C30" s="28">
        <v>87.6</v>
      </c>
      <c r="D30" t="s">
        <v>1095</v>
      </c>
      <c r="E30" t="s">
        <v>1096</v>
      </c>
      <c r="F30" s="28">
        <f ca="1">apuestas_sep24[[#This Row],[Apuesta Miniporra]]-$B$3</f>
        <v>14.97999999999999</v>
      </c>
      <c r="G30" s="68">
        <f ca="1">ABS(apuestas_sep24[[#This Row],[desvio]])/$B$3</f>
        <v>0.20627926191131904</v>
      </c>
      <c r="H30" s="4">
        <f ca="1">_xlfn.RANK.EQ(apuestas_sep24[[#This Row],[desvio %]],apuestas_sep24[desvio %],1)</f>
        <v>16</v>
      </c>
      <c r="J30" s="66" t="s">
        <v>1039</v>
      </c>
      <c r="K30" s="10">
        <f ca="1">INDEX(apuestas_sep24[orden],MATCH(resultados_sep[Apuesta MiniPorra],apuestas_sep24[Apuesta Miniporra],0))</f>
        <v>16</v>
      </c>
      <c r="L30" s="6" t="str">
        <f>apuestas_sep24[[#This Row],[Nombre]]</f>
        <v>Jose Manuel Otero López</v>
      </c>
      <c r="M30" s="14">
        <f>apuestas_sep24[[#This Row],[Apuesta Miniporra]]</f>
        <v>87.6</v>
      </c>
      <c r="N30" s="14">
        <f ca="1">INDEX(apuestas_sep24[desvio],MATCH(resultados_sep[[#This Row],[Apuesta MiniPorra]],apuestas_sep24[Apuesta Miniporra],0))</f>
        <v>14.97999999999999</v>
      </c>
      <c r="O30" s="13">
        <f ca="1">INDEX(apuestas_sep24[desvio %],MATCH(resultados_sep[[#This Row],[Apuesta MiniPorra]],apuestas_sep24[Apuesta Miniporra],0))</f>
        <v>0.20627926191131904</v>
      </c>
      <c r="P30" s="4">
        <v>24</v>
      </c>
      <c r="Q30" s="28">
        <f>IF(ISBLANK(omie!AB28),"",omie!AC28)</f>
        <v>95.81</v>
      </c>
      <c r="T30" s="28"/>
      <c r="U30"/>
    </row>
    <row r="31" spans="1:23" x14ac:dyDescent="0.2">
      <c r="A31" t="s">
        <v>1039</v>
      </c>
      <c r="B31" t="s">
        <v>363</v>
      </c>
      <c r="C31" s="28">
        <v>87.4</v>
      </c>
      <c r="D31" t="s">
        <v>118</v>
      </c>
      <c r="E31" t="s">
        <v>76</v>
      </c>
      <c r="F31" s="28">
        <f ca="1">apuestas_sep24[[#This Row],[Apuesta Miniporra]]-$B$3</f>
        <v>14.780000000000001</v>
      </c>
      <c r="G31" s="68">
        <f ca="1">ABS(apuestas_sep24[[#This Row],[desvio]])/$B$3</f>
        <v>0.20352519966951255</v>
      </c>
      <c r="H31" s="4">
        <f ca="1">_xlfn.RANK.EQ(apuestas_sep24[[#This Row],[desvio %]],apuestas_sep24[desvio %],1)</f>
        <v>15</v>
      </c>
      <c r="J31" s="66" t="s">
        <v>1039</v>
      </c>
      <c r="K31" s="10">
        <f ca="1">INDEX(apuestas_sep24[orden],MATCH(resultados_sep[Apuesta MiniPorra],apuestas_sep24[Apuesta Miniporra],0))</f>
        <v>15</v>
      </c>
      <c r="L31" s="6" t="str">
        <f>apuestas_sep24[[#This Row],[Nombre]]</f>
        <v>Roque Alonso Alonso</v>
      </c>
      <c r="M31" s="14">
        <f>apuestas_sep24[[#This Row],[Apuesta Miniporra]]</f>
        <v>87.4</v>
      </c>
      <c r="N31" s="14">
        <f ca="1">INDEX(apuestas_sep24[desvio],MATCH(resultados_sep[[#This Row],[Apuesta MiniPorra]],apuestas_sep24[Apuesta Miniporra],0))</f>
        <v>14.780000000000001</v>
      </c>
      <c r="O31" s="13">
        <f ca="1">INDEX(apuestas_sep24[desvio %],MATCH(resultados_sep[[#This Row],[Apuesta MiniPorra]],apuestas_sep24[Apuesta Miniporra],0))</f>
        <v>0.20352519966951255</v>
      </c>
      <c r="P31" s="4">
        <v>25</v>
      </c>
      <c r="Q31" s="28">
        <f>IF(ISBLANK(omie!AB29),"",omie!AC29)</f>
        <v>57.22</v>
      </c>
      <c r="T31" s="28"/>
      <c r="U31"/>
    </row>
    <row r="32" spans="1:23" x14ac:dyDescent="0.2">
      <c r="A32" t="s">
        <v>1039</v>
      </c>
      <c r="B32" t="s">
        <v>413</v>
      </c>
      <c r="C32" s="28">
        <v>86.86</v>
      </c>
      <c r="D32" t="s">
        <v>118</v>
      </c>
      <c r="E32" t="s">
        <v>317</v>
      </c>
      <c r="F32" s="28">
        <f ca="1">apuestas_sep24[[#This Row],[Apuesta Miniporra]]-$B$3</f>
        <v>14.239999999999995</v>
      </c>
      <c r="G32" s="68">
        <f ca="1">ABS(apuestas_sep24[[#This Row],[desvio]])/$B$3</f>
        <v>0.19608923161663444</v>
      </c>
      <c r="H32" s="4">
        <f ca="1">_xlfn.RANK.EQ(apuestas_sep24[[#This Row],[desvio %]],apuestas_sep24[desvio %],1)</f>
        <v>14</v>
      </c>
      <c r="J32" s="66" t="s">
        <v>1039</v>
      </c>
      <c r="K32" s="10">
        <f ca="1">INDEX(apuestas_sep24[orden],MATCH(resultados_sep[Apuesta MiniPorra],apuestas_sep24[Apuesta Miniporra],0))</f>
        <v>14</v>
      </c>
      <c r="L32" s="6" t="str">
        <f>apuestas_sep24[[#This Row],[Nombre]]</f>
        <v>Beatriz Muñoz Rioboo</v>
      </c>
      <c r="M32" s="14">
        <f>apuestas_sep24[[#This Row],[Apuesta Miniporra]]</f>
        <v>86.86</v>
      </c>
      <c r="N32" s="14">
        <f ca="1">INDEX(apuestas_sep24[desvio],MATCH(resultados_sep[[#This Row],[Apuesta MiniPorra]],apuestas_sep24[Apuesta Miniporra],0))</f>
        <v>14.239999999999995</v>
      </c>
      <c r="O32" s="13">
        <f ca="1">INDEX(apuestas_sep24[desvio %],MATCH(resultados_sep[[#This Row],[Apuesta MiniPorra]],apuestas_sep24[Apuesta Miniporra],0))</f>
        <v>0.19608923161663444</v>
      </c>
      <c r="P32" s="4">
        <v>26</v>
      </c>
      <c r="Q32" s="28">
        <f>IF(ISBLANK(omie!AB30),"",omie!AC30)</f>
        <v>24.18</v>
      </c>
      <c r="T32" s="28"/>
      <c r="U32"/>
    </row>
    <row r="33" spans="1:21" x14ac:dyDescent="0.2">
      <c r="A33" t="s">
        <v>1039</v>
      </c>
      <c r="B33" t="s">
        <v>645</v>
      </c>
      <c r="C33" s="28">
        <v>86.44</v>
      </c>
      <c r="D33" t="s">
        <v>1078</v>
      </c>
      <c r="E33" t="s">
        <v>581</v>
      </c>
      <c r="F33" s="28">
        <f ca="1">apuestas_sep24[[#This Row],[Apuesta Miniporra]]-$B$3</f>
        <v>13.819999999999993</v>
      </c>
      <c r="G33" s="68">
        <f ca="1">ABS(apuestas_sep24[[#This Row],[desvio]])/$B$3</f>
        <v>0.19030570090884044</v>
      </c>
      <c r="H33" s="4">
        <f ca="1">_xlfn.RANK.EQ(apuestas_sep24[[#This Row],[desvio %]],apuestas_sep24[desvio %],1)</f>
        <v>13</v>
      </c>
      <c r="J33" s="66" t="s">
        <v>1039</v>
      </c>
      <c r="K33" s="10">
        <f ca="1">INDEX(apuestas_sep24[orden],MATCH(resultados_sep[Apuesta MiniPorra],apuestas_sep24[Apuesta Miniporra],0))</f>
        <v>13</v>
      </c>
      <c r="L33" s="6" t="str">
        <f>apuestas_sep24[[#This Row],[Nombre]]</f>
        <v>Jose Antonio Quidiello Antuña</v>
      </c>
      <c r="M33" s="14">
        <f>apuestas_sep24[[#This Row],[Apuesta Miniporra]]</f>
        <v>86.44</v>
      </c>
      <c r="N33" s="14">
        <f ca="1">INDEX(apuestas_sep24[desvio],MATCH(resultados_sep[[#This Row],[Apuesta MiniPorra]],apuestas_sep24[Apuesta Miniporra],0))</f>
        <v>13.819999999999993</v>
      </c>
      <c r="O33" s="13">
        <f ca="1">INDEX(apuestas_sep24[desvio %],MATCH(resultados_sep[[#This Row],[Apuesta MiniPorra]],apuestas_sep24[Apuesta Miniporra],0))</f>
        <v>0.19030570090884044</v>
      </c>
      <c r="P33" s="4">
        <v>27</v>
      </c>
      <c r="Q33" s="28">
        <f>IF(ISBLANK(omie!AB31),"",omie!AC31)</f>
        <v>25.61</v>
      </c>
      <c r="T33" s="28"/>
      <c r="U33"/>
    </row>
    <row r="34" spans="1:21" x14ac:dyDescent="0.2">
      <c r="A34" t="s">
        <v>1039</v>
      </c>
      <c r="B34" t="s">
        <v>408</v>
      </c>
      <c r="C34" s="28">
        <v>85.98</v>
      </c>
      <c r="D34" t="s">
        <v>1064</v>
      </c>
      <c r="E34" t="s">
        <v>456</v>
      </c>
      <c r="F34" s="28">
        <f ca="1">apuestas_sep24[[#This Row],[Apuesta Miniporra]]-$B$3</f>
        <v>13.36</v>
      </c>
      <c r="G34" s="68">
        <f ca="1">ABS(apuestas_sep24[[#This Row],[desvio]])/$B$3</f>
        <v>0.18397135775268519</v>
      </c>
      <c r="H34" s="4">
        <f ca="1">_xlfn.RANK.EQ(apuestas_sep24[[#This Row],[desvio %]],apuestas_sep24[desvio %],1)</f>
        <v>12</v>
      </c>
      <c r="J34" s="66" t="s">
        <v>1039</v>
      </c>
      <c r="K34" s="10">
        <f ca="1">INDEX(apuestas_sep24[orden],MATCH(resultados_sep[Apuesta MiniPorra],apuestas_sep24[Apuesta Miniporra],0))</f>
        <v>12</v>
      </c>
      <c r="L34" s="6" t="str">
        <f>apuestas_sep24[[#This Row],[Nombre]]</f>
        <v>Julián Mateo Muñoz</v>
      </c>
      <c r="M34" s="14">
        <f>apuestas_sep24[[#This Row],[Apuesta Miniporra]]</f>
        <v>85.98</v>
      </c>
      <c r="N34" s="14">
        <f ca="1">INDEX(apuestas_sep24[desvio],MATCH(resultados_sep[[#This Row],[Apuesta MiniPorra]],apuestas_sep24[Apuesta Miniporra],0))</f>
        <v>13.36</v>
      </c>
      <c r="O34" s="13">
        <f ca="1">INDEX(apuestas_sep24[desvio %],MATCH(resultados_sep[[#This Row],[Apuesta MiniPorra]],apuestas_sep24[Apuesta Miniporra],0))</f>
        <v>0.18397135775268519</v>
      </c>
      <c r="P34" s="4">
        <v>28</v>
      </c>
      <c r="Q34" s="28">
        <f>IF(ISBLANK(omie!AB32),"",omie!AC32)</f>
        <v>46.81</v>
      </c>
      <c r="T34" s="28"/>
      <c r="U34"/>
    </row>
    <row r="35" spans="1:21" x14ac:dyDescent="0.2">
      <c r="A35" t="s">
        <v>1039</v>
      </c>
      <c r="B35" t="s">
        <v>403</v>
      </c>
      <c r="C35" s="28">
        <v>85.5</v>
      </c>
      <c r="D35" t="s">
        <v>1059</v>
      </c>
      <c r="E35" t="s">
        <v>67</v>
      </c>
      <c r="F35" s="28">
        <f ca="1">apuestas_sep24[[#This Row],[Apuesta Miniporra]]-$B$3</f>
        <v>12.879999999999995</v>
      </c>
      <c r="G35" s="68">
        <f ca="1">ABS(apuestas_sep24[[#This Row],[desvio]])/$B$3</f>
        <v>0.17736160837234913</v>
      </c>
      <c r="H35" s="4">
        <f ca="1">_xlfn.RANK.EQ(apuestas_sep24[[#This Row],[desvio %]],apuestas_sep24[desvio %],1)</f>
        <v>11</v>
      </c>
      <c r="J35" s="66" t="s">
        <v>1039</v>
      </c>
      <c r="K35" s="10">
        <f ca="1">INDEX(apuestas_sep24[orden],MATCH(resultados_sep[Apuesta MiniPorra],apuestas_sep24[Apuesta Miniporra],0))</f>
        <v>11</v>
      </c>
      <c r="L35" s="6" t="str">
        <f>apuestas_sep24[[#This Row],[Nombre]]</f>
        <v>Luis Angel Garzon Velasco</v>
      </c>
      <c r="M35" s="14">
        <f>apuestas_sep24[[#This Row],[Apuesta Miniporra]]</f>
        <v>85.5</v>
      </c>
      <c r="N35" s="14">
        <f ca="1">INDEX(apuestas_sep24[desvio],MATCH(resultados_sep[[#This Row],[Apuesta MiniPorra]],apuestas_sep24[Apuesta Miniporra],0))</f>
        <v>12.879999999999995</v>
      </c>
      <c r="O35" s="13">
        <f ca="1">INDEX(apuestas_sep24[desvio %],MATCH(resultados_sep[[#This Row],[Apuesta MiniPorra]],apuestas_sep24[Apuesta Miniporra],0))</f>
        <v>0.17736160837234913</v>
      </c>
      <c r="P35" s="4">
        <v>29</v>
      </c>
      <c r="Q35" s="28">
        <f>IF(ISBLANK(omie!AB33),"",omie!AC33)</f>
        <v>43.56</v>
      </c>
      <c r="T35" s="28"/>
      <c r="U35"/>
    </row>
    <row r="36" spans="1:21" x14ac:dyDescent="0.2">
      <c r="A36" t="s">
        <v>1039</v>
      </c>
      <c r="B36" t="s">
        <v>1106</v>
      </c>
      <c r="C36" s="28">
        <v>85.23</v>
      </c>
      <c r="D36" t="s">
        <v>1086</v>
      </c>
      <c r="E36" t="s">
        <v>1087</v>
      </c>
      <c r="F36" s="28">
        <f ca="1">apuestas_sep24[[#This Row],[Apuesta Miniporra]]-$B$3</f>
        <v>12.61</v>
      </c>
      <c r="G36" s="68">
        <f ca="1">ABS(apuestas_sep24[[#This Row],[desvio]])/$B$3</f>
        <v>0.17364362434591019</v>
      </c>
      <c r="H36" s="4">
        <f ca="1">_xlfn.RANK.EQ(apuestas_sep24[[#This Row],[desvio %]],apuestas_sep24[desvio %],1)</f>
        <v>10</v>
      </c>
      <c r="J36" s="66" t="s">
        <v>1039</v>
      </c>
      <c r="K36" s="4">
        <f ca="1">INDEX(apuestas_sep24[orden],MATCH(resultados_sep[Apuesta MiniPorra],apuestas_sep24[Apuesta Miniporra],0))</f>
        <v>10</v>
      </c>
      <c r="L36" s="63" t="str">
        <f>apuestas_sep24[[#This Row],[Nombre]]</f>
        <v>Ruben Sanjuan Escribano</v>
      </c>
      <c r="M36" s="28">
        <f>apuestas_sep24[[#This Row],[Apuesta Miniporra]]</f>
        <v>85.23</v>
      </c>
      <c r="N36" s="4">
        <f ca="1">INDEX(apuestas_sep24[desvio],MATCH(resultados_sep[[#This Row],[Apuesta MiniPorra]],apuestas_sep24[Apuesta Miniporra],0))</f>
        <v>12.61</v>
      </c>
      <c r="O36" s="13">
        <f ca="1">INDEX(apuestas_sep24[desvio %],MATCH(resultados_sep[[#This Row],[Apuesta MiniPorra]],apuestas_sep24[Apuesta Miniporra],0))</f>
        <v>0.17364362434591019</v>
      </c>
      <c r="P36" s="4">
        <v>30</v>
      </c>
      <c r="Q36" s="28">
        <f>IF(ISBLANK(omie!AB34),"",omie!AC34)</f>
        <v>87.85</v>
      </c>
      <c r="T36"/>
      <c r="U36"/>
    </row>
    <row r="37" spans="1:21" x14ac:dyDescent="0.2">
      <c r="A37" t="s">
        <v>1039</v>
      </c>
      <c r="B37" t="s">
        <v>336</v>
      </c>
      <c r="C37" s="28">
        <v>84.9</v>
      </c>
      <c r="D37" t="s">
        <v>1044</v>
      </c>
      <c r="E37" t="s">
        <v>2</v>
      </c>
      <c r="F37" s="28">
        <f ca="1">apuestas_sep24[[#This Row],[Apuesta Miniporra]]-$B$3</f>
        <v>12.280000000000001</v>
      </c>
      <c r="G37" s="68">
        <f ca="1">ABS(apuestas_sep24[[#This Row],[desvio]])/$B$3</f>
        <v>0.16909942164692923</v>
      </c>
      <c r="H37" s="4">
        <f ca="1">_xlfn.RANK.EQ(apuestas_sep24[[#This Row],[desvio %]],apuestas_sep24[desvio %],1)</f>
        <v>9</v>
      </c>
      <c r="J37" s="66" t="s">
        <v>1039</v>
      </c>
      <c r="K37" s="4">
        <f ca="1">INDEX(apuestas_sep24[orden],MATCH(resultados_sep[Apuesta MiniPorra],apuestas_sep24[Apuesta Miniporra],0))</f>
        <v>9</v>
      </c>
      <c r="L37" s="63" t="str">
        <f>apuestas_sep24[[#This Row],[Nombre]]</f>
        <v>Javier Revuelta Alonso</v>
      </c>
      <c r="M37" s="28">
        <f>apuestas_sep24[[#This Row],[Apuesta Miniporra]]</f>
        <v>84.9</v>
      </c>
      <c r="N37" s="4">
        <f ca="1">INDEX(apuestas_sep24[desvio],MATCH(resultados_sep[[#This Row],[Apuesta MiniPorra]],apuestas_sep24[Apuesta Miniporra],0))</f>
        <v>12.280000000000001</v>
      </c>
      <c r="O37" s="13">
        <f ca="1">INDEX(apuestas_sep24[desvio %],MATCH(resultados_sep[[#This Row],[Apuesta MiniPorra]],apuestas_sep24[Apuesta Miniporra],0))</f>
        <v>0.16909942164692923</v>
      </c>
      <c r="Q37" s="28" t="str">
        <f>IF(ISBLANK(omie!AB64),"",omie!AC64)</f>
        <v/>
      </c>
      <c r="T37"/>
      <c r="U37"/>
    </row>
    <row r="38" spans="1:21" x14ac:dyDescent="0.2">
      <c r="A38" t="s">
        <v>1039</v>
      </c>
      <c r="B38" t="s">
        <v>652</v>
      </c>
      <c r="C38" s="28">
        <v>82.44</v>
      </c>
      <c r="D38" t="s">
        <v>118</v>
      </c>
      <c r="E38" t="s">
        <v>637</v>
      </c>
      <c r="F38" s="28">
        <f ca="1">apuestas_sep24[[#This Row],[Apuesta Miniporra]]-$B$3</f>
        <v>9.8199999999999932</v>
      </c>
      <c r="G38" s="68">
        <f ca="1">ABS(apuestas_sep24[[#This Row],[desvio]])/$B$3</f>
        <v>0.13522445607270714</v>
      </c>
      <c r="H38" s="4">
        <f ca="1">_xlfn.RANK.EQ(apuestas_sep24[[#This Row],[desvio %]],apuestas_sep24[desvio %],1)</f>
        <v>8</v>
      </c>
      <c r="J38" s="66" t="s">
        <v>1039</v>
      </c>
      <c r="K38" s="4">
        <f ca="1">INDEX(apuestas_sep24[orden],MATCH(resultados_sep[Apuesta MiniPorra],apuestas_sep24[Apuesta Miniporra],0))</f>
        <v>8</v>
      </c>
      <c r="L38" s="63" t="str">
        <f>apuestas_sep24[[#This Row],[Nombre]]</f>
        <v>Carlos Martin</v>
      </c>
      <c r="M38" s="28">
        <f>apuestas_sep24[[#This Row],[Apuesta Miniporra]]</f>
        <v>82.44</v>
      </c>
      <c r="N38" s="4">
        <f ca="1">INDEX(apuestas_sep24[desvio],MATCH(resultados_sep[[#This Row],[Apuesta MiniPorra]],apuestas_sep24[Apuesta Miniporra],0))</f>
        <v>9.8199999999999932</v>
      </c>
      <c r="O38" s="13">
        <f ca="1">INDEX(apuestas_sep24[desvio %],MATCH(resultados_sep[[#This Row],[Apuesta MiniPorra]],apuestas_sep24[Apuesta Miniporra],0))</f>
        <v>0.13522445607270714</v>
      </c>
      <c r="Q38" s="78"/>
      <c r="U38" s="42"/>
    </row>
    <row r="39" spans="1:21" x14ac:dyDescent="0.2">
      <c r="A39" t="s">
        <v>1039</v>
      </c>
      <c r="B39" t="s">
        <v>786</v>
      </c>
      <c r="C39" s="28">
        <v>81.73</v>
      </c>
      <c r="D39" t="s">
        <v>1091</v>
      </c>
      <c r="E39" t="s">
        <v>1092</v>
      </c>
      <c r="F39" s="28">
        <f ca="1">apuestas_sep24[[#This Row],[Apuesta Miniporra]]-$B$3</f>
        <v>9.11</v>
      </c>
      <c r="G39" s="68">
        <f ca="1">ABS(apuestas_sep24[[#This Row],[desvio]])/$B$3</f>
        <v>0.12544753511429357</v>
      </c>
      <c r="H39" s="4">
        <f ca="1">_xlfn.RANK.EQ(apuestas_sep24[[#This Row],[desvio %]],apuestas_sep24[desvio %],1)</f>
        <v>7</v>
      </c>
      <c r="J39" s="66" t="s">
        <v>1039</v>
      </c>
      <c r="K39" s="4">
        <f ca="1">INDEX(apuestas_sep24[orden],MATCH(resultados_sep[Apuesta MiniPorra],apuestas_sep24[Apuesta Miniporra],0))</f>
        <v>7</v>
      </c>
      <c r="L39" s="63" t="str">
        <f>apuestas_sep24[[#This Row],[Nombre]]</f>
        <v>Jesús Aceituno López</v>
      </c>
      <c r="M39" s="28">
        <f>apuestas_sep24[[#This Row],[Apuesta Miniporra]]</f>
        <v>81.73</v>
      </c>
      <c r="N39" s="4">
        <f ca="1">INDEX(apuestas_sep24[desvio],MATCH(resultados_sep[[#This Row],[Apuesta MiniPorra]],apuestas_sep24[Apuesta Miniporra],0))</f>
        <v>9.11</v>
      </c>
      <c r="O39" s="13">
        <f ca="1">INDEX(apuestas_sep24[desvio %],MATCH(resultados_sep[[#This Row],[Apuesta MiniPorra]],apuestas_sep24[Apuesta Miniporra],0))</f>
        <v>0.12544753511429357</v>
      </c>
      <c r="P39" s="78"/>
      <c r="Q39" s="78"/>
      <c r="U39" s="42"/>
    </row>
    <row r="40" spans="1:21" x14ac:dyDescent="0.2">
      <c r="A40" t="s">
        <v>1039</v>
      </c>
      <c r="B40" t="s">
        <v>784</v>
      </c>
      <c r="C40" s="28">
        <v>81.459999999999994</v>
      </c>
      <c r="D40" t="s">
        <v>1069</v>
      </c>
      <c r="E40" t="s">
        <v>727</v>
      </c>
      <c r="F40" s="28">
        <f ca="1">apuestas_sep24[[#This Row],[Apuesta Miniporra]]-$B$3</f>
        <v>8.8399999999999892</v>
      </c>
      <c r="G40" s="68">
        <f ca="1">ABS(apuestas_sep24[[#This Row],[desvio]])/$B$3</f>
        <v>0.12172955108785442</v>
      </c>
      <c r="H40" s="4">
        <f ca="1">_xlfn.RANK.EQ(apuestas_sep24[[#This Row],[desvio %]],apuestas_sep24[desvio %],1)</f>
        <v>6</v>
      </c>
      <c r="J40" s="66" t="s">
        <v>1039</v>
      </c>
      <c r="K40" s="4">
        <f ca="1">INDEX(apuestas_sep24[orden],MATCH(resultados_sep[Apuesta MiniPorra],apuestas_sep24[Apuesta Miniporra],0))</f>
        <v>6</v>
      </c>
      <c r="L40" s="63" t="str">
        <f>apuestas_sep24[[#This Row],[Nombre]]</f>
        <v>Paco Cuadrado</v>
      </c>
      <c r="M40" s="28">
        <f>apuestas_sep24[[#This Row],[Apuesta Miniporra]]</f>
        <v>81.459999999999994</v>
      </c>
      <c r="N40" s="4">
        <f ca="1">INDEX(apuestas_sep24[desvio],MATCH(resultados_sep[[#This Row],[Apuesta MiniPorra]],apuestas_sep24[Apuesta Miniporra],0))</f>
        <v>8.8399999999999892</v>
      </c>
      <c r="O40" s="13">
        <f ca="1">INDEX(apuestas_sep24[desvio %],MATCH(resultados_sep[[#This Row],[Apuesta MiniPorra]],apuestas_sep24[Apuesta Miniporra],0))</f>
        <v>0.12172955108785442</v>
      </c>
      <c r="P40" s="78"/>
      <c r="Q40" s="78"/>
      <c r="U40" s="42"/>
    </row>
    <row r="41" spans="1:21" x14ac:dyDescent="0.2">
      <c r="A41" t="s">
        <v>1039</v>
      </c>
      <c r="B41" t="s">
        <v>292</v>
      </c>
      <c r="C41" s="28">
        <v>79.89</v>
      </c>
      <c r="D41" t="s">
        <v>118</v>
      </c>
      <c r="E41" t="s">
        <v>531</v>
      </c>
      <c r="F41" s="28">
        <f ca="1">apuestas_sep24[[#This Row],[Apuesta Miniporra]]-$B$3</f>
        <v>7.269999999999996</v>
      </c>
      <c r="G41" s="68">
        <f ca="1">ABS(apuestas_sep24[[#This Row],[desvio]])/$B$3</f>
        <v>0.10011016248967221</v>
      </c>
      <c r="H41" s="4">
        <f ca="1">_xlfn.RANK.EQ(apuestas_sep24[[#This Row],[desvio %]],apuestas_sep24[desvio %],1)</f>
        <v>4</v>
      </c>
      <c r="J41" s="66" t="s">
        <v>1039</v>
      </c>
      <c r="K41" s="4">
        <f ca="1">INDEX(apuestas_sep24[orden],MATCH(resultados_sep[Apuesta MiniPorra],apuestas_sep24[Apuesta Miniporra],0))</f>
        <v>4</v>
      </c>
      <c r="L41" s="63" t="str">
        <f>apuestas_sep24[[#This Row],[Nombre]]</f>
        <v>Oscar Mulas Crespo</v>
      </c>
      <c r="M41" s="28">
        <f>apuestas_sep24[[#This Row],[Apuesta Miniporra]]</f>
        <v>79.89</v>
      </c>
      <c r="N41" s="4">
        <f ca="1">INDEX(apuestas_sep24[desvio],MATCH(resultados_sep[[#This Row],[Apuesta MiniPorra]],apuestas_sep24[Apuesta Miniporra],0))</f>
        <v>7.269999999999996</v>
      </c>
      <c r="O41" s="13">
        <f ca="1">INDEX(apuestas_sep24[desvio %],MATCH(resultados_sep[[#This Row],[Apuesta MiniPorra]],apuestas_sep24[Apuesta Miniporra],0))</f>
        <v>0.10011016248967221</v>
      </c>
      <c r="P41" s="78"/>
      <c r="Q41" s="78"/>
      <c r="U41" s="42"/>
    </row>
    <row r="42" spans="1:21" x14ac:dyDescent="0.2">
      <c r="A42" t="s">
        <v>1039</v>
      </c>
      <c r="B42" t="s">
        <v>217</v>
      </c>
      <c r="C42" s="28">
        <v>77.77</v>
      </c>
      <c r="D42" t="s">
        <v>118</v>
      </c>
      <c r="E42" t="s">
        <v>123</v>
      </c>
      <c r="F42" s="28">
        <f ca="1">apuestas_sep24[[#This Row],[Apuesta Miniporra]]-$B$3</f>
        <v>5.1499999999999915</v>
      </c>
      <c r="G42" s="68">
        <f ca="1">ABS(apuestas_sep24[[#This Row],[desvio]])/$B$3</f>
        <v>7.0917102726521491E-2</v>
      </c>
      <c r="H42" s="4">
        <f ca="1">_xlfn.RANK.EQ(apuestas_sep24[[#This Row],[desvio %]],apuestas_sep24[desvio %],1)</f>
        <v>3</v>
      </c>
      <c r="J42" s="66" t="s">
        <v>1039</v>
      </c>
      <c r="K42" s="4">
        <f ca="1">INDEX(apuestas_sep24[orden],MATCH(resultados_sep[Apuesta MiniPorra],apuestas_sep24[Apuesta Miniporra],0))</f>
        <v>3</v>
      </c>
      <c r="L42" t="str">
        <f>apuestas_sep24[[#This Row],[Nombre]]</f>
        <v>Fernando Sánchez-Rey Maeso</v>
      </c>
      <c r="M42" s="28">
        <f>apuestas_sep24[[#This Row],[Apuesta Miniporra]]</f>
        <v>77.77</v>
      </c>
      <c r="N42" s="4">
        <f ca="1">INDEX(apuestas_sep24[desvio],MATCH(resultados_sep[[#This Row],[Apuesta MiniPorra]],apuestas_sep24[Apuesta Miniporra],0))</f>
        <v>5.1499999999999915</v>
      </c>
      <c r="O42" s="13">
        <f ca="1">INDEX(apuestas_sep24[desvio %],MATCH(resultados_sep[[#This Row],[Apuesta MiniPorra]],apuestas_sep24[Apuesta Miniporra],0))</f>
        <v>7.0917102726521491E-2</v>
      </c>
      <c r="P42" s="78"/>
      <c r="Q42" s="78"/>
      <c r="U42" s="42"/>
    </row>
    <row r="43" spans="1:21" x14ac:dyDescent="0.2">
      <c r="A43" t="s">
        <v>1039</v>
      </c>
      <c r="B43" t="s">
        <v>409</v>
      </c>
      <c r="C43" s="28">
        <v>73.55</v>
      </c>
      <c r="D43" t="s">
        <v>1100</v>
      </c>
      <c r="E43" t="s">
        <v>462</v>
      </c>
      <c r="F43" s="28">
        <f ca="1">apuestas_sep24[[#This Row],[Apuesta Miniporra]]-$B$3</f>
        <v>0.92999999999999261</v>
      </c>
      <c r="G43" s="68">
        <f ca="1">ABS(apuestas_sep24[[#This Row],[desvio]])/$B$3</f>
        <v>1.2806389424400889E-2</v>
      </c>
      <c r="H43" s="4">
        <f ca="1">_xlfn.RANK.EQ(apuestas_sep24[[#This Row],[desvio %]],apuestas_sep24[desvio %],1)</f>
        <v>1</v>
      </c>
      <c r="J43" s="66" t="s">
        <v>1039</v>
      </c>
      <c r="K43" s="4">
        <f ca="1">INDEX(apuestas_sep24[orden],MATCH(resultados_sep[Apuesta MiniPorra],apuestas_sep24[Apuesta Miniporra],0))</f>
        <v>1</v>
      </c>
      <c r="L43" t="str">
        <f>apuestas_sep24[[#This Row],[Nombre]]</f>
        <v>Gladys Rocha Blanco</v>
      </c>
      <c r="M43" s="28">
        <f>apuestas_sep24[[#This Row],[Apuesta Miniporra]]</f>
        <v>73.55</v>
      </c>
      <c r="N43" s="4">
        <f ca="1">INDEX(apuestas_sep24[desvio],MATCH(resultados_sep[[#This Row],[Apuesta MiniPorra]],apuestas_sep24[Apuesta Miniporra],0))</f>
        <v>0.92999999999999261</v>
      </c>
      <c r="O43" s="13">
        <f ca="1">INDEX(apuestas_sep24[desvio %],MATCH(resultados_sep[[#This Row],[Apuesta MiniPorra]],apuestas_sep24[Apuesta Miniporra],0))</f>
        <v>1.2806389424400889E-2</v>
      </c>
      <c r="P43" s="78"/>
      <c r="Q43" s="78"/>
      <c r="U43" s="42"/>
    </row>
    <row r="44" spans="1:21" x14ac:dyDescent="0.2">
      <c r="A44" t="s">
        <v>1039</v>
      </c>
      <c r="B44" t="s">
        <v>803</v>
      </c>
      <c r="C44" s="28">
        <v>68.239999999999995</v>
      </c>
      <c r="D44" t="s">
        <v>1053</v>
      </c>
      <c r="E44" t="s">
        <v>860</v>
      </c>
      <c r="F44" s="28">
        <f ca="1">apuestas_sep24[[#This Row],[Apuesta Miniporra]]-$B$3</f>
        <v>-4.3800000000000097</v>
      </c>
      <c r="G44" s="68">
        <f ca="1">ABS(apuestas_sep24[[#This Row],[desvio]])/$B$3</f>
        <v>6.0313963095566088E-2</v>
      </c>
      <c r="H44" s="4">
        <f ca="1">_xlfn.RANK.EQ(apuestas_sep24[[#This Row],[desvio %]],apuestas_sep24[desvio %],1)</f>
        <v>2</v>
      </c>
      <c r="J44" s="66" t="s">
        <v>1039</v>
      </c>
      <c r="K44" s="4">
        <f ca="1">INDEX(apuestas_sep24[orden],MATCH(resultados_sep[Apuesta MiniPorra],apuestas_sep24[Apuesta Miniporra],0))</f>
        <v>2</v>
      </c>
      <c r="L44" t="str">
        <f>apuestas_sep24[[#This Row],[Nombre]]</f>
        <v>Jorge González Arconada</v>
      </c>
      <c r="M44" s="28">
        <f>apuestas_sep24[[#This Row],[Apuesta Miniporra]]</f>
        <v>68.239999999999995</v>
      </c>
      <c r="N44" s="4">
        <f ca="1">INDEX(apuestas_sep24[desvio],MATCH(resultados_sep[[#This Row],[Apuesta MiniPorra]],apuestas_sep24[Apuesta Miniporra],0))</f>
        <v>-4.3800000000000097</v>
      </c>
      <c r="O44" s="13">
        <f ca="1">INDEX(apuestas_sep24[desvio %],MATCH(resultados_sep[[#This Row],[Apuesta MiniPorra]],apuestas_sep24[Apuesta Miniporra],0))</f>
        <v>6.0313963095566088E-2</v>
      </c>
      <c r="P44" s="78"/>
      <c r="Q44" s="78"/>
      <c r="U44" s="42"/>
    </row>
    <row r="45" spans="1:21" x14ac:dyDescent="0.2">
      <c r="A45" t="s">
        <v>1039</v>
      </c>
      <c r="B45" t="s">
        <v>9</v>
      </c>
      <c r="C45" s="28">
        <v>65</v>
      </c>
      <c r="D45" t="s">
        <v>1079</v>
      </c>
      <c r="E45" t="s">
        <v>561</v>
      </c>
      <c r="F45" s="28">
        <f ca="1">apuestas_sep24[[#This Row],[Apuesta Miniporra]]-$B$3</f>
        <v>-7.6200000000000045</v>
      </c>
      <c r="G45" s="68">
        <f ca="1">ABS(apuestas_sep24[[#This Row],[desvio]])/$B$3</f>
        <v>0.10492977141283398</v>
      </c>
      <c r="H45" s="4">
        <f ca="1">_xlfn.RANK.EQ(apuestas_sep24[[#This Row],[desvio %]],apuestas_sep24[desvio %],1)</f>
        <v>5</v>
      </c>
      <c r="J45" s="66" t="s">
        <v>1039</v>
      </c>
      <c r="K45" s="4">
        <f ca="1">INDEX(apuestas_sep24[orden],MATCH(resultados_sep[Apuesta MiniPorra],apuestas_sep24[Apuesta Miniporra],0))</f>
        <v>5</v>
      </c>
      <c r="L45" t="str">
        <f>apuestas_sep24[[#This Row],[Nombre]]</f>
        <v>Alfonso Zárate Conde</v>
      </c>
      <c r="M45" s="28">
        <f>apuestas_sep24[[#This Row],[Apuesta Miniporra]]</f>
        <v>65</v>
      </c>
      <c r="N45" s="4">
        <f ca="1">INDEX(apuestas_sep24[desvio],MATCH(resultados_sep[[#This Row],[Apuesta MiniPorra]],apuestas_sep24[Apuesta Miniporra],0))</f>
        <v>-7.6200000000000045</v>
      </c>
      <c r="O45" s="13">
        <f ca="1">INDEX(apuestas_sep24[desvio %],MATCH(resultados_sep[[#This Row],[Apuesta MiniPorra]],apuestas_sep24[Apuesta Miniporra],0))</f>
        <v>0.10492977141283398</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5">
    <cfRule type="expression" dxfId="61" priority="1">
      <formula>$K7=3</formula>
    </cfRule>
    <cfRule type="expression" dxfId="60" priority="2">
      <formula>$K7=2</formula>
    </cfRule>
    <cfRule type="expression" dxfId="59" priority="3">
      <formula>$K7=1</formula>
    </cfRule>
  </conditionalFormatting>
  <conditionalFormatting sqref="R8:S10 R17:S20 R25:S26 R13:S13">
    <cfRule type="expression" dxfId="58" priority="4">
      <formula>$K38=1</formula>
    </cfRule>
  </conditionalFormatting>
  <conditionalFormatting sqref="P39:Q54 Q38 P58:Q60">
    <cfRule type="expression" dxfId="57" priority="5">
      <formula>$K34=3</formula>
    </cfRule>
    <cfRule type="expression" dxfId="56" priority="6">
      <formula>$K34=2</formula>
    </cfRule>
    <cfRule type="expression" dxfId="55"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54" priority="95"/>
  </conditionalFormatting>
  <conditionalFormatting sqref="B7:B45">
    <cfRule type="duplicateValues" dxfId="53"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7982-B2DB-4B88-9BD7-42C382E6C166}">
  <sheetPr codeName="Hoja20">
    <tabColor rgb="FF00B050"/>
  </sheetPr>
  <dimension ref="A1:Y71"/>
  <sheetViews>
    <sheetView showGridLines="0" zoomScale="130" zoomScaleNormal="130" workbookViewId="0">
      <selection activeCell="F47" sqref="F47"/>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COUNTA(apuestas_oct24[Mes de apuesta])</f>
        <v>39</v>
      </c>
      <c r="G1" s="15" t="s">
        <v>236</v>
      </c>
      <c r="H1" s="23">
        <v>25</v>
      </c>
      <c r="I1" s="29"/>
      <c r="K1" s="136" t="s">
        <v>546</v>
      </c>
      <c r="L1" s="137"/>
      <c r="M1" s="125" t="s">
        <v>3</v>
      </c>
      <c r="N1" s="131" t="s">
        <v>1139</v>
      </c>
      <c r="O1" s="132"/>
      <c r="P1" s="129" t="s">
        <v>4</v>
      </c>
      <c r="Q1" s="130"/>
      <c r="R1" s="151" t="s">
        <v>1140</v>
      </c>
      <c r="S1" s="152"/>
      <c r="T1" s="152"/>
      <c r="U1" s="79"/>
      <c r="Y1" s="115"/>
    </row>
    <row r="2" spans="1:25" ht="12" customHeight="1" x14ac:dyDescent="0.2">
      <c r="A2" t="s">
        <v>3</v>
      </c>
      <c r="B2" s="23" t="str">
        <f>A7</f>
        <v>Oct 2024</v>
      </c>
      <c r="C2" s="4" t="s">
        <v>243</v>
      </c>
      <c r="G2" s="15" t="s">
        <v>253</v>
      </c>
      <c r="H2" s="24">
        <f ca="1">TODAY()</f>
        <v>45589</v>
      </c>
      <c r="I2" s="29"/>
      <c r="K2" s="138"/>
      <c r="L2" s="139"/>
      <c r="M2" s="126"/>
      <c r="N2" s="133"/>
      <c r="O2" s="134"/>
      <c r="P2" s="129"/>
      <c r="Q2" s="130"/>
      <c r="R2" s="151"/>
      <c r="S2" s="152"/>
      <c r="T2" s="152"/>
      <c r="U2" s="79"/>
      <c r="Y2" s="115"/>
    </row>
    <row r="3" spans="1:25" ht="12" customHeight="1" x14ac:dyDescent="0.2">
      <c r="A3" t="s">
        <v>229</v>
      </c>
      <c r="B3" s="44">
        <f ca="1">IF(C3="",ROUND(AVERAGE(omie!AF5:OFFSET(omie!AF5,MATCH(B4,omie_octubre[fecha],0)-1,0)),2),C3)</f>
        <v>66.540000000000006</v>
      </c>
      <c r="C3" s="65"/>
      <c r="G3" s="115" t="s">
        <v>248</v>
      </c>
      <c r="H3" s="115"/>
      <c r="I3" s="29"/>
      <c r="K3" s="138"/>
      <c r="L3" s="139"/>
      <c r="M3" s="127" t="s">
        <v>13</v>
      </c>
      <c r="N3" s="135">
        <f>H1</f>
        <v>25</v>
      </c>
      <c r="O3" s="135"/>
      <c r="P3" s="128">
        <f ca="1">B3</f>
        <v>66.540000000000006</v>
      </c>
      <c r="Q3" s="128"/>
      <c r="R3" s="151"/>
      <c r="S3" s="152"/>
      <c r="T3" s="152"/>
      <c r="U3" s="79"/>
      <c r="Y3" s="115"/>
    </row>
    <row r="4" spans="1:25" ht="12" customHeight="1" x14ac:dyDescent="0.2">
      <c r="A4" t="s">
        <v>6</v>
      </c>
      <c r="B4" s="3">
        <f>DATE(2024,10,H1)</f>
        <v>45590</v>
      </c>
      <c r="G4" t="s">
        <v>247</v>
      </c>
      <c r="H4" s="67">
        <f>[1]omie_dinamic_dia!$G$2</f>
        <v>25</v>
      </c>
      <c r="I4" s="29"/>
      <c r="K4" s="138"/>
      <c r="L4" s="139"/>
      <c r="M4" s="127"/>
      <c r="N4" s="135"/>
      <c r="O4" s="135"/>
      <c r="P4" s="128"/>
      <c r="Q4" s="128"/>
      <c r="R4" s="151"/>
      <c r="S4" s="152"/>
      <c r="T4" s="152"/>
      <c r="U4" s="79"/>
      <c r="Y4" s="115"/>
    </row>
    <row r="5" spans="1:25" ht="12" customHeight="1" x14ac:dyDescent="0.2">
      <c r="A5" t="s">
        <v>15</v>
      </c>
      <c r="B5" s="3">
        <f>MAX(omie_octubre[fecha])</f>
        <v>45590</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1112</v>
      </c>
      <c r="B7" t="s">
        <v>1113</v>
      </c>
      <c r="C7" s="28">
        <v>141.62</v>
      </c>
      <c r="D7" t="s">
        <v>1114</v>
      </c>
      <c r="E7" t="s">
        <v>1115</v>
      </c>
      <c r="F7" s="28">
        <f ca="1">apuestas_oct24[[#This Row],[Apuesta Miniporra]]-$B$3</f>
        <v>75.08</v>
      </c>
      <c r="G7" s="68">
        <f ca="1">ABS(apuestas_oct24[[#This Row],[desvio]])/$B$3</f>
        <v>1.1283438533213104</v>
      </c>
      <c r="H7" s="4">
        <f ca="1">_xlfn.RANK.EQ(apuestas_oct24[[#This Row],[desvio %]],apuestas_oct24[desvio %],1)</f>
        <v>39</v>
      </c>
      <c r="J7" s="66" t="s">
        <v>1112</v>
      </c>
      <c r="K7" s="10">
        <f ca="1">INDEX(apuestas_oct24[orden],MATCH(resultados_oct[Apuesta MiniPorra],apuestas_oct24[Apuesta Miniporra],0))</f>
        <v>39</v>
      </c>
      <c r="L7" s="6" t="str">
        <f>apuestas_oct24[[#This Row],[Nombre]]</f>
        <v>Javier Sáez</v>
      </c>
      <c r="M7" s="14">
        <f>apuestas_oct24[[#This Row],[Apuesta Miniporra]]</f>
        <v>141.62</v>
      </c>
      <c r="N7" s="14">
        <f ca="1">INDEX(apuestas_oct24[desvio],MATCH(resultados_oct[[#This Row],[Apuesta MiniPorra]],apuestas_oct24[Apuesta Miniporra],0))</f>
        <v>75.08</v>
      </c>
      <c r="O7" s="13">
        <f ca="1">INDEX(apuestas_oct24[desvio %],MATCH(resultados_oct[[#This Row],[Apuesta MiniPorra]],apuestas_oct24[Apuesta Miniporra],0))</f>
        <v>1.1283438533213104</v>
      </c>
      <c r="P7" s="4">
        <v>1</v>
      </c>
      <c r="Q7" s="28">
        <f>IF(ISBLANK(omie!AF5),"",omie!AF5)</f>
        <v>97.9</v>
      </c>
      <c r="T7"/>
      <c r="U7"/>
      <c r="X7" s="4"/>
      <c r="Y7" s="4"/>
    </row>
    <row r="8" spans="1:25" x14ac:dyDescent="0.2">
      <c r="A8" t="s">
        <v>1112</v>
      </c>
      <c r="B8" t="s">
        <v>1027</v>
      </c>
      <c r="C8" s="28">
        <v>89.16</v>
      </c>
      <c r="D8" t="s">
        <v>1116</v>
      </c>
      <c r="E8" t="s">
        <v>935</v>
      </c>
      <c r="F8" s="28">
        <f ca="1">apuestas_oct24[[#This Row],[Apuesta Miniporra]]-$B$3</f>
        <v>22.61999999999999</v>
      </c>
      <c r="G8" s="68">
        <f ca="1">ABS(apuestas_oct24[[#This Row],[desvio]])/$B$3</f>
        <v>0.33994589720468871</v>
      </c>
      <c r="H8" s="4">
        <f ca="1">_xlfn.RANK.EQ(apuestas_oct24[[#This Row],[desvio %]],apuestas_oct24[desvio %],1)</f>
        <v>38</v>
      </c>
      <c r="J8" s="66" t="s">
        <v>1112</v>
      </c>
      <c r="K8" s="10">
        <f ca="1">INDEX(apuestas_oct24[orden],MATCH(resultados_oct[Apuesta MiniPorra],apuestas_oct24[Apuesta Miniporra],0))</f>
        <v>38</v>
      </c>
      <c r="L8" s="6" t="str">
        <f>apuestas_oct24[[#This Row],[Nombre]]</f>
        <v>Rafael Leiva</v>
      </c>
      <c r="M8" s="14">
        <f>apuestas_oct24[[#This Row],[Apuesta Miniporra]]</f>
        <v>89.16</v>
      </c>
      <c r="N8" s="14">
        <f ca="1">INDEX(apuestas_oct24[desvio],MATCH(resultados_oct[[#This Row],[Apuesta MiniPorra]],apuestas_oct24[Apuesta Miniporra],0))</f>
        <v>22.61999999999999</v>
      </c>
      <c r="O8" s="13">
        <f ca="1">INDEX(apuestas_oct24[desvio %],MATCH(resultados_oct[[#This Row],[Apuesta MiniPorra]],apuestas_oct24[Apuesta Miniporra],0))</f>
        <v>0.33994589720468871</v>
      </c>
      <c r="P8" s="4">
        <v>2</v>
      </c>
      <c r="Q8" s="28">
        <f>IF(ISBLANK(omie!AF6),"",omie!AF6)</f>
        <v>93.59</v>
      </c>
      <c r="R8" s="78"/>
      <c r="S8" s="78"/>
      <c r="T8"/>
      <c r="U8"/>
      <c r="X8" s="4"/>
      <c r="Y8" s="4"/>
    </row>
    <row r="9" spans="1:25" x14ac:dyDescent="0.2">
      <c r="A9" t="s">
        <v>1112</v>
      </c>
      <c r="B9" t="s">
        <v>362</v>
      </c>
      <c r="C9" s="28">
        <v>85.17</v>
      </c>
      <c r="D9" t="s">
        <v>118</v>
      </c>
      <c r="E9" t="s">
        <v>213</v>
      </c>
      <c r="F9" s="28">
        <f ca="1">apuestas_oct24[[#This Row],[Apuesta Miniporra]]-$B$3</f>
        <v>18.629999999999995</v>
      </c>
      <c r="G9" s="68">
        <f ca="1">ABS(apuestas_oct24[[#This Row],[desvio]])/$B$3</f>
        <v>0.2799819657348962</v>
      </c>
      <c r="H9" s="4">
        <f ca="1">_xlfn.RANK.EQ(apuestas_oct24[[#This Row],[desvio %]],apuestas_oct24[desvio %],1)</f>
        <v>36</v>
      </c>
      <c r="J9" s="66" t="s">
        <v>1112</v>
      </c>
      <c r="K9" s="10">
        <f ca="1">INDEX(apuestas_oct24[orden],MATCH(resultados_oct[Apuesta MiniPorra],apuestas_oct24[Apuesta Miniporra],0))</f>
        <v>36</v>
      </c>
      <c r="L9" s="6" t="str">
        <f>apuestas_oct24[[#This Row],[Nombre]]</f>
        <v>Inés Monroy</v>
      </c>
      <c r="M9" s="14">
        <f>apuestas_oct24[[#This Row],[Apuesta Miniporra]]</f>
        <v>85.17</v>
      </c>
      <c r="N9" s="14">
        <f ca="1">INDEX(apuestas_oct24[desvio],MATCH(resultados_oct[[#This Row],[Apuesta MiniPorra]],apuestas_oct24[Apuesta Miniporra],0))</f>
        <v>18.629999999999995</v>
      </c>
      <c r="O9" s="13">
        <f ca="1">INDEX(apuestas_oct24[desvio %],MATCH(resultados_oct[[#This Row],[Apuesta MiniPorra]],apuestas_oct24[Apuesta Miniporra],0))</f>
        <v>0.2799819657348962</v>
      </c>
      <c r="P9" s="4">
        <v>3</v>
      </c>
      <c r="Q9" s="28">
        <f>IF(ISBLANK(omie!AF7),"",omie!AF7)</f>
        <v>57.92</v>
      </c>
      <c r="R9" s="78"/>
      <c r="S9" s="78"/>
      <c r="T9" s="28"/>
      <c r="U9"/>
      <c r="X9" s="4"/>
      <c r="Y9" s="4"/>
    </row>
    <row r="10" spans="1:25" x14ac:dyDescent="0.2">
      <c r="A10" t="s">
        <v>1112</v>
      </c>
      <c r="B10" t="s">
        <v>786</v>
      </c>
      <c r="C10" s="28">
        <v>84.07</v>
      </c>
      <c r="D10" t="s">
        <v>1117</v>
      </c>
      <c r="E10" t="s">
        <v>1092</v>
      </c>
      <c r="F10" s="28">
        <f ca="1">apuestas_oct24[[#This Row],[Apuesta Miniporra]]-$B$3</f>
        <v>17.529999999999987</v>
      </c>
      <c r="G10" s="68">
        <f ca="1">ABS(apuestas_oct24[[#This Row],[desvio]])/$B$3</f>
        <v>0.26345055605650713</v>
      </c>
      <c r="H10" s="4">
        <f ca="1">_xlfn.RANK.EQ(apuestas_oct24[[#This Row],[desvio %]],apuestas_oct24[desvio %],1)</f>
        <v>35</v>
      </c>
      <c r="J10" s="66" t="s">
        <v>1112</v>
      </c>
      <c r="K10" s="10">
        <f ca="1">INDEX(apuestas_oct24[orden],MATCH(resultados_oct[Apuesta MiniPorra],apuestas_oct24[Apuesta Miniporra],0))</f>
        <v>35</v>
      </c>
      <c r="L10" s="6" t="str">
        <f>apuestas_oct24[[#This Row],[Nombre]]</f>
        <v>Jesús Aceituno López</v>
      </c>
      <c r="M10" s="14">
        <f>apuestas_oct24[[#This Row],[Apuesta Miniporra]]</f>
        <v>84.07</v>
      </c>
      <c r="N10" s="14">
        <f ca="1">INDEX(apuestas_oct24[desvio],MATCH(resultados_oct[[#This Row],[Apuesta MiniPorra]],apuestas_oct24[Apuesta Miniporra],0))</f>
        <v>17.529999999999987</v>
      </c>
      <c r="O10" s="13">
        <f ca="1">INDEX(apuestas_oct24[desvio %],MATCH(resultados_oct[[#This Row],[Apuesta MiniPorra]],apuestas_oct24[Apuesta Miniporra],0))</f>
        <v>0.26345055605650713</v>
      </c>
      <c r="P10" s="4">
        <v>4</v>
      </c>
      <c r="Q10" s="28">
        <f>IF(ISBLANK(omie!AF8),"",omie!AF8)</f>
        <v>98.98</v>
      </c>
      <c r="R10" s="78"/>
      <c r="S10" s="78"/>
      <c r="T10" s="28"/>
      <c r="U10"/>
      <c r="X10" s="4"/>
      <c r="Y10" s="4"/>
    </row>
    <row r="11" spans="1:25" x14ac:dyDescent="0.2">
      <c r="A11" t="s">
        <v>1112</v>
      </c>
      <c r="B11" t="s">
        <v>475</v>
      </c>
      <c r="C11" s="28">
        <v>83.81</v>
      </c>
      <c r="D11" t="s">
        <v>118</v>
      </c>
      <c r="E11" t="s">
        <v>449</v>
      </c>
      <c r="F11" s="28">
        <f ca="1">apuestas_oct24[[#This Row],[Apuesta Miniporra]]-$B$3</f>
        <v>17.269999999999996</v>
      </c>
      <c r="G11" s="68">
        <f ca="1">ABS(apuestas_oct24[[#This Row],[desvio]])/$B$3</f>
        <v>0.25954313195070627</v>
      </c>
      <c r="H11" s="4">
        <f ca="1">_xlfn.RANK.EQ(apuestas_oct24[[#This Row],[desvio %]],apuestas_oct24[desvio %],1)</f>
        <v>34</v>
      </c>
      <c r="J11" s="66" t="s">
        <v>1112</v>
      </c>
      <c r="K11" s="10">
        <f ca="1">INDEX(apuestas_oct24[orden],MATCH(resultados_oct[Apuesta MiniPorra],apuestas_oct24[Apuesta Miniporra],0))</f>
        <v>34</v>
      </c>
      <c r="L11" s="6" t="str">
        <f>apuestas_oct24[[#This Row],[Nombre]]</f>
        <v>Carlos Alcaide Méndez</v>
      </c>
      <c r="M11" s="14">
        <f>apuestas_oct24[[#This Row],[Apuesta Miniporra]]</f>
        <v>83.81</v>
      </c>
      <c r="N11" s="14">
        <f ca="1">INDEX(apuestas_oct24[desvio],MATCH(resultados_oct[[#This Row],[Apuesta MiniPorra]],apuestas_oct24[Apuesta Miniporra],0))</f>
        <v>17.269999999999996</v>
      </c>
      <c r="O11" s="13">
        <f ca="1">INDEX(apuestas_oct24[desvio %],MATCH(resultados_oct[[#This Row],[Apuesta MiniPorra]],apuestas_oct24[Apuesta Miniporra],0))</f>
        <v>0.25954313195070627</v>
      </c>
      <c r="P11" s="4">
        <v>5</v>
      </c>
      <c r="Q11" s="28">
        <f>IF(ISBLANK(omie!AF9),"",omie!AF9)</f>
        <v>60.4</v>
      </c>
      <c r="R11" s="78"/>
      <c r="S11" s="78"/>
      <c r="T11" s="28"/>
      <c r="U11"/>
    </row>
    <row r="12" spans="1:25" x14ac:dyDescent="0.2">
      <c r="A12" t="s">
        <v>1112</v>
      </c>
      <c r="B12" t="s">
        <v>792</v>
      </c>
      <c r="C12" s="28">
        <v>83.75</v>
      </c>
      <c r="D12" t="s">
        <v>118</v>
      </c>
      <c r="E12" t="s">
        <v>664</v>
      </c>
      <c r="F12" s="28">
        <f ca="1">apuestas_oct24[[#This Row],[Apuesta Miniporra]]-$B$3</f>
        <v>17.209999999999994</v>
      </c>
      <c r="G12" s="68">
        <f ca="1">ABS(apuestas_oct24[[#This Row],[desvio]])/$B$3</f>
        <v>0.25864141869552137</v>
      </c>
      <c r="H12" s="4">
        <f ca="1">_xlfn.RANK.EQ(apuestas_oct24[[#This Row],[desvio %]],apuestas_oct24[desvio %],1)</f>
        <v>33</v>
      </c>
      <c r="J12" s="66" t="s">
        <v>1112</v>
      </c>
      <c r="K12" s="10">
        <f ca="1">INDEX(apuestas_oct24[orden],MATCH(resultados_oct[Apuesta MiniPorra],apuestas_oct24[Apuesta Miniporra],0))</f>
        <v>33</v>
      </c>
      <c r="L12" s="6" t="str">
        <f>apuestas_oct24[[#This Row],[Nombre]]</f>
        <v>Gorka Arratibel Pastor</v>
      </c>
      <c r="M12" s="14">
        <f>apuestas_oct24[[#This Row],[Apuesta Miniporra]]</f>
        <v>83.75</v>
      </c>
      <c r="N12" s="14">
        <f ca="1">INDEX(apuestas_oct24[desvio],MATCH(resultados_oct[[#This Row],[Apuesta MiniPorra]],apuestas_oct24[Apuesta Miniporra],0))</f>
        <v>17.209999999999994</v>
      </c>
      <c r="O12" s="13">
        <f ca="1">INDEX(apuestas_oct24[desvio %],MATCH(resultados_oct[[#This Row],[Apuesta MiniPorra]],apuestas_oct24[Apuesta Miniporra],0))</f>
        <v>0.25864141869552137</v>
      </c>
      <c r="P12" s="4">
        <v>6</v>
      </c>
      <c r="Q12" s="28">
        <f>IF(ISBLANK(omie!AF10),"",omie!AF10)</f>
        <v>21.96</v>
      </c>
      <c r="R12" s="78"/>
      <c r="S12" s="78"/>
      <c r="T12" s="28"/>
      <c r="U12"/>
    </row>
    <row r="13" spans="1:25" x14ac:dyDescent="0.2">
      <c r="A13" t="s">
        <v>1112</v>
      </c>
      <c r="B13" t="s">
        <v>242</v>
      </c>
      <c r="C13" s="28">
        <v>82.5</v>
      </c>
      <c r="D13" t="s">
        <v>1071</v>
      </c>
      <c r="E13" t="s">
        <v>242</v>
      </c>
      <c r="F13" s="28">
        <f ca="1">apuestas_oct24[[#This Row],[Apuesta Miniporra]]-$B$3</f>
        <v>15.959999999999994</v>
      </c>
      <c r="G13" s="68">
        <f ca="1">ABS(apuestas_oct24[[#This Row],[desvio]])/$B$3</f>
        <v>0.23985572587917031</v>
      </c>
      <c r="H13" s="4">
        <f ca="1">_xlfn.RANK.EQ(apuestas_oct24[[#This Row],[desvio %]],apuestas_oct24[desvio %],1)</f>
        <v>32</v>
      </c>
      <c r="J13" s="66" t="s">
        <v>1112</v>
      </c>
      <c r="K13" s="10">
        <f ca="1">INDEX(apuestas_oct24[orden],MATCH(resultados_oct[Apuesta MiniPorra],apuestas_oct24[Apuesta Miniporra],0))</f>
        <v>32</v>
      </c>
      <c r="L13" s="6" t="str">
        <f>apuestas_oct24[[#This Row],[Nombre]]</f>
        <v>Javier Espelta</v>
      </c>
      <c r="M13" s="14">
        <f>apuestas_oct24[[#This Row],[Apuesta Miniporra]]</f>
        <v>82.5</v>
      </c>
      <c r="N13" s="14">
        <f ca="1">INDEX(apuestas_oct24[desvio],MATCH(resultados_oct[[#This Row],[Apuesta MiniPorra]],apuestas_oct24[Apuesta Miniporra],0))</f>
        <v>15.959999999999994</v>
      </c>
      <c r="O13" s="13">
        <f ca="1">INDEX(apuestas_oct24[desvio %],MATCH(resultados_oct[[#This Row],[Apuesta MiniPorra]],apuestas_oct24[Apuesta Miniporra],0))</f>
        <v>0.23985572587917031</v>
      </c>
      <c r="P13" s="4">
        <v>7</v>
      </c>
      <c r="Q13" s="28">
        <f>IF(ISBLANK(omie!AF11),"",omie!AF11)</f>
        <v>55.46</v>
      </c>
      <c r="R13" s="78"/>
      <c r="S13" s="78"/>
      <c r="T13" s="28"/>
      <c r="U13"/>
    </row>
    <row r="14" spans="1:25" x14ac:dyDescent="0.2">
      <c r="A14" t="s">
        <v>1112</v>
      </c>
      <c r="B14" t="s">
        <v>412</v>
      </c>
      <c r="C14" s="28">
        <v>80.099999999999994</v>
      </c>
      <c r="D14" t="s">
        <v>118</v>
      </c>
      <c r="E14" t="s">
        <v>1096</v>
      </c>
      <c r="F14" s="28">
        <f ca="1">apuestas_oct24[[#This Row],[Apuesta Miniporra]]-$B$3</f>
        <v>13.559999999999988</v>
      </c>
      <c r="G14" s="68">
        <f ca="1">ABS(apuestas_oct24[[#This Row],[desvio]])/$B$3</f>
        <v>0.20378719567177617</v>
      </c>
      <c r="H14" s="4">
        <f ca="1">_xlfn.RANK.EQ(apuestas_oct24[[#This Row],[desvio %]],apuestas_oct24[desvio %],1)</f>
        <v>31</v>
      </c>
      <c r="J14" s="66" t="s">
        <v>1112</v>
      </c>
      <c r="K14" s="10">
        <f ca="1">INDEX(apuestas_oct24[orden],MATCH(resultados_oct[Apuesta MiniPorra],apuestas_oct24[Apuesta Miniporra],0))</f>
        <v>31</v>
      </c>
      <c r="L14" s="6" t="str">
        <f>apuestas_oct24[[#This Row],[Nombre]]</f>
        <v>Jose Manuel Otero López</v>
      </c>
      <c r="M14" s="14">
        <f>apuestas_oct24[[#This Row],[Apuesta Miniporra]]</f>
        <v>80.099999999999994</v>
      </c>
      <c r="N14" s="14">
        <f ca="1">INDEX(apuestas_oct24[desvio],MATCH(resultados_oct[[#This Row],[Apuesta MiniPorra]],apuestas_oct24[Apuesta Miniporra],0))</f>
        <v>13.559999999999988</v>
      </c>
      <c r="O14" s="13">
        <f ca="1">INDEX(apuestas_oct24[desvio %],MATCH(resultados_oct[[#This Row],[Apuesta MiniPorra]],apuestas_oct24[Apuesta Miniporra],0))</f>
        <v>0.20378719567177617</v>
      </c>
      <c r="P14" s="4">
        <v>8</v>
      </c>
      <c r="Q14" s="28">
        <f>IF(ISBLANK(omie!AF12),"",omie!AF12)</f>
        <v>31.37</v>
      </c>
      <c r="R14" s="78"/>
      <c r="S14" s="78"/>
      <c r="T14" s="28"/>
      <c r="U14"/>
    </row>
    <row r="15" spans="1:25" x14ac:dyDescent="0.2">
      <c r="A15" t="s">
        <v>1112</v>
      </c>
      <c r="B15" t="s">
        <v>1118</v>
      </c>
      <c r="C15" s="28">
        <v>79.819999999999993</v>
      </c>
      <c r="D15" t="s">
        <v>118</v>
      </c>
      <c r="E15" t="s">
        <v>1119</v>
      </c>
      <c r="F15" s="28">
        <f ca="1">apuestas_oct24[[#This Row],[Apuesta Miniporra]]-$B$3</f>
        <v>13.279999999999987</v>
      </c>
      <c r="G15" s="68">
        <f ca="1">ABS(apuestas_oct24[[#This Row],[desvio]])/$B$3</f>
        <v>0.19957920048091352</v>
      </c>
      <c r="H15" s="4">
        <f ca="1">_xlfn.RANK.EQ(apuestas_oct24[[#This Row],[desvio %]],apuestas_oct24[desvio %],1)</f>
        <v>30</v>
      </c>
      <c r="J15" s="66" t="s">
        <v>1112</v>
      </c>
      <c r="K15" s="10">
        <f ca="1">INDEX(apuestas_oct24[orden],MATCH(resultados_oct[Apuesta MiniPorra],apuestas_oct24[Apuesta Miniporra],0))</f>
        <v>30</v>
      </c>
      <c r="L15" s="6" t="str">
        <f>apuestas_oct24[[#This Row],[Nombre]]</f>
        <v>Pablo Suárez Sebastián</v>
      </c>
      <c r="M15" s="14">
        <f>apuestas_oct24[[#This Row],[Apuesta Miniporra]]</f>
        <v>79.819999999999993</v>
      </c>
      <c r="N15" s="14">
        <f ca="1">INDEX(apuestas_oct24[desvio],MATCH(resultados_oct[[#This Row],[Apuesta MiniPorra]],apuestas_oct24[Apuesta Miniporra],0))</f>
        <v>13.279999999999987</v>
      </c>
      <c r="O15" s="13">
        <f ca="1">INDEX(apuestas_oct24[desvio %],MATCH(resultados_oct[[#This Row],[Apuesta MiniPorra]],apuestas_oct24[Apuesta Miniporra],0))</f>
        <v>0.19957920048091352</v>
      </c>
      <c r="P15" s="4">
        <v>9</v>
      </c>
      <c r="Q15" s="28">
        <f>IF(ISBLANK(omie!AF13),"",omie!AF13)</f>
        <v>24.52</v>
      </c>
      <c r="R15" s="78"/>
      <c r="S15" s="78"/>
      <c r="T15" s="28"/>
      <c r="U15"/>
    </row>
    <row r="16" spans="1:25" x14ac:dyDescent="0.2">
      <c r="A16" t="s">
        <v>1112</v>
      </c>
      <c r="B16" t="s">
        <v>225</v>
      </c>
      <c r="C16" s="28">
        <v>78.319999999999993</v>
      </c>
      <c r="D16" t="s">
        <v>118</v>
      </c>
      <c r="E16" t="s">
        <v>199</v>
      </c>
      <c r="F16" s="28">
        <f ca="1">apuestas_oct24[[#This Row],[Apuesta Miniporra]]-$B$3</f>
        <v>11.779999999999987</v>
      </c>
      <c r="G16" s="68">
        <f ca="1">ABS(apuestas_oct24[[#This Row],[desvio]])/$B$3</f>
        <v>0.17703636910129225</v>
      </c>
      <c r="H16" s="4">
        <f ca="1">_xlfn.RANK.EQ(apuestas_oct24[[#This Row],[desvio %]],apuestas_oct24[desvio %],1)</f>
        <v>29</v>
      </c>
      <c r="J16" s="66" t="s">
        <v>1112</v>
      </c>
      <c r="K16" s="10">
        <f ca="1">INDEX(apuestas_oct24[orden],MATCH(resultados_oct[Apuesta MiniPorra],apuestas_oct24[Apuesta Miniporra],0))</f>
        <v>29</v>
      </c>
      <c r="L16" s="6" t="str">
        <f>apuestas_oct24[[#This Row],[Nombre]]</f>
        <v>Elena Muñoz Vioque</v>
      </c>
      <c r="M16" s="14">
        <f>apuestas_oct24[[#This Row],[Apuesta Miniporra]]</f>
        <v>78.319999999999993</v>
      </c>
      <c r="N16" s="14">
        <f ca="1">INDEX(apuestas_oct24[desvio],MATCH(resultados_oct[[#This Row],[Apuesta MiniPorra]],apuestas_oct24[Apuesta Miniporra],0))</f>
        <v>11.779999999999987</v>
      </c>
      <c r="O16" s="13">
        <f ca="1">INDEX(apuestas_oct24[desvio %],MATCH(resultados_oct[[#This Row],[Apuesta MiniPorra]],apuestas_oct24[Apuesta Miniporra],0))</f>
        <v>0.17703636910129225</v>
      </c>
      <c r="P16" s="4">
        <v>10</v>
      </c>
      <c r="Q16" s="28">
        <f>IF(ISBLANK(omie!AF14),"",omie!AF14)</f>
        <v>76.180000000000007</v>
      </c>
      <c r="R16" s="78"/>
      <c r="S16" s="78"/>
      <c r="T16" s="28"/>
      <c r="U16"/>
    </row>
    <row r="17" spans="1:23" x14ac:dyDescent="0.2">
      <c r="A17" t="s">
        <v>1112</v>
      </c>
      <c r="B17" t="s">
        <v>218</v>
      </c>
      <c r="C17" s="28">
        <v>77.77</v>
      </c>
      <c r="D17" t="s">
        <v>118</v>
      </c>
      <c r="E17" t="s">
        <v>1025</v>
      </c>
      <c r="F17" s="28">
        <f ca="1">apuestas_oct24[[#This Row],[Apuesta Miniporra]]-$B$3</f>
        <v>11.22999999999999</v>
      </c>
      <c r="G17" s="68">
        <f ca="1">ABS(apuestas_oct24[[#This Row],[desvio]])/$B$3</f>
        <v>0.16877066426209783</v>
      </c>
      <c r="H17" s="4">
        <f ca="1">_xlfn.RANK.EQ(apuestas_oct24[[#This Row],[desvio %]],apuestas_oct24[desvio %],1)</f>
        <v>28</v>
      </c>
      <c r="J17" s="66" t="s">
        <v>1112</v>
      </c>
      <c r="K17" s="10">
        <f ca="1">INDEX(apuestas_oct24[orden],MATCH(resultados_oct[Apuesta MiniPorra],apuestas_oct24[Apuesta Miniporra],0))</f>
        <v>28</v>
      </c>
      <c r="L17" s="6" t="str">
        <f>apuestas_oct24[[#This Row],[Nombre]]</f>
        <v>Jorge Antonio González Sánchez</v>
      </c>
      <c r="M17" s="14">
        <f>apuestas_oct24[[#This Row],[Apuesta Miniporra]]</f>
        <v>77.77</v>
      </c>
      <c r="N17" s="14">
        <f ca="1">INDEX(apuestas_oct24[desvio],MATCH(resultados_oct[[#This Row],[Apuesta MiniPorra]],apuestas_oct24[Apuesta Miniporra],0))</f>
        <v>11.22999999999999</v>
      </c>
      <c r="O17" s="13">
        <f ca="1">INDEX(apuestas_oct24[desvio %],MATCH(resultados_oct[[#This Row],[Apuesta MiniPorra]],apuestas_oct24[Apuesta Miniporra],0))</f>
        <v>0.16877066426209783</v>
      </c>
      <c r="P17" s="4">
        <v>11</v>
      </c>
      <c r="Q17" s="28">
        <f>IF(ISBLANK(omie!AF15),"",omie!AF15)</f>
        <v>90.66</v>
      </c>
      <c r="R17" s="78"/>
      <c r="S17" s="78"/>
      <c r="T17" s="28"/>
      <c r="U17"/>
    </row>
    <row r="18" spans="1:23" x14ac:dyDescent="0.2">
      <c r="A18" t="s">
        <v>1112</v>
      </c>
      <c r="B18" t="s">
        <v>336</v>
      </c>
      <c r="C18" s="28">
        <v>77.2</v>
      </c>
      <c r="D18" t="s">
        <v>1120</v>
      </c>
      <c r="E18" t="s">
        <v>2</v>
      </c>
      <c r="F18" s="28">
        <f ca="1">apuestas_oct24[[#This Row],[Apuesta Miniporra]]-$B$3</f>
        <v>10.659999999999997</v>
      </c>
      <c r="G18" s="68">
        <f ca="1">ABS(apuestas_oct24[[#This Row],[desvio]])/$B$3</f>
        <v>0.16020438833784184</v>
      </c>
      <c r="H18" s="4">
        <f ca="1">_xlfn.RANK.EQ(apuestas_oct24[[#This Row],[desvio %]],apuestas_oct24[desvio %],1)</f>
        <v>27</v>
      </c>
      <c r="J18" s="66" t="s">
        <v>1112</v>
      </c>
      <c r="K18" s="10">
        <f ca="1">INDEX(apuestas_oct24[orden],MATCH(resultados_oct[Apuesta MiniPorra],apuestas_oct24[Apuesta Miniporra],0))</f>
        <v>27</v>
      </c>
      <c r="L18" s="6" t="str">
        <f>apuestas_oct24[[#This Row],[Nombre]]</f>
        <v>Javier Revuelta Alonso</v>
      </c>
      <c r="M18" s="14">
        <f>apuestas_oct24[[#This Row],[Apuesta Miniporra]]</f>
        <v>77.2</v>
      </c>
      <c r="N18" s="14">
        <f ca="1">INDEX(apuestas_oct24[desvio],MATCH(resultados_oct[[#This Row],[Apuesta MiniPorra]],apuestas_oct24[Apuesta Miniporra],0))</f>
        <v>10.659999999999997</v>
      </c>
      <c r="O18" s="13">
        <f ca="1">INDEX(apuestas_oct24[desvio %],MATCH(resultados_oct[[#This Row],[Apuesta MiniPorra]],apuestas_oct24[Apuesta Miniporra],0))</f>
        <v>0.16020438833784184</v>
      </c>
      <c r="P18" s="4">
        <v>12</v>
      </c>
      <c r="Q18" s="28">
        <f>IF(ISBLANK(omie!AF16),"",omie!AF16)</f>
        <v>69.86</v>
      </c>
      <c r="R18" s="78"/>
      <c r="S18" s="78"/>
      <c r="T18" s="28"/>
      <c r="U18"/>
    </row>
    <row r="19" spans="1:23" x14ac:dyDescent="0.2">
      <c r="A19" t="s">
        <v>1112</v>
      </c>
      <c r="B19" t="s">
        <v>784</v>
      </c>
      <c r="C19" s="28">
        <v>75.2</v>
      </c>
      <c r="D19" t="s">
        <v>118</v>
      </c>
      <c r="E19" t="s">
        <v>784</v>
      </c>
      <c r="F19" s="28">
        <f ca="1">apuestas_oct24[[#This Row],[Apuesta Miniporra]]-$B$3</f>
        <v>8.6599999999999966</v>
      </c>
      <c r="G19" s="68">
        <f ca="1">ABS(apuestas_oct24[[#This Row],[desvio]])/$B$3</f>
        <v>0.13014727983168012</v>
      </c>
      <c r="H19" s="4">
        <f ca="1">_xlfn.RANK.EQ(apuestas_oct24[[#This Row],[desvio %]],apuestas_oct24[desvio %],1)</f>
        <v>26</v>
      </c>
      <c r="J19" s="66" t="s">
        <v>1112</v>
      </c>
      <c r="K19" s="10">
        <f ca="1">INDEX(apuestas_oct24[orden],MATCH(resultados_oct[Apuesta MiniPorra],apuestas_oct24[Apuesta Miniporra],0))</f>
        <v>26</v>
      </c>
      <c r="L19" s="6" t="str">
        <f>apuestas_oct24[[#This Row],[Nombre]]</f>
        <v>Paco Cuadrado</v>
      </c>
      <c r="M19" s="14">
        <f>apuestas_oct24[[#This Row],[Apuesta Miniporra]]</f>
        <v>75.2</v>
      </c>
      <c r="N19" s="14">
        <f ca="1">INDEX(apuestas_oct24[desvio],MATCH(resultados_oct[[#This Row],[Apuesta MiniPorra]],apuestas_oct24[Apuesta Miniporra],0))</f>
        <v>8.6599999999999966</v>
      </c>
      <c r="O19" s="13">
        <f ca="1">INDEX(apuestas_oct24[desvio %],MATCH(resultados_oct[[#This Row],[Apuesta MiniPorra]],apuestas_oct24[Apuesta Miniporra],0))</f>
        <v>0.13014727983168012</v>
      </c>
      <c r="P19" s="4">
        <v>13</v>
      </c>
      <c r="Q19" s="28">
        <f>IF(ISBLANK(omie!AF17),"",omie!AF17)</f>
        <v>52.75</v>
      </c>
      <c r="R19" s="71"/>
      <c r="S19" s="71"/>
      <c r="T19" s="28"/>
      <c r="U19"/>
    </row>
    <row r="20" spans="1:23" x14ac:dyDescent="0.2">
      <c r="A20" t="s">
        <v>1112</v>
      </c>
      <c r="B20" t="s">
        <v>803</v>
      </c>
      <c r="C20" s="28">
        <v>74.19</v>
      </c>
      <c r="D20" t="s">
        <v>1122</v>
      </c>
      <c r="E20" t="s">
        <v>1123</v>
      </c>
      <c r="F20" s="28">
        <f ca="1">apuestas_oct24[[#This Row],[Apuesta Miniporra]]-$B$3</f>
        <v>7.6499999999999915</v>
      </c>
      <c r="G20" s="68">
        <f ca="1">ABS(apuestas_oct24[[#This Row],[desvio]])/$B$3</f>
        <v>0.11496844003606839</v>
      </c>
      <c r="H20" s="4">
        <f ca="1">_xlfn.RANK.EQ(apuestas_oct24[[#This Row],[desvio %]],apuestas_oct24[desvio %],1)</f>
        <v>25</v>
      </c>
      <c r="J20" s="66" t="s">
        <v>1112</v>
      </c>
      <c r="K20" s="10">
        <f ca="1">INDEX(apuestas_oct24[orden],MATCH(resultados_oct[Apuesta MiniPorra],apuestas_oct24[Apuesta Miniporra],0))</f>
        <v>25</v>
      </c>
      <c r="L20" s="6" t="str">
        <f>apuestas_oct24[[#This Row],[Nombre]]</f>
        <v>Jorge González Arconada</v>
      </c>
      <c r="M20" s="14">
        <f>apuestas_oct24[[#This Row],[Apuesta Miniporra]]</f>
        <v>74.19</v>
      </c>
      <c r="N20" s="14">
        <f ca="1">INDEX(apuestas_oct24[desvio],MATCH(resultados_oct[[#This Row],[Apuesta MiniPorra]],apuestas_oct24[Apuesta Miniporra],0))</f>
        <v>7.6499999999999915</v>
      </c>
      <c r="O20" s="13">
        <f ca="1">INDEX(apuestas_oct24[desvio %],MATCH(resultados_oct[[#This Row],[Apuesta MiniPorra]],apuestas_oct24[Apuesta Miniporra],0))</f>
        <v>0.11496844003606839</v>
      </c>
      <c r="P20" s="4">
        <v>14</v>
      </c>
      <c r="Q20" s="28">
        <f>IF(ISBLANK(omie!AF18),"",omie!AF18)</f>
        <v>104.17</v>
      </c>
      <c r="T20" s="28"/>
      <c r="U20" s="115"/>
      <c r="V20" s="115"/>
      <c r="W20" s="115"/>
    </row>
    <row r="21" spans="1:23" x14ac:dyDescent="0.2">
      <c r="A21" t="s">
        <v>1112</v>
      </c>
      <c r="B21" t="s">
        <v>381</v>
      </c>
      <c r="C21" s="28">
        <v>74.09</v>
      </c>
      <c r="D21" t="s">
        <v>1124</v>
      </c>
      <c r="E21" t="s">
        <v>37</v>
      </c>
      <c r="F21" s="28">
        <f ca="1">apuestas_oct24[[#This Row],[Apuesta Miniporra]]-$B$3</f>
        <v>7.5499999999999972</v>
      </c>
      <c r="G21" s="68">
        <f ca="1">ABS(apuestas_oct24[[#This Row],[desvio]])/$B$3</f>
        <v>0.11346558461076039</v>
      </c>
      <c r="H21" s="4">
        <f ca="1">_xlfn.RANK.EQ(apuestas_oct24[[#This Row],[desvio %]],apuestas_oct24[desvio %],1)</f>
        <v>24</v>
      </c>
      <c r="J21" s="66" t="s">
        <v>1112</v>
      </c>
      <c r="K21" s="10">
        <f ca="1">INDEX(apuestas_oct24[orden],MATCH(resultados_oct[Apuesta MiniPorra],apuestas_oct24[Apuesta Miniporra],0))</f>
        <v>24</v>
      </c>
      <c r="L21" s="6" t="str">
        <f>apuestas_oct24[[#This Row],[Nombre]]</f>
        <v>Roberto Cavero García</v>
      </c>
      <c r="M21" s="14">
        <f>apuestas_oct24[[#This Row],[Apuesta Miniporra]]</f>
        <v>74.09</v>
      </c>
      <c r="N21" s="14">
        <f ca="1">INDEX(apuestas_oct24[desvio],MATCH(resultados_oct[[#This Row],[Apuesta MiniPorra]],apuestas_oct24[Apuesta Miniporra],0))</f>
        <v>7.5499999999999972</v>
      </c>
      <c r="O21" s="13">
        <f ca="1">INDEX(apuestas_oct24[desvio %],MATCH(resultados_oct[[#This Row],[Apuesta MiniPorra]],apuestas_oct24[Apuesta Miniporra],0))</f>
        <v>0.11346558461076039</v>
      </c>
      <c r="P21" s="4">
        <v>15</v>
      </c>
      <c r="Q21" s="28">
        <f>IF(ISBLANK(omie!AF19),"",omie!AF19)</f>
        <v>87.23</v>
      </c>
      <c r="T21" s="28"/>
      <c r="U21" s="115"/>
      <c r="V21" s="115"/>
      <c r="W21" s="115"/>
    </row>
    <row r="22" spans="1:23" x14ac:dyDescent="0.2">
      <c r="A22" t="s">
        <v>1112</v>
      </c>
      <c r="B22" t="s">
        <v>942</v>
      </c>
      <c r="C22" s="28">
        <v>73.75</v>
      </c>
      <c r="D22" t="s">
        <v>118</v>
      </c>
      <c r="E22" t="s">
        <v>901</v>
      </c>
      <c r="F22" s="28">
        <f ca="1">apuestas_oct24[[#This Row],[Apuesta Miniporra]]-$B$3</f>
        <v>7.2099999999999937</v>
      </c>
      <c r="G22" s="68">
        <f ca="1">ABS(apuestas_oct24[[#This Row],[desvio]])/$B$3</f>
        <v>0.10835587616471284</v>
      </c>
      <c r="H22" s="4">
        <f ca="1">_xlfn.RANK.EQ(apuestas_oct24[[#This Row],[desvio %]],apuestas_oct24[desvio %],1)</f>
        <v>23</v>
      </c>
      <c r="J22" s="66" t="s">
        <v>1112</v>
      </c>
      <c r="K22" s="10">
        <f ca="1">INDEX(apuestas_oct24[orden],MATCH(resultados_oct[Apuesta MiniPorra],apuestas_oct24[Apuesta Miniporra],0))</f>
        <v>23</v>
      </c>
      <c r="L22" s="6" t="str">
        <f>apuestas_oct24[[#This Row],[Nombre]]</f>
        <v>Rafael Tejada Bonilla</v>
      </c>
      <c r="M22" s="14">
        <f>apuestas_oct24[[#This Row],[Apuesta Miniporra]]</f>
        <v>73.75</v>
      </c>
      <c r="N22" s="14">
        <f ca="1">INDEX(apuestas_oct24[desvio],MATCH(resultados_oct[[#This Row],[Apuesta MiniPorra]],apuestas_oct24[Apuesta Miniporra],0))</f>
        <v>7.2099999999999937</v>
      </c>
      <c r="O22" s="13">
        <f ca="1">INDEX(apuestas_oct24[desvio %],MATCH(resultados_oct[[#This Row],[Apuesta MiniPorra]],apuestas_oct24[Apuesta Miniporra],0))</f>
        <v>0.10835587616471284</v>
      </c>
      <c r="P22" s="4">
        <v>16</v>
      </c>
      <c r="Q22" s="28">
        <f>IF(ISBLANK(omie!AF20),"",omie!AF20)</f>
        <v>48.84</v>
      </c>
      <c r="T22" s="28"/>
      <c r="U22" s="115"/>
      <c r="V22" s="115"/>
      <c r="W22" s="115"/>
    </row>
    <row r="23" spans="1:23" x14ac:dyDescent="0.2">
      <c r="A23" t="s">
        <v>1112</v>
      </c>
      <c r="B23" t="s">
        <v>1126</v>
      </c>
      <c r="C23" s="28">
        <v>72.58</v>
      </c>
      <c r="D23" t="s">
        <v>1127</v>
      </c>
      <c r="E23" t="s">
        <v>1128</v>
      </c>
      <c r="F23" s="28">
        <f ca="1">apuestas_oct24[[#This Row],[Apuesta Miniporra]]-$B$3</f>
        <v>6.039999999999992</v>
      </c>
      <c r="G23" s="68">
        <f ca="1">ABS(apuestas_oct24[[#This Row],[desvio]])/$B$3</f>
        <v>9.0772467688608222E-2</v>
      </c>
      <c r="H23" s="4">
        <f ca="1">_xlfn.RANK.EQ(apuestas_oct24[[#This Row],[desvio %]],apuestas_oct24[desvio %],1)</f>
        <v>20</v>
      </c>
      <c r="J23" s="66" t="s">
        <v>1112</v>
      </c>
      <c r="K23" s="10">
        <f ca="1">INDEX(apuestas_oct24[orden],MATCH(resultados_oct[Apuesta MiniPorra],apuestas_oct24[Apuesta Miniporra],0))</f>
        <v>20</v>
      </c>
      <c r="L23" s="6" t="str">
        <f>apuestas_oct24[[#This Row],[Nombre]]</f>
        <v>Cristoauditor Monasor Merino</v>
      </c>
      <c r="M23" s="14">
        <f>apuestas_oct24[[#This Row],[Apuesta Miniporra]]</f>
        <v>72.58</v>
      </c>
      <c r="N23" s="14">
        <f ca="1">INDEX(apuestas_oct24[desvio],MATCH(resultados_oct[[#This Row],[Apuesta MiniPorra]],apuestas_oct24[Apuesta Miniporra],0))</f>
        <v>6.039999999999992</v>
      </c>
      <c r="O23" s="13">
        <f ca="1">INDEX(apuestas_oct24[desvio %],MATCH(resultados_oct[[#This Row],[Apuesta MiniPorra]],apuestas_oct24[Apuesta Miniporra],0))</f>
        <v>9.0772467688608222E-2</v>
      </c>
      <c r="P23" s="4">
        <v>17</v>
      </c>
      <c r="Q23" s="28">
        <f>IF(ISBLANK(omie!AF21),"",omie!AF21)</f>
        <v>51.25</v>
      </c>
      <c r="T23" s="28"/>
      <c r="U23"/>
    </row>
    <row r="24" spans="1:23" x14ac:dyDescent="0.2">
      <c r="A24" t="s">
        <v>1112</v>
      </c>
      <c r="B24" t="s">
        <v>408</v>
      </c>
      <c r="C24" s="28">
        <v>72.45</v>
      </c>
      <c r="D24" t="s">
        <v>1129</v>
      </c>
      <c r="E24" t="s">
        <v>456</v>
      </c>
      <c r="F24" s="28">
        <f ca="1">apuestas_oct24[[#This Row],[Apuesta Miniporra]]-$B$3</f>
        <v>5.9099999999999966</v>
      </c>
      <c r="G24" s="68">
        <f ca="1">ABS(apuestas_oct24[[#This Row],[desvio]])/$B$3</f>
        <v>8.8818755635707791E-2</v>
      </c>
      <c r="H24" s="4">
        <f ca="1">_xlfn.RANK.EQ(apuestas_oct24[[#This Row],[desvio %]],apuestas_oct24[desvio %],1)</f>
        <v>19</v>
      </c>
      <c r="J24" s="66" t="s">
        <v>1112</v>
      </c>
      <c r="K24" s="10">
        <f ca="1">INDEX(apuestas_oct24[orden],MATCH(resultados_oct[Apuesta MiniPorra],apuestas_oct24[Apuesta Miniporra],0))</f>
        <v>19</v>
      </c>
      <c r="L24" s="6" t="str">
        <f>apuestas_oct24[[#This Row],[Nombre]]</f>
        <v>Julián Mateo Muñoz</v>
      </c>
      <c r="M24" s="14">
        <f>apuestas_oct24[[#This Row],[Apuesta Miniporra]]</f>
        <v>72.45</v>
      </c>
      <c r="N24" s="14">
        <f ca="1">INDEX(apuestas_oct24[desvio],MATCH(resultados_oct[[#This Row],[Apuesta MiniPorra]],apuestas_oct24[Apuesta Miniporra],0))</f>
        <v>5.9099999999999966</v>
      </c>
      <c r="O24" s="13">
        <f ca="1">INDEX(apuestas_oct24[desvio %],MATCH(resultados_oct[[#This Row],[Apuesta MiniPorra]],apuestas_oct24[Apuesta Miniporra],0))</f>
        <v>8.8818755635707791E-2</v>
      </c>
      <c r="P24" s="4">
        <v>18</v>
      </c>
      <c r="Q24" s="28">
        <f>IF(ISBLANK(omie!AF22),"",omie!AF22)</f>
        <v>51.99</v>
      </c>
      <c r="T24" s="28"/>
      <c r="U24"/>
    </row>
    <row r="25" spans="1:23" x14ac:dyDescent="0.2">
      <c r="A25" t="s">
        <v>1112</v>
      </c>
      <c r="B25" t="s">
        <v>219</v>
      </c>
      <c r="C25" s="28">
        <v>72.22</v>
      </c>
      <c r="D25" t="s">
        <v>118</v>
      </c>
      <c r="E25" t="s">
        <v>451</v>
      </c>
      <c r="F25" s="28">
        <f ca="1">apuestas_oct24[[#This Row],[Apuesta Miniporra]]-$B$3</f>
        <v>5.6799999999999926</v>
      </c>
      <c r="G25" s="68">
        <f ca="1">ABS(apuestas_oct24[[#This Row],[desvio]])/$B$3</f>
        <v>8.536218815749913E-2</v>
      </c>
      <c r="H25" s="4">
        <f ca="1">_xlfn.RANK.EQ(apuestas_oct24[[#This Row],[desvio %]],apuestas_oct24[desvio %],1)</f>
        <v>18</v>
      </c>
      <c r="J25" s="66" t="s">
        <v>1112</v>
      </c>
      <c r="K25" s="10">
        <f ca="1">INDEX(apuestas_oct24[orden],MATCH(resultados_oct[Apuesta MiniPorra],apuestas_oct24[Apuesta Miniporra],0))</f>
        <v>18</v>
      </c>
      <c r="L25" s="6" t="str">
        <f>apuestas_oct24[[#This Row],[Nombre]]</f>
        <v>Jaime Larrañaga Juez</v>
      </c>
      <c r="M25" s="14">
        <f>apuestas_oct24[[#This Row],[Apuesta Miniporra]]</f>
        <v>72.22</v>
      </c>
      <c r="N25" s="14">
        <f ca="1">INDEX(apuestas_oct24[desvio],MATCH(resultados_oct[[#This Row],[Apuesta MiniPorra]],apuestas_oct24[Apuesta Miniporra],0))</f>
        <v>5.6799999999999926</v>
      </c>
      <c r="O25" s="13">
        <f ca="1">INDEX(apuestas_oct24[desvio %],MATCH(resultados_oct[[#This Row],[Apuesta MiniPorra]],apuestas_oct24[Apuesta Miniporra],0))</f>
        <v>8.536218815749913E-2</v>
      </c>
      <c r="P25" s="4">
        <v>19</v>
      </c>
      <c r="Q25" s="28">
        <f>IF(ISBLANK(omie!AF23),"",omie!AF23)</f>
        <v>48.71</v>
      </c>
      <c r="T25" s="28"/>
      <c r="U25"/>
    </row>
    <row r="26" spans="1:23" x14ac:dyDescent="0.2">
      <c r="A26" t="s">
        <v>1112</v>
      </c>
      <c r="B26" t="s">
        <v>652</v>
      </c>
      <c r="C26" s="28">
        <v>71.739999999999995</v>
      </c>
      <c r="D26" t="s">
        <v>118</v>
      </c>
      <c r="E26" t="s">
        <v>637</v>
      </c>
      <c r="F26" s="28">
        <f ca="1">apuestas_oct24[[#This Row],[Apuesta Miniporra]]-$B$3</f>
        <v>5.1999999999999886</v>
      </c>
      <c r="G26" s="68">
        <f ca="1">ABS(apuestas_oct24[[#This Row],[desvio]])/$B$3</f>
        <v>7.8148482116020254E-2</v>
      </c>
      <c r="H26" s="4">
        <f ca="1">_xlfn.RANK.EQ(apuestas_oct24[[#This Row],[desvio %]],apuestas_oct24[desvio %],1)</f>
        <v>17</v>
      </c>
      <c r="J26" s="66" t="s">
        <v>1112</v>
      </c>
      <c r="K26" s="10">
        <f ca="1">INDEX(apuestas_oct24[orden],MATCH(resultados_oct[Apuesta MiniPorra],apuestas_oct24[Apuesta Miniporra],0))</f>
        <v>17</v>
      </c>
      <c r="L26" s="6" t="str">
        <f>apuestas_oct24[[#This Row],[Nombre]]</f>
        <v>Carlos Martin</v>
      </c>
      <c r="M26" s="14">
        <f>apuestas_oct24[[#This Row],[Apuesta Miniporra]]</f>
        <v>71.739999999999995</v>
      </c>
      <c r="N26" s="14">
        <f ca="1">INDEX(apuestas_oct24[desvio],MATCH(resultados_oct[[#This Row],[Apuesta MiniPorra]],apuestas_oct24[Apuesta Miniporra],0))</f>
        <v>5.1999999999999886</v>
      </c>
      <c r="O26" s="13">
        <f ca="1">INDEX(apuestas_oct24[desvio %],MATCH(resultados_oct[[#This Row],[Apuesta MiniPorra]],apuestas_oct24[Apuesta Miniporra],0))</f>
        <v>7.8148482116020254E-2</v>
      </c>
      <c r="P26" s="4">
        <v>20</v>
      </c>
      <c r="Q26" s="28">
        <f>IF(ISBLANK(omie!AF24),"",omie!AF24)</f>
        <v>44.66</v>
      </c>
      <c r="T26" s="28"/>
      <c r="U26"/>
    </row>
    <row r="27" spans="1:23" x14ac:dyDescent="0.2">
      <c r="A27" t="s">
        <v>1112</v>
      </c>
      <c r="B27" t="s">
        <v>474</v>
      </c>
      <c r="C27" s="28">
        <v>71.010000000000005</v>
      </c>
      <c r="D27" t="s">
        <v>118</v>
      </c>
      <c r="E27" t="s">
        <v>535</v>
      </c>
      <c r="F27" s="28">
        <f ca="1">apuestas_oct24[[#This Row],[Apuesta Miniporra]]-$B$3</f>
        <v>4.4699999999999989</v>
      </c>
      <c r="G27" s="68">
        <f ca="1">ABS(apuestas_oct24[[#This Row],[desvio]])/$B$3</f>
        <v>6.7177637511271399E-2</v>
      </c>
      <c r="H27" s="4">
        <f ca="1">_xlfn.RANK.EQ(apuestas_oct24[[#This Row],[desvio %]],apuestas_oct24[desvio %],1)</f>
        <v>16</v>
      </c>
      <c r="J27" s="66" t="s">
        <v>1112</v>
      </c>
      <c r="K27" s="10">
        <f ca="1">INDEX(apuestas_oct24[orden],MATCH(resultados_oct[Apuesta MiniPorra],apuestas_oct24[Apuesta Miniporra],0))</f>
        <v>16</v>
      </c>
      <c r="L27" s="6" t="str">
        <f>apuestas_oct24[[#This Row],[Nombre]]</f>
        <v>Javier Colón Cortegoso</v>
      </c>
      <c r="M27" s="14">
        <f>apuestas_oct24[[#This Row],[Apuesta Miniporra]]</f>
        <v>71.010000000000005</v>
      </c>
      <c r="N27" s="14">
        <f ca="1">INDEX(apuestas_oct24[desvio],MATCH(resultados_oct[[#This Row],[Apuesta MiniPorra]],apuestas_oct24[Apuesta Miniporra],0))</f>
        <v>4.4699999999999989</v>
      </c>
      <c r="O27" s="13">
        <f ca="1">INDEX(apuestas_oct24[desvio %],MATCH(resultados_oct[[#This Row],[Apuesta MiniPorra]],apuestas_oct24[Apuesta Miniporra],0))</f>
        <v>6.7177637511271399E-2</v>
      </c>
      <c r="P27" s="4">
        <v>21</v>
      </c>
      <c r="Q27" s="28">
        <f>IF(ISBLANK(omie!AF25),"",omie!AF25)</f>
        <v>93.63</v>
      </c>
      <c r="T27" s="28"/>
      <c r="U27"/>
    </row>
    <row r="28" spans="1:23" x14ac:dyDescent="0.2">
      <c r="A28" t="s">
        <v>1112</v>
      </c>
      <c r="B28" t="s">
        <v>414</v>
      </c>
      <c r="C28" s="28">
        <v>70.3</v>
      </c>
      <c r="D28" t="s">
        <v>118</v>
      </c>
      <c r="E28" t="s">
        <v>300</v>
      </c>
      <c r="F28" s="28">
        <f ca="1">apuestas_oct24[[#This Row],[Apuesta Miniporra]]-$B$3</f>
        <v>3.7599999999999909</v>
      </c>
      <c r="G28" s="68">
        <f ca="1">ABS(apuestas_oct24[[#This Row],[desvio]])/$B$3</f>
        <v>5.6507363991583869E-2</v>
      </c>
      <c r="H28" s="4">
        <f ca="1">_xlfn.RANK.EQ(apuestas_oct24[[#This Row],[desvio %]],apuestas_oct24[desvio %],1)</f>
        <v>14</v>
      </c>
      <c r="J28" s="66" t="s">
        <v>1112</v>
      </c>
      <c r="K28" s="10">
        <f ca="1">INDEX(apuestas_oct24[orden],MATCH(resultados_oct[Apuesta MiniPorra],apuestas_oct24[Apuesta Miniporra],0))</f>
        <v>14</v>
      </c>
      <c r="L28" s="6" t="str">
        <f>apuestas_oct24[[#This Row],[Nombre]]</f>
        <v>Laura Gómez López</v>
      </c>
      <c r="M28" s="14">
        <f>apuestas_oct24[[#This Row],[Apuesta Miniporra]]</f>
        <v>70.3</v>
      </c>
      <c r="N28" s="14">
        <f ca="1">INDEX(apuestas_oct24[desvio],MATCH(resultados_oct[[#This Row],[Apuesta MiniPorra]],apuestas_oct24[Apuesta Miniporra],0))</f>
        <v>3.7599999999999909</v>
      </c>
      <c r="O28" s="13">
        <f ca="1">INDEX(apuestas_oct24[desvio %],MATCH(resultados_oct[[#This Row],[Apuesta MiniPorra]],apuestas_oct24[Apuesta Miniporra],0))</f>
        <v>5.6507363991583869E-2</v>
      </c>
      <c r="P28" s="4">
        <v>22</v>
      </c>
      <c r="Q28" s="28">
        <f>IF(ISBLANK(omie!AF26),"",omie!AF26)</f>
        <v>80.180000000000007</v>
      </c>
      <c r="T28" s="28"/>
      <c r="U28"/>
    </row>
    <row r="29" spans="1:23" x14ac:dyDescent="0.2">
      <c r="A29" t="s">
        <v>1112</v>
      </c>
      <c r="B29" t="s">
        <v>542</v>
      </c>
      <c r="C29" s="28">
        <v>70.069999999999993</v>
      </c>
      <c r="D29" t="s">
        <v>1130</v>
      </c>
      <c r="E29" t="s">
        <v>542</v>
      </c>
      <c r="F29" s="28">
        <f ca="1">apuestas_oct24[[#This Row],[Apuesta Miniporra]]-$B$3</f>
        <v>3.5299999999999869</v>
      </c>
      <c r="G29" s="68">
        <f ca="1">ABS(apuestas_oct24[[#This Row],[desvio]])/$B$3</f>
        <v>5.3050796513375215E-2</v>
      </c>
      <c r="H29" s="4">
        <f ca="1">_xlfn.RANK.EQ(apuestas_oct24[[#This Row],[desvio %]],apuestas_oct24[desvio %],1)</f>
        <v>13</v>
      </c>
      <c r="J29" s="66" t="s">
        <v>1112</v>
      </c>
      <c r="K29" s="10">
        <f ca="1">INDEX(apuestas_oct24[orden],MATCH(resultados_oct[Apuesta MiniPorra],apuestas_oct24[Apuesta Miniporra],0))</f>
        <v>13</v>
      </c>
      <c r="L29" s="6" t="str">
        <f>apuestas_oct24[[#This Row],[Nombre]]</f>
        <v>Sergio Alfonso</v>
      </c>
      <c r="M29" s="14">
        <f>apuestas_oct24[[#This Row],[Apuesta Miniporra]]</f>
        <v>70.069999999999993</v>
      </c>
      <c r="N29" s="14">
        <f ca="1">INDEX(apuestas_oct24[desvio],MATCH(resultados_oct[[#This Row],[Apuesta MiniPorra]],apuestas_oct24[Apuesta Miniporra],0))</f>
        <v>3.5299999999999869</v>
      </c>
      <c r="O29" s="13">
        <f ca="1">INDEX(apuestas_oct24[desvio %],MATCH(resultados_oct[[#This Row],[Apuesta MiniPorra]],apuestas_oct24[Apuesta Miniporra],0))</f>
        <v>5.3050796513375215E-2</v>
      </c>
      <c r="P29" s="4">
        <v>23</v>
      </c>
      <c r="Q29" s="28">
        <f>IF(ISBLANK(omie!AF27),"",omie!AF27)</f>
        <v>87.23</v>
      </c>
      <c r="T29" s="28"/>
      <c r="U29"/>
    </row>
    <row r="30" spans="1:23" x14ac:dyDescent="0.2">
      <c r="A30" t="s">
        <v>1112</v>
      </c>
      <c r="B30" t="s">
        <v>406</v>
      </c>
      <c r="C30" s="28">
        <v>70</v>
      </c>
      <c r="D30" t="s">
        <v>118</v>
      </c>
      <c r="E30" t="s">
        <v>471</v>
      </c>
      <c r="F30" s="28">
        <f ca="1">apuestas_oct24[[#This Row],[Apuesta Miniporra]]-$B$3</f>
        <v>3.4599999999999937</v>
      </c>
      <c r="G30" s="68">
        <f ca="1">ABS(apuestas_oct24[[#This Row],[desvio]])/$B$3</f>
        <v>5.1998797715659656E-2</v>
      </c>
      <c r="H30" s="4">
        <f ca="1">_xlfn.RANK.EQ(apuestas_oct24[[#This Row],[desvio %]],apuestas_oct24[desvio %],1)</f>
        <v>12</v>
      </c>
      <c r="J30" s="66" t="s">
        <v>1112</v>
      </c>
      <c r="K30" s="10">
        <f ca="1">INDEX(apuestas_oct24[orden],MATCH(resultados_oct[Apuesta MiniPorra],apuestas_oct24[Apuesta Miniporra],0))</f>
        <v>12</v>
      </c>
      <c r="L30" s="6" t="str">
        <f>apuestas_oct24[[#This Row],[Nombre]]</f>
        <v>Javier Pérez Salazar</v>
      </c>
      <c r="M30" s="14">
        <f>apuestas_oct24[[#This Row],[Apuesta Miniporra]]</f>
        <v>70</v>
      </c>
      <c r="N30" s="14">
        <f ca="1">INDEX(apuestas_oct24[desvio],MATCH(resultados_oct[[#This Row],[Apuesta MiniPorra]],apuestas_oct24[Apuesta Miniporra],0))</f>
        <v>3.4599999999999937</v>
      </c>
      <c r="O30" s="13">
        <f ca="1">INDEX(apuestas_oct24[desvio %],MATCH(resultados_oct[[#This Row],[Apuesta MiniPorra]],apuestas_oct24[Apuesta Miniporra],0))</f>
        <v>5.1998797715659656E-2</v>
      </c>
      <c r="P30" s="4">
        <v>24</v>
      </c>
      <c r="Q30" s="28">
        <f>IF(ISBLANK(omie!AF28),"",omie!AF28)</f>
        <v>70.19</v>
      </c>
      <c r="T30" s="28"/>
      <c r="U30"/>
    </row>
    <row r="31" spans="1:23" x14ac:dyDescent="0.2">
      <c r="A31" t="s">
        <v>1112</v>
      </c>
      <c r="B31" t="s">
        <v>217</v>
      </c>
      <c r="C31" s="28">
        <v>69.959999999999994</v>
      </c>
      <c r="D31" t="s">
        <v>118</v>
      </c>
      <c r="E31" t="s">
        <v>123</v>
      </c>
      <c r="F31" s="28">
        <f ca="1">apuestas_oct24[[#This Row],[Apuesta Miniporra]]-$B$3</f>
        <v>3.4199999999999875</v>
      </c>
      <c r="G31" s="68">
        <f ca="1">ABS(apuestas_oct24[[#This Row],[desvio]])/$B$3</f>
        <v>5.1397655545536325E-2</v>
      </c>
      <c r="H31" s="4">
        <f ca="1">_xlfn.RANK.EQ(apuestas_oct24[[#This Row],[desvio %]],apuestas_oct24[desvio %],1)</f>
        <v>11</v>
      </c>
      <c r="J31" s="66" t="s">
        <v>1112</v>
      </c>
      <c r="K31" s="10">
        <f ca="1">INDEX(apuestas_oct24[orden],MATCH(resultados_oct[Apuesta MiniPorra],apuestas_oct24[Apuesta Miniporra],0))</f>
        <v>11</v>
      </c>
      <c r="L31" s="6" t="str">
        <f>apuestas_oct24[[#This Row],[Nombre]]</f>
        <v>Fernando Sánchez-Rey Maeso</v>
      </c>
      <c r="M31" s="14">
        <f>apuestas_oct24[[#This Row],[Apuesta Miniporra]]</f>
        <v>69.959999999999994</v>
      </c>
      <c r="N31" s="14">
        <f ca="1">INDEX(apuestas_oct24[desvio],MATCH(resultados_oct[[#This Row],[Apuesta MiniPorra]],apuestas_oct24[Apuesta Miniporra],0))</f>
        <v>3.4199999999999875</v>
      </c>
      <c r="O31" s="13">
        <f ca="1">INDEX(apuestas_oct24[desvio %],MATCH(resultados_oct[[#This Row],[Apuesta MiniPorra]],apuestas_oct24[Apuesta Miniporra],0))</f>
        <v>5.1397655545536325E-2</v>
      </c>
      <c r="P31" s="4">
        <v>25</v>
      </c>
      <c r="Q31" s="28">
        <f>IF(ISBLANK(omie!AF29),"",omie!AF29)</f>
        <v>63.8</v>
      </c>
      <c r="T31" s="28"/>
      <c r="U31"/>
    </row>
    <row r="32" spans="1:23" x14ac:dyDescent="0.2">
      <c r="A32" t="s">
        <v>1112</v>
      </c>
      <c r="B32" t="s">
        <v>785</v>
      </c>
      <c r="C32" s="28">
        <v>69.36</v>
      </c>
      <c r="D32" t="s">
        <v>118</v>
      </c>
      <c r="E32" t="s">
        <v>733</v>
      </c>
      <c r="F32" s="28">
        <f ca="1">apuestas_oct24[[#This Row],[Apuesta Miniporra]]-$B$3</f>
        <v>2.8199999999999932</v>
      </c>
      <c r="G32" s="68">
        <f ca="1">ABS(apuestas_oct24[[#This Row],[desvio]])/$B$3</f>
        <v>4.23805229936879E-2</v>
      </c>
      <c r="H32" s="4">
        <f ca="1">_xlfn.RANK.EQ(apuestas_oct24[[#This Row],[desvio %]],apuestas_oct24[desvio %],1)</f>
        <v>10</v>
      </c>
      <c r="J32" s="66" t="s">
        <v>1112</v>
      </c>
      <c r="K32" s="10">
        <f ca="1">INDEX(apuestas_oct24[orden],MATCH(resultados_oct[Apuesta MiniPorra],apuestas_oct24[Apuesta Miniporra],0))</f>
        <v>10</v>
      </c>
      <c r="L32" s="6" t="str">
        <f>apuestas_oct24[[#This Row],[Nombre]]</f>
        <v>Víctor Baeschlin Sánchez</v>
      </c>
      <c r="M32" s="14">
        <f>apuestas_oct24[[#This Row],[Apuesta Miniporra]]</f>
        <v>69.36</v>
      </c>
      <c r="N32" s="14">
        <f ca="1">INDEX(apuestas_oct24[desvio],MATCH(resultados_oct[[#This Row],[Apuesta MiniPorra]],apuestas_oct24[Apuesta Miniporra],0))</f>
        <v>2.8199999999999932</v>
      </c>
      <c r="O32" s="13">
        <f ca="1">INDEX(apuestas_oct24[desvio %],MATCH(resultados_oct[[#This Row],[Apuesta MiniPorra]],apuestas_oct24[Apuesta Miniporra],0))</f>
        <v>4.23805229936879E-2</v>
      </c>
      <c r="P32" s="4">
        <v>26</v>
      </c>
      <c r="Q32" s="28" t="str">
        <f>IF(ISBLANK(omie!AF31),"",omie!AF31)</f>
        <v/>
      </c>
      <c r="T32" s="28"/>
      <c r="U32"/>
    </row>
    <row r="33" spans="1:21" x14ac:dyDescent="0.2">
      <c r="A33" t="s">
        <v>1112</v>
      </c>
      <c r="B33" t="s">
        <v>409</v>
      </c>
      <c r="C33" s="28">
        <v>69.08</v>
      </c>
      <c r="D33" t="s">
        <v>1132</v>
      </c>
      <c r="E33" t="s">
        <v>462</v>
      </c>
      <c r="F33" s="28">
        <f ca="1">apuestas_oct24[[#This Row],[Apuesta Miniporra]]-$B$3</f>
        <v>2.539999999999992</v>
      </c>
      <c r="G33" s="68">
        <f ca="1">ABS(apuestas_oct24[[#This Row],[desvio]])/$B$3</f>
        <v>3.8172527802825242E-2</v>
      </c>
      <c r="H33" s="4">
        <f ca="1">_xlfn.RANK.EQ(apuestas_oct24[[#This Row],[desvio %]],apuestas_oct24[desvio %],1)</f>
        <v>9</v>
      </c>
      <c r="J33" s="66" t="s">
        <v>1112</v>
      </c>
      <c r="K33" s="10">
        <f ca="1">INDEX(apuestas_oct24[orden],MATCH(resultados_oct[Apuesta MiniPorra],apuestas_oct24[Apuesta Miniporra],0))</f>
        <v>9</v>
      </c>
      <c r="L33" s="6" t="str">
        <f>apuestas_oct24[[#This Row],[Nombre]]</f>
        <v>Gladys Rocha Blanco</v>
      </c>
      <c r="M33" s="14">
        <f>apuestas_oct24[[#This Row],[Apuesta Miniporra]]</f>
        <v>69.08</v>
      </c>
      <c r="N33" s="14">
        <f ca="1">INDEX(apuestas_oct24[desvio],MATCH(resultados_oct[[#This Row],[Apuesta MiniPorra]],apuestas_oct24[Apuesta Miniporra],0))</f>
        <v>2.539999999999992</v>
      </c>
      <c r="O33" s="13">
        <f ca="1">INDEX(apuestas_oct24[desvio %],MATCH(resultados_oct[[#This Row],[Apuesta MiniPorra]],apuestas_oct24[Apuesta Miniporra],0))</f>
        <v>3.8172527802825242E-2</v>
      </c>
      <c r="P33" s="4">
        <v>27</v>
      </c>
      <c r="Q33" s="28" t="str">
        <f>IF(ISBLANK(omie!AF32),"",omie!AF32)</f>
        <v/>
      </c>
      <c r="T33" s="28"/>
      <c r="U33"/>
    </row>
    <row r="34" spans="1:21" x14ac:dyDescent="0.2">
      <c r="A34" t="s">
        <v>1112</v>
      </c>
      <c r="B34" t="s">
        <v>328</v>
      </c>
      <c r="C34" s="28">
        <v>69.03</v>
      </c>
      <c r="D34" t="s">
        <v>118</v>
      </c>
      <c r="E34" t="s">
        <v>328</v>
      </c>
      <c r="F34" s="28">
        <f ca="1">apuestas_oct24[[#This Row],[Apuesta Miniporra]]-$B$3</f>
        <v>2.4899999999999949</v>
      </c>
      <c r="G34" s="68">
        <f ca="1">ABS(apuestas_oct24[[#This Row],[desvio]])/$B$3</f>
        <v>3.7421100090171244E-2</v>
      </c>
      <c r="H34" s="4">
        <f ca="1">_xlfn.RANK.EQ(apuestas_oct24[[#This Row],[desvio %]],apuestas_oct24[desvio %],1)</f>
        <v>8</v>
      </c>
      <c r="J34" s="66" t="s">
        <v>1112</v>
      </c>
      <c r="K34" s="10">
        <f ca="1">INDEX(apuestas_oct24[orden],MATCH(resultados_oct[Apuesta MiniPorra],apuestas_oct24[Apuesta Miniporra],0))</f>
        <v>8</v>
      </c>
      <c r="L34" s="6" t="str">
        <f>apuestas_oct24[[#This Row],[Nombre]]</f>
        <v>Aitor Folch</v>
      </c>
      <c r="M34" s="14">
        <f>apuestas_oct24[[#This Row],[Apuesta Miniporra]]</f>
        <v>69.03</v>
      </c>
      <c r="N34" s="14">
        <f ca="1">INDEX(apuestas_oct24[desvio],MATCH(resultados_oct[[#This Row],[Apuesta MiniPorra]],apuestas_oct24[Apuesta Miniporra],0))</f>
        <v>2.4899999999999949</v>
      </c>
      <c r="O34" s="13">
        <f ca="1">INDEX(apuestas_oct24[desvio %],MATCH(resultados_oct[[#This Row],[Apuesta MiniPorra]],apuestas_oct24[Apuesta Miniporra],0))</f>
        <v>3.7421100090171244E-2</v>
      </c>
      <c r="P34" s="4">
        <v>28</v>
      </c>
      <c r="Q34" s="28" t="str">
        <f>IF(ISBLANK(omie!AF33),"",omie!AF33)</f>
        <v/>
      </c>
      <c r="T34" s="28"/>
      <c r="U34"/>
    </row>
    <row r="35" spans="1:21" x14ac:dyDescent="0.2">
      <c r="A35" t="s">
        <v>1112</v>
      </c>
      <c r="B35" t="s">
        <v>413</v>
      </c>
      <c r="C35" s="28">
        <v>68.680000000000007</v>
      </c>
      <c r="D35" t="s">
        <v>118</v>
      </c>
      <c r="E35" t="s">
        <v>317</v>
      </c>
      <c r="F35" s="28">
        <f ca="1">apuestas_oct24[[#This Row],[Apuesta Miniporra]]-$B$3</f>
        <v>2.1400000000000006</v>
      </c>
      <c r="G35" s="68">
        <f ca="1">ABS(apuestas_oct24[[#This Row],[desvio]])/$B$3</f>
        <v>3.2161106101593034E-2</v>
      </c>
      <c r="H35" s="4">
        <f ca="1">_xlfn.RANK.EQ(apuestas_oct24[[#This Row],[desvio %]],apuestas_oct24[desvio %],1)</f>
        <v>7</v>
      </c>
      <c r="J35" s="66" t="s">
        <v>1112</v>
      </c>
      <c r="K35" s="10">
        <f ca="1">INDEX(apuestas_oct24[orden],MATCH(resultados_oct[Apuesta MiniPorra],apuestas_oct24[Apuesta Miniporra],0))</f>
        <v>7</v>
      </c>
      <c r="L35" s="6" t="str">
        <f>apuestas_oct24[[#This Row],[Nombre]]</f>
        <v>Beatriz Muñoz Rioboo</v>
      </c>
      <c r="M35" s="14">
        <f>apuestas_oct24[[#This Row],[Apuesta Miniporra]]</f>
        <v>68.680000000000007</v>
      </c>
      <c r="N35" s="14">
        <f ca="1">INDEX(apuestas_oct24[desvio],MATCH(resultados_oct[[#This Row],[Apuesta MiniPorra]],apuestas_oct24[Apuesta Miniporra],0))</f>
        <v>2.1400000000000006</v>
      </c>
      <c r="O35" s="13">
        <f ca="1">INDEX(apuestas_oct24[desvio %],MATCH(resultados_oct[[#This Row],[Apuesta MiniPorra]],apuestas_oct24[Apuesta Miniporra],0))</f>
        <v>3.2161106101593034E-2</v>
      </c>
      <c r="P35" s="4">
        <v>29</v>
      </c>
      <c r="Q35" s="28" t="str">
        <f>IF(ISBLANK(omie!AF34),"",omie!AF34)</f>
        <v/>
      </c>
      <c r="T35" s="28"/>
      <c r="U35"/>
    </row>
    <row r="36" spans="1:21" x14ac:dyDescent="0.2">
      <c r="A36" t="s">
        <v>1112</v>
      </c>
      <c r="B36" t="s">
        <v>222</v>
      </c>
      <c r="C36" s="28">
        <v>68.08</v>
      </c>
      <c r="D36" t="s">
        <v>1133</v>
      </c>
      <c r="E36" t="s">
        <v>178</v>
      </c>
      <c r="F36" s="28">
        <f ca="1">apuestas_oct24[[#This Row],[Apuesta Miniporra]]-$B$3</f>
        <v>1.539999999999992</v>
      </c>
      <c r="G36" s="68">
        <f ca="1">ABS(apuestas_oct24[[#This Row],[desvio]])/$B$3</f>
        <v>2.3143973549744394E-2</v>
      </c>
      <c r="H36" s="4">
        <f ca="1">_xlfn.RANK.EQ(apuestas_oct24[[#This Row],[desvio %]],apuestas_oct24[desvio %],1)</f>
        <v>6</v>
      </c>
      <c r="J36" s="66" t="s">
        <v>1112</v>
      </c>
      <c r="K36" s="4">
        <f ca="1">INDEX(apuestas_oct24[orden],MATCH(resultados_oct[Apuesta MiniPorra],apuestas_oct24[Apuesta Miniporra],0))</f>
        <v>6</v>
      </c>
      <c r="L36" s="63" t="str">
        <f>apuestas_oct24[[#This Row],[Nombre]]</f>
        <v>Jose F Vidal</v>
      </c>
      <c r="M36" s="28">
        <f>apuestas_oct24[[#This Row],[Apuesta Miniporra]]</f>
        <v>68.08</v>
      </c>
      <c r="N36" s="4">
        <f ca="1">INDEX(apuestas_oct24[desvio],MATCH(resultados_oct[[#This Row],[Apuesta MiniPorra]],apuestas_oct24[Apuesta Miniporra],0))</f>
        <v>1.539999999999992</v>
      </c>
      <c r="O36" s="13">
        <f ca="1">INDEX(apuestas_oct24[desvio %],MATCH(resultados_oct[[#This Row],[Apuesta MiniPorra]],apuestas_oct24[Apuesta Miniporra],0))</f>
        <v>2.3143973549744394E-2</v>
      </c>
      <c r="P36" s="4">
        <v>30</v>
      </c>
      <c r="Q36" s="28" t="str">
        <f>IF(ISBLANK(omie!AF35),"",omie!AF35)</f>
        <v/>
      </c>
      <c r="T36"/>
      <c r="U36"/>
    </row>
    <row r="37" spans="1:21" x14ac:dyDescent="0.2">
      <c r="A37" t="s">
        <v>1112</v>
      </c>
      <c r="B37" t="s">
        <v>221</v>
      </c>
      <c r="C37" s="28">
        <v>67.849999999999994</v>
      </c>
      <c r="D37" t="s">
        <v>118</v>
      </c>
      <c r="E37" t="s">
        <v>124</v>
      </c>
      <c r="F37" s="28">
        <f ca="1">apuestas_oct24[[#This Row],[Apuesta Miniporra]]-$B$3</f>
        <v>1.3099999999999881</v>
      </c>
      <c r="G37" s="68">
        <f ca="1">ABS(apuestas_oct24[[#This Row],[desvio]])/$B$3</f>
        <v>1.9687406071535737E-2</v>
      </c>
      <c r="H37" s="4">
        <f ca="1">_xlfn.RANK.EQ(apuestas_oct24[[#This Row],[desvio %]],apuestas_oct24[desvio %],1)</f>
        <v>4</v>
      </c>
      <c r="J37" s="66" t="s">
        <v>1112</v>
      </c>
      <c r="K37" s="4">
        <f ca="1">INDEX(apuestas_oct24[orden],MATCH(resultados_oct[Apuesta MiniPorra],apuestas_oct24[Apuesta Miniporra],0))</f>
        <v>4</v>
      </c>
      <c r="L37" s="63" t="str">
        <f>apuestas_oct24[[#This Row],[Nombre]]</f>
        <v>Alfonso Lezcano</v>
      </c>
      <c r="M37" s="28">
        <f>apuestas_oct24[[#This Row],[Apuesta Miniporra]]</f>
        <v>67.849999999999994</v>
      </c>
      <c r="N37" s="4">
        <f ca="1">INDEX(apuestas_oct24[desvio],MATCH(resultados_oct[[#This Row],[Apuesta MiniPorra]],apuestas_oct24[Apuesta Miniporra],0))</f>
        <v>1.3099999999999881</v>
      </c>
      <c r="O37" s="13">
        <f ca="1">INDEX(apuestas_oct24[desvio %],MATCH(resultados_oct[[#This Row],[Apuesta MiniPorra]],apuestas_oct24[Apuesta Miniporra],0))</f>
        <v>1.9687406071535737E-2</v>
      </c>
      <c r="P37" s="4">
        <v>31</v>
      </c>
      <c r="Q37" s="98" t="str">
        <f>IF(ISBLANK(omie!AF36),"",omie!AF36)</f>
        <v/>
      </c>
      <c r="T37"/>
      <c r="U37"/>
    </row>
    <row r="38" spans="1:21" x14ac:dyDescent="0.2">
      <c r="A38" t="s">
        <v>1112</v>
      </c>
      <c r="B38" t="s">
        <v>363</v>
      </c>
      <c r="C38" s="28">
        <v>66.400000000000006</v>
      </c>
      <c r="D38" t="s">
        <v>118</v>
      </c>
      <c r="E38" t="s">
        <v>76</v>
      </c>
      <c r="F38" s="28">
        <f ca="1">apuestas_oct24[[#This Row],[Apuesta Miniporra]]-$B$3</f>
        <v>-0.14000000000000057</v>
      </c>
      <c r="G38" s="68">
        <f ca="1">ABS(apuestas_oct24[[#This Row],[desvio]])/$B$3</f>
        <v>2.1039975954313278E-3</v>
      </c>
      <c r="H38" s="4">
        <f ca="1">_xlfn.RANK.EQ(apuestas_oct24[[#This Row],[desvio %]],apuestas_oct24[desvio %],1)</f>
        <v>1</v>
      </c>
      <c r="J38" s="66" t="s">
        <v>1112</v>
      </c>
      <c r="K38" s="4">
        <f ca="1">INDEX(apuestas_oct24[orden],MATCH(resultados_oct[Apuesta MiniPorra],apuestas_oct24[Apuesta Miniporra],0))</f>
        <v>1</v>
      </c>
      <c r="L38" s="63" t="str">
        <f>apuestas_oct24[[#This Row],[Nombre]]</f>
        <v>Roque Alonso Alonso</v>
      </c>
      <c r="M38" s="28">
        <f>apuestas_oct24[[#This Row],[Apuesta Miniporra]]</f>
        <v>66.400000000000006</v>
      </c>
      <c r="N38" s="4">
        <f ca="1">INDEX(apuestas_oct24[desvio],MATCH(resultados_oct[[#This Row],[Apuesta MiniPorra]],apuestas_oct24[Apuesta Miniporra],0))</f>
        <v>-0.14000000000000057</v>
      </c>
      <c r="O38" s="13">
        <f ca="1">INDEX(apuestas_oct24[desvio %],MATCH(resultados_oct[[#This Row],[Apuesta MiniPorra]],apuestas_oct24[Apuesta Miniporra],0))</f>
        <v>2.1039975954313278E-3</v>
      </c>
      <c r="Q38" s="78"/>
      <c r="U38" s="42"/>
    </row>
    <row r="39" spans="1:21" x14ac:dyDescent="0.2">
      <c r="A39" t="s">
        <v>1112</v>
      </c>
      <c r="B39" t="s">
        <v>1103</v>
      </c>
      <c r="C39" s="28">
        <v>66.25</v>
      </c>
      <c r="D39" t="s">
        <v>118</v>
      </c>
      <c r="E39" t="s">
        <v>1103</v>
      </c>
      <c r="F39" s="28">
        <f ca="1">apuestas_oct24[[#This Row],[Apuesta Miniporra]]-$B$3</f>
        <v>-0.29000000000000625</v>
      </c>
      <c r="G39" s="68">
        <f ca="1">ABS(apuestas_oct24[[#This Row],[desvio]])/$B$3</f>
        <v>4.3582807333935412E-3</v>
      </c>
      <c r="H39" s="4">
        <f ca="1">_xlfn.RANK.EQ(apuestas_oct24[[#This Row],[desvio %]],apuestas_oct24[desvio %],1)</f>
        <v>2</v>
      </c>
      <c r="J39" s="66" t="s">
        <v>1112</v>
      </c>
      <c r="K39" s="4">
        <f ca="1">INDEX(apuestas_oct24[orden],MATCH(resultados_oct[Apuesta MiniPorra],apuestas_oct24[Apuesta Miniporra],0))</f>
        <v>2</v>
      </c>
      <c r="L39" s="63" t="str">
        <f>apuestas_oct24[[#This Row],[Nombre]]</f>
        <v>Josep Vidal</v>
      </c>
      <c r="M39" s="28">
        <f>apuestas_oct24[[#This Row],[Apuesta Miniporra]]</f>
        <v>66.25</v>
      </c>
      <c r="N39" s="4">
        <f ca="1">INDEX(apuestas_oct24[desvio],MATCH(resultados_oct[[#This Row],[Apuesta MiniPorra]],apuestas_oct24[Apuesta Miniporra],0))</f>
        <v>-0.29000000000000625</v>
      </c>
      <c r="O39" s="13">
        <f ca="1">INDEX(apuestas_oct24[desvio %],MATCH(resultados_oct[[#This Row],[Apuesta MiniPorra]],apuestas_oct24[Apuesta Miniporra],0))</f>
        <v>4.3582807333935412E-3</v>
      </c>
      <c r="P39" s="78"/>
      <c r="Q39" s="78"/>
      <c r="U39" s="42"/>
    </row>
    <row r="40" spans="1:21" x14ac:dyDescent="0.2">
      <c r="A40" t="s">
        <v>1112</v>
      </c>
      <c r="B40" t="s">
        <v>1106</v>
      </c>
      <c r="C40" s="28">
        <v>65.36</v>
      </c>
      <c r="D40" t="s">
        <v>1134</v>
      </c>
      <c r="E40" t="s">
        <v>1087</v>
      </c>
      <c r="F40" s="28">
        <f ca="1">apuestas_oct24[[#This Row],[Apuesta Miniporra]]-$B$3</f>
        <v>-1.1800000000000068</v>
      </c>
      <c r="G40" s="68">
        <f ca="1">ABS(apuestas_oct24[[#This Row],[desvio]])/$B$3</f>
        <v>1.7733694018635508E-2</v>
      </c>
      <c r="H40" s="4">
        <f ca="1">_xlfn.RANK.EQ(apuestas_oct24[[#This Row],[desvio %]],apuestas_oct24[desvio %],1)</f>
        <v>3</v>
      </c>
      <c r="J40" s="66" t="s">
        <v>1112</v>
      </c>
      <c r="K40" s="4">
        <f ca="1">INDEX(apuestas_oct24[orden],MATCH(resultados_oct[Apuesta MiniPorra],apuestas_oct24[Apuesta Miniporra],0))</f>
        <v>3</v>
      </c>
      <c r="L40" s="63" t="str">
        <f>apuestas_oct24[[#This Row],[Nombre]]</f>
        <v>Ruben Sanjuan Escribano</v>
      </c>
      <c r="M40" s="28">
        <f>apuestas_oct24[[#This Row],[Apuesta Miniporra]]</f>
        <v>65.36</v>
      </c>
      <c r="N40" s="4">
        <f ca="1">INDEX(apuestas_oct24[desvio],MATCH(resultados_oct[[#This Row],[Apuesta MiniPorra]],apuestas_oct24[Apuesta Miniporra],0))</f>
        <v>-1.1800000000000068</v>
      </c>
      <c r="O40" s="13">
        <f ca="1">INDEX(apuestas_oct24[desvio %],MATCH(resultados_oct[[#This Row],[Apuesta MiniPorra]],apuestas_oct24[Apuesta Miniporra],0))</f>
        <v>1.7733694018635508E-2</v>
      </c>
      <c r="P40" s="78"/>
      <c r="Q40" s="78"/>
      <c r="U40" s="42"/>
    </row>
    <row r="41" spans="1:21" x14ac:dyDescent="0.2">
      <c r="A41" t="s">
        <v>1112</v>
      </c>
      <c r="B41" t="s">
        <v>1028</v>
      </c>
      <c r="C41" s="28">
        <v>65.23</v>
      </c>
      <c r="D41" t="s">
        <v>770</v>
      </c>
      <c r="E41" t="s">
        <v>1098</v>
      </c>
      <c r="F41" s="28">
        <f ca="1">apuestas_oct24[[#This Row],[Apuesta Miniporra]]-$B$3</f>
        <v>-1.3100000000000023</v>
      </c>
      <c r="G41" s="68">
        <f ca="1">ABS(apuestas_oct24[[#This Row],[desvio]])/$B$3</f>
        <v>1.9687406071535952E-2</v>
      </c>
      <c r="H41" s="4">
        <f ca="1">_xlfn.RANK.EQ(apuestas_oct24[[#This Row],[desvio %]],apuestas_oct24[desvio %],1)</f>
        <v>5</v>
      </c>
      <c r="J41" s="66" t="s">
        <v>1112</v>
      </c>
      <c r="K41" s="4">
        <f ca="1">INDEX(apuestas_oct24[orden],MATCH(resultados_oct[Apuesta MiniPorra],apuestas_oct24[Apuesta Miniporra],0))</f>
        <v>5</v>
      </c>
      <c r="L41" s="63" t="str">
        <f>apuestas_oct24[[#This Row],[Nombre]]</f>
        <v>Ricardo Estévez Solís</v>
      </c>
      <c r="M41" s="28">
        <f>apuestas_oct24[[#This Row],[Apuesta Miniporra]]</f>
        <v>65.23</v>
      </c>
      <c r="N41" s="4">
        <f ca="1">INDEX(apuestas_oct24[desvio],MATCH(resultados_oct[[#This Row],[Apuesta MiniPorra]],apuestas_oct24[Apuesta Miniporra],0))</f>
        <v>-1.3100000000000023</v>
      </c>
      <c r="O41" s="13">
        <f ca="1">INDEX(apuestas_oct24[desvio %],MATCH(resultados_oct[[#This Row],[Apuesta MiniPorra]],apuestas_oct24[Apuesta Miniporra],0))</f>
        <v>1.9687406071535952E-2</v>
      </c>
      <c r="P41" s="78"/>
      <c r="Q41" s="78"/>
      <c r="U41" s="42"/>
    </row>
    <row r="42" spans="1:21" x14ac:dyDescent="0.2">
      <c r="A42" t="s">
        <v>1112</v>
      </c>
      <c r="B42" t="s">
        <v>1135</v>
      </c>
      <c r="C42" s="28">
        <v>62.4</v>
      </c>
      <c r="D42" t="s">
        <v>118</v>
      </c>
      <c r="E42" t="s">
        <v>1136</v>
      </c>
      <c r="F42" s="28">
        <f ca="1">apuestas_oct24[[#This Row],[Apuesta Miniporra]]-$B$3</f>
        <v>-4.1400000000000077</v>
      </c>
      <c r="G42" s="68">
        <f ca="1">ABS(apuestas_oct24[[#This Row],[desvio]])/$B$3</f>
        <v>6.221821460775484E-2</v>
      </c>
      <c r="H42" s="4">
        <f ca="1">_xlfn.RANK.EQ(apuestas_oct24[[#This Row],[desvio %]],apuestas_oct24[desvio %],1)</f>
        <v>15</v>
      </c>
      <c r="J42" s="66" t="s">
        <v>1112</v>
      </c>
      <c r="K42" s="4">
        <f ca="1">INDEX(apuestas_oct24[orden],MATCH(resultados_oct[Apuesta MiniPorra],apuestas_oct24[Apuesta Miniporra],0))</f>
        <v>15</v>
      </c>
      <c r="L42" t="str">
        <f>apuestas_oct24[[#This Row],[Nombre]]</f>
        <v>Diego Montesino</v>
      </c>
      <c r="M42" s="28">
        <f>apuestas_oct24[[#This Row],[Apuesta Miniporra]]</f>
        <v>62.4</v>
      </c>
      <c r="N42" s="4">
        <f ca="1">INDEX(apuestas_oct24[desvio],MATCH(resultados_oct[[#This Row],[Apuesta MiniPorra]],apuestas_oct24[Apuesta Miniporra],0))</f>
        <v>-4.1400000000000077</v>
      </c>
      <c r="O42" s="13">
        <f ca="1">INDEX(apuestas_oct24[desvio %],MATCH(resultados_oct[[#This Row],[Apuesta MiniPorra]],apuestas_oct24[Apuesta Miniporra],0))</f>
        <v>6.221821460775484E-2</v>
      </c>
      <c r="P42" s="78"/>
      <c r="Q42" s="78"/>
      <c r="U42" s="42"/>
    </row>
    <row r="43" spans="1:21" x14ac:dyDescent="0.2">
      <c r="A43" t="s">
        <v>1112</v>
      </c>
      <c r="B43" t="s">
        <v>9</v>
      </c>
      <c r="C43" s="28">
        <v>60</v>
      </c>
      <c r="D43" t="s">
        <v>118</v>
      </c>
      <c r="E43" t="s">
        <v>124</v>
      </c>
      <c r="F43" s="28">
        <f ca="1">apuestas_oct24[[#This Row],[Apuesta Miniporra]]-$B$3</f>
        <v>-6.5400000000000063</v>
      </c>
      <c r="G43" s="68">
        <f ca="1">ABS(apuestas_oct24[[#This Row],[desvio]])/$B$3</f>
        <v>9.8286744815148874E-2</v>
      </c>
      <c r="H43" s="4">
        <f ca="1">_xlfn.RANK.EQ(apuestas_oct24[[#This Row],[desvio %]],apuestas_oct24[desvio %],1)</f>
        <v>21</v>
      </c>
      <c r="J43" s="66" t="s">
        <v>1112</v>
      </c>
      <c r="K43" s="4">
        <f ca="1">INDEX(apuestas_oct24[orden],MATCH(resultados_oct[Apuesta MiniPorra],apuestas_oct24[Apuesta Miniporra],0))</f>
        <v>21</v>
      </c>
      <c r="L43" t="str">
        <f>apuestas_oct24[[#This Row],[Nombre]]</f>
        <v>Alfonso Zárate Conde</v>
      </c>
      <c r="M43" s="28">
        <f>apuestas_oct24[[#This Row],[Apuesta Miniporra]]</f>
        <v>60</v>
      </c>
      <c r="N43" s="4">
        <f ca="1">INDEX(apuestas_oct24[desvio],MATCH(resultados_oct[[#This Row],[Apuesta MiniPorra]],apuestas_oct24[Apuesta Miniporra],0))</f>
        <v>-6.5400000000000063</v>
      </c>
      <c r="O43" s="13">
        <f ca="1">INDEX(apuestas_oct24[desvio %],MATCH(resultados_oct[[#This Row],[Apuesta MiniPorra]],apuestas_oct24[Apuesta Miniporra],0))</f>
        <v>9.8286744815148874E-2</v>
      </c>
      <c r="P43" s="78"/>
      <c r="Q43" s="78"/>
      <c r="U43" s="42"/>
    </row>
    <row r="44" spans="1:21" x14ac:dyDescent="0.2">
      <c r="A44" t="s">
        <v>1112</v>
      </c>
      <c r="B44" t="s">
        <v>215</v>
      </c>
      <c r="C44" s="28">
        <v>59.8</v>
      </c>
      <c r="D44" t="s">
        <v>118</v>
      </c>
      <c r="E44" t="s">
        <v>993</v>
      </c>
      <c r="F44" s="28">
        <f ca="1">apuestas_oct24[[#This Row],[Apuesta Miniporra]]-$B$3</f>
        <v>-6.7400000000000091</v>
      </c>
      <c r="G44" s="68">
        <f ca="1">ABS(apuestas_oct24[[#This Row],[desvio]])/$B$3</f>
        <v>0.10129245566576509</v>
      </c>
      <c r="H44" s="4">
        <f ca="1">_xlfn.RANK.EQ(apuestas_oct24[[#This Row],[desvio %]],apuestas_oct24[desvio %],1)</f>
        <v>22</v>
      </c>
      <c r="J44" s="66" t="s">
        <v>1112</v>
      </c>
      <c r="K44" s="4">
        <f ca="1">INDEX(apuestas_oct24[orden],MATCH(resultados_oct[Apuesta MiniPorra],apuestas_oct24[Apuesta Miniporra],0))</f>
        <v>22</v>
      </c>
      <c r="L44" t="str">
        <f>apuestas_oct24[[#This Row],[Nombre]]</f>
        <v>Carles Estruch Puig</v>
      </c>
      <c r="M44" s="28">
        <f>apuestas_oct24[[#This Row],[Apuesta Miniporra]]</f>
        <v>59.8</v>
      </c>
      <c r="N44" s="4">
        <f ca="1">INDEX(apuestas_oct24[desvio],MATCH(resultados_oct[[#This Row],[Apuesta MiniPorra]],apuestas_oct24[Apuesta Miniporra],0))</f>
        <v>-6.7400000000000091</v>
      </c>
      <c r="O44" s="13">
        <f ca="1">INDEX(apuestas_oct24[desvio %],MATCH(resultados_oct[[#This Row],[Apuesta MiniPorra]],apuestas_oct24[Apuesta Miniporra],0))</f>
        <v>0.10129245566576509</v>
      </c>
      <c r="P44" s="78"/>
      <c r="Q44" s="78"/>
      <c r="U44" s="42"/>
    </row>
    <row r="45" spans="1:21" x14ac:dyDescent="0.2">
      <c r="A45" t="s">
        <v>1112</v>
      </c>
      <c r="B45" t="s">
        <v>1026</v>
      </c>
      <c r="C45" s="28">
        <v>44.62</v>
      </c>
      <c r="D45" t="s">
        <v>118</v>
      </c>
      <c r="E45" t="s">
        <v>973</v>
      </c>
      <c r="F45" s="28">
        <f ca="1">apuestas_oct24[[#This Row],[Apuesta Miniporra]]-$B$3</f>
        <v>-21.920000000000009</v>
      </c>
      <c r="G45" s="68">
        <f ca="1">ABS(apuestas_oct24[[#This Row],[desvio]])/$B$3</f>
        <v>0.3294259092275324</v>
      </c>
      <c r="H45" s="4">
        <f ca="1">_xlfn.RANK.EQ(apuestas_oct24[[#This Row],[desvio %]],apuestas_oct24[desvio %],1)</f>
        <v>37</v>
      </c>
      <c r="J45" s="66" t="s">
        <v>1112</v>
      </c>
      <c r="K45" s="4">
        <f ca="1">INDEX(apuestas_oct24[orden],MATCH(resultados_oct[Apuesta MiniPorra],apuestas_oct24[Apuesta Miniporra],0))</f>
        <v>37</v>
      </c>
      <c r="L45" t="str">
        <f>apuestas_oct24[[#This Row],[Nombre]]</f>
        <v>Pablo Herrero Del Barrio</v>
      </c>
      <c r="M45" s="28">
        <f>apuestas_oct24[[#This Row],[Apuesta Miniporra]]</f>
        <v>44.62</v>
      </c>
      <c r="N45" s="4">
        <f ca="1">INDEX(apuestas_oct24[desvio],MATCH(resultados_oct[[#This Row],[Apuesta MiniPorra]],apuestas_oct24[Apuesta Miniporra],0))</f>
        <v>-21.920000000000009</v>
      </c>
      <c r="O45" s="13">
        <f ca="1">INDEX(apuestas_oct24[desvio %],MATCH(resultados_oct[[#This Row],[Apuesta MiniPorra]],apuestas_oct24[Apuesta Miniporra],0))</f>
        <v>0.3294259092275324</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5">
    <cfRule type="expression" dxfId="52" priority="1">
      <formula>$K7=3</formula>
    </cfRule>
    <cfRule type="expression" dxfId="51" priority="2">
      <formula>$K7=2</formula>
    </cfRule>
    <cfRule type="expression" dxfId="50" priority="3">
      <formula>$K7=1</formula>
    </cfRule>
  </conditionalFormatting>
  <conditionalFormatting sqref="R8:S10 R17:S20 R25:S26 R13:S13">
    <cfRule type="expression" dxfId="49" priority="4">
      <formula>$K38=1</formula>
    </cfRule>
  </conditionalFormatting>
  <conditionalFormatting sqref="P39:Q54 Q38 P58:Q60">
    <cfRule type="expression" dxfId="48" priority="5">
      <formula>$K34=3</formula>
    </cfRule>
    <cfRule type="expression" dxfId="47" priority="6">
      <formula>$K34=2</formula>
    </cfRule>
    <cfRule type="expression" dxfId="46"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{FDABC326-987C-4603-8EA1-E5CB2EE50862}</x14:id>
        </ext>
      </extLst>
    </cfRule>
  </conditionalFormatting>
  <conditionalFormatting sqref="C7:C45">
    <cfRule type="duplicateValues" dxfId="45" priority="9"/>
  </conditionalFormatting>
  <conditionalFormatting sqref="B7:B45">
    <cfRule type="duplicateValues" dxfId="44" priority="1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6963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6963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6963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FDABC326-987C-4603-8EA1-E5CB2EE50862}">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V33" sqref="V33"/>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13" t="s">
        <v>675</v>
      </c>
      <c r="L2" s="113"/>
      <c r="M2" s="2" t="s">
        <v>674</v>
      </c>
      <c r="O2" s="2" t="s">
        <v>830</v>
      </c>
      <c r="P2" s="2" t="s">
        <v>673</v>
      </c>
      <c r="Q2" s="156" t="s">
        <v>833</v>
      </c>
      <c r="R2" s="156"/>
      <c r="T2" s="4"/>
      <c r="V2" t="s">
        <v>832</v>
      </c>
    </row>
    <row r="3" spans="2:24" ht="12" customHeight="1" x14ac:dyDescent="0.2">
      <c r="K3" s="113"/>
      <c r="L3" s="113"/>
      <c r="M3" s="153" t="s">
        <v>1138</v>
      </c>
      <c r="O3" s="154">
        <f>F18</f>
        <v>25</v>
      </c>
      <c r="P3" s="155">
        <f ca="1">F15</f>
        <v>66.540000000000006</v>
      </c>
      <c r="Q3" s="156"/>
      <c r="R3" s="156"/>
      <c r="V3" t="s">
        <v>833</v>
      </c>
    </row>
    <row r="4" spans="2:24" ht="4.5" customHeight="1" x14ac:dyDescent="0.2">
      <c r="K4" s="113"/>
      <c r="L4" s="113"/>
      <c r="M4" s="153"/>
      <c r="O4" s="154"/>
      <c r="P4" s="155"/>
      <c r="Q4" s="156"/>
      <c r="R4" s="156"/>
    </row>
    <row r="5" spans="2:24" ht="15.75" customHeight="1" x14ac:dyDescent="0.2">
      <c r="K5" s="113"/>
      <c r="L5" s="113"/>
      <c r="M5" s="153"/>
      <c r="O5" s="154"/>
      <c r="P5" s="155"/>
      <c r="Q5" s="156"/>
      <c r="R5" s="156"/>
    </row>
    <row r="6" spans="2:24" ht="6.75" customHeight="1" x14ac:dyDescent="0.2">
      <c r="O6" s="88"/>
    </row>
    <row r="7" spans="2:24" s="84" customFormat="1" ht="19.5" customHeight="1" x14ac:dyDescent="0.2">
      <c r="K7" s="85" t="s">
        <v>831</v>
      </c>
      <c r="L7" s="85" t="s">
        <v>672</v>
      </c>
      <c r="M7" s="85" t="s">
        <v>669</v>
      </c>
      <c r="N7" s="86" t="s">
        <v>826</v>
      </c>
      <c r="O7" s="89" t="s">
        <v>678</v>
      </c>
      <c r="P7" s="90" t="s">
        <v>677</v>
      </c>
      <c r="Q7" s="101" t="s">
        <v>679</v>
      </c>
      <c r="R7" s="102" t="s">
        <v>680</v>
      </c>
    </row>
    <row r="8" spans="2:24" x14ac:dyDescent="0.2">
      <c r="B8" s="4" t="s">
        <v>244</v>
      </c>
      <c r="C8" s="4" t="s">
        <v>245</v>
      </c>
      <c r="K8" s="42">
        <f ca="1">oct!K7</f>
        <v>39</v>
      </c>
      <c r="L8" s="42" t="str">
        <f>oct!L7</f>
        <v>Javier Sáez</v>
      </c>
      <c r="M8" s="28">
        <f>oct!M7</f>
        <v>141.62</v>
      </c>
      <c r="N8" s="77">
        <f>M8-M9</f>
        <v>52.460000000000008</v>
      </c>
      <c r="O8" s="91">
        <f>M8-N8/2</f>
        <v>115.39</v>
      </c>
      <c r="P8" s="92"/>
      <c r="Q8" s="91">
        <f t="shared" ref="Q8:Q24" ca="1" si="0">R9</f>
        <v>359.65399999999988</v>
      </c>
      <c r="R8" s="92"/>
      <c r="T8" t="s">
        <v>1109</v>
      </c>
      <c r="W8" s="77"/>
      <c r="X8" s="28"/>
    </row>
    <row r="9" spans="2:24" x14ac:dyDescent="0.2">
      <c r="B9" s="4">
        <v>1</v>
      </c>
      <c r="C9" s="28">
        <f>IFERROR(oct!Q7,"")</f>
        <v>97.9</v>
      </c>
      <c r="E9" s="28"/>
      <c r="F9" s="4"/>
      <c r="K9" s="42">
        <f ca="1">oct!K8</f>
        <v>38</v>
      </c>
      <c r="L9" s="42" t="str">
        <f>oct!L8</f>
        <v>Rafael Leiva</v>
      </c>
      <c r="M9" s="28">
        <f>oct!M8</f>
        <v>89.16</v>
      </c>
      <c r="N9" s="77">
        <f t="shared" ref="N9:N46" si="1">M9-M10</f>
        <v>3.9899999999999949</v>
      </c>
      <c r="O9" s="91">
        <f t="shared" ref="O9:O46" si="2">M9-N9/2</f>
        <v>87.164999999999992</v>
      </c>
      <c r="P9" s="92">
        <f>O8</f>
        <v>115.39</v>
      </c>
      <c r="Q9" s="91">
        <f t="shared" ca="1" si="0"/>
        <v>190.30399999999992</v>
      </c>
      <c r="R9" s="92">
        <f ca="1">IF($Q$2=$V$2,$F$21*Tabla43[[#This Row],[límite sup]]-$F$19,($F$22*Tabla43[[#This Row],[límite sup]]-$F$19)/$F$23)</f>
        <v>359.65399999999988</v>
      </c>
      <c r="T9" t="s">
        <v>846</v>
      </c>
      <c r="U9" s="4">
        <f>$U$17-$U$17*$U$18</f>
        <v>61.721999999999994</v>
      </c>
    </row>
    <row r="10" spans="2:24" x14ac:dyDescent="0.2">
      <c r="B10" s="4">
        <v>2</v>
      </c>
      <c r="C10" s="28">
        <f>IFERROR(oct!Q8,"")</f>
        <v>93.59</v>
      </c>
      <c r="K10" s="42">
        <f ca="1">oct!K9</f>
        <v>36</v>
      </c>
      <c r="L10" s="42" t="str">
        <f>oct!L9</f>
        <v>Inés Monroy</v>
      </c>
      <c r="M10" s="28">
        <f>oct!M9</f>
        <v>85.17</v>
      </c>
      <c r="N10" s="77">
        <f t="shared" si="1"/>
        <v>1.1000000000000085</v>
      </c>
      <c r="O10" s="91">
        <f t="shared" si="2"/>
        <v>84.62</v>
      </c>
      <c r="P10" s="92">
        <f t="shared" ref="P10:P46" si="3">O9</f>
        <v>87.164999999999992</v>
      </c>
      <c r="Q10" s="91">
        <f t="shared" ca="1" si="0"/>
        <v>175.03400000000002</v>
      </c>
      <c r="R10" s="92">
        <f ca="1">IF($Q$2=$V$2,$F$21*Tabla43[[#This Row],[límite sup]]-$F$19,($F$22*Tabla43[[#This Row],[límite sup]]-$F$19)/$F$23)</f>
        <v>190.30399999999992</v>
      </c>
      <c r="T10" t="s">
        <v>847</v>
      </c>
      <c r="U10" s="4">
        <f>$U$17+$U$17*$U$18</f>
        <v>75.438000000000002</v>
      </c>
    </row>
    <row r="11" spans="2:24" x14ac:dyDescent="0.2">
      <c r="B11" s="4">
        <v>3</v>
      </c>
      <c r="C11" s="28">
        <f>IFERROR(oct!Q9,"")</f>
        <v>57.92</v>
      </c>
      <c r="K11" s="42">
        <f ca="1">oct!K10</f>
        <v>35</v>
      </c>
      <c r="L11" s="42" t="str">
        <f>oct!L10</f>
        <v>Jesús Aceituno López</v>
      </c>
      <c r="M11" s="28">
        <f>oct!M10</f>
        <v>84.07</v>
      </c>
      <c r="N11" s="77">
        <f t="shared" si="1"/>
        <v>0.25999999999999091</v>
      </c>
      <c r="O11" s="91">
        <f t="shared" si="2"/>
        <v>83.94</v>
      </c>
      <c r="P11" s="92">
        <f t="shared" si="3"/>
        <v>84.62</v>
      </c>
      <c r="Q11" s="91">
        <f t="shared" ca="1" si="0"/>
        <v>170.95399999999989</v>
      </c>
      <c r="R11" s="92">
        <f ca="1">IF($Q$2=$V$2,$F$21*Tabla43[[#This Row],[límite sup]]-$F$19,($F$22*Tabla43[[#This Row],[límite sup]]-$F$19)/$F$23)</f>
        <v>175.03400000000002</v>
      </c>
      <c r="T11" t="s">
        <v>1110</v>
      </c>
    </row>
    <row r="12" spans="2:24" x14ac:dyDescent="0.2">
      <c r="B12" s="4">
        <v>4</v>
      </c>
      <c r="C12" s="28">
        <f>IFERROR(oct!Q10,"")</f>
        <v>98.98</v>
      </c>
      <c r="K12" s="42">
        <f ca="1">oct!K11</f>
        <v>34</v>
      </c>
      <c r="L12" s="42" t="str">
        <f>oct!L11</f>
        <v>Carlos Alcaide Méndez</v>
      </c>
      <c r="M12" s="28">
        <f>oct!M11</f>
        <v>83.81</v>
      </c>
      <c r="N12" s="77">
        <f t="shared" si="1"/>
        <v>6.0000000000002274E-2</v>
      </c>
      <c r="O12" s="91">
        <f t="shared" si="2"/>
        <v>83.78</v>
      </c>
      <c r="P12" s="92">
        <f t="shared" si="3"/>
        <v>83.94</v>
      </c>
      <c r="Q12" s="91">
        <f t="shared" ca="1" si="0"/>
        <v>169.99399999999997</v>
      </c>
      <c r="R12" s="92">
        <f ca="1">IF($Q$2=$V$2,$F$21*Tabla43[[#This Row],[límite sup]]-$F$19,($F$22*Tabla43[[#This Row],[límite sup]]-$F$19)/$F$23)</f>
        <v>170.95399999999989</v>
      </c>
      <c r="T12" t="s">
        <v>846</v>
      </c>
      <c r="U12" s="4">
        <f>$U$17-$U$17*$U$19</f>
        <v>54.863999999999997</v>
      </c>
    </row>
    <row r="13" spans="2:24" x14ac:dyDescent="0.2">
      <c r="B13" s="4">
        <v>5</v>
      </c>
      <c r="C13" s="111">
        <f>IFERROR(oct!Q11,"")</f>
        <v>60.4</v>
      </c>
      <c r="F13" s="4"/>
      <c r="K13" s="42">
        <f ca="1">oct!K12</f>
        <v>33</v>
      </c>
      <c r="L13" s="42" t="str">
        <f>oct!L12</f>
        <v>Gorka Arratibel Pastor</v>
      </c>
      <c r="M13" s="28">
        <f>oct!M12</f>
        <v>83.75</v>
      </c>
      <c r="N13" s="77">
        <f t="shared" si="1"/>
        <v>1.25</v>
      </c>
      <c r="O13" s="91">
        <f t="shared" si="2"/>
        <v>83.125</v>
      </c>
      <c r="P13" s="92">
        <f t="shared" si="3"/>
        <v>83.78</v>
      </c>
      <c r="Q13" s="91">
        <f t="shared" ca="1" si="0"/>
        <v>166.06399999999994</v>
      </c>
      <c r="R13" s="92">
        <f ca="1">IF($Q$2=$V$2,$F$21*Tabla43[[#This Row],[límite sup]]-$F$19,($F$22*Tabla43[[#This Row],[límite sup]]-$F$19)/$F$23)</f>
        <v>169.99399999999997</v>
      </c>
      <c r="T13" t="s">
        <v>847</v>
      </c>
      <c r="U13" s="4">
        <f>$U$17+$U$17*$U$19</f>
        <v>82.295999999999992</v>
      </c>
    </row>
    <row r="14" spans="2:24" x14ac:dyDescent="0.2">
      <c r="B14" s="4">
        <v>6</v>
      </c>
      <c r="C14" s="28">
        <f>IFERROR(oct!Q12,"")</f>
        <v>21.96</v>
      </c>
      <c r="G14" s="21"/>
      <c r="K14" s="42">
        <f ca="1">oct!K13</f>
        <v>32</v>
      </c>
      <c r="L14" s="42" t="str">
        <f>oct!L13</f>
        <v>Javier Espelta</v>
      </c>
      <c r="M14" s="28">
        <f>oct!M13</f>
        <v>82.5</v>
      </c>
      <c r="N14" s="77">
        <f t="shared" si="1"/>
        <v>2.4000000000000057</v>
      </c>
      <c r="O14" s="91">
        <f t="shared" si="2"/>
        <v>81.3</v>
      </c>
      <c r="P14" s="92">
        <f t="shared" si="3"/>
        <v>83.125</v>
      </c>
      <c r="Q14" s="91">
        <f t="shared" ca="1" si="0"/>
        <v>155.11399999999995</v>
      </c>
      <c r="R14" s="92">
        <f ca="1">IF($Q$2=$V$2,$F$21*Tabla43[[#This Row],[límite sup]]-$F$19,($F$22*Tabla43[[#This Row],[límite sup]]-$F$19)/$F$23)</f>
        <v>166.06399999999994</v>
      </c>
    </row>
    <row r="15" spans="2:24" ht="12" customHeight="1" x14ac:dyDescent="0.2">
      <c r="B15" s="4">
        <v>7</v>
      </c>
      <c r="C15" s="28">
        <f>IFERROR(oct!Q13,"")</f>
        <v>55.46</v>
      </c>
      <c r="E15" t="s">
        <v>1033</v>
      </c>
      <c r="F15" s="99">
        <f ca="1">oct!B3</f>
        <v>66.540000000000006</v>
      </c>
      <c r="K15" s="42">
        <f ca="1">oct!K14</f>
        <v>31</v>
      </c>
      <c r="L15" s="42" t="str">
        <f>oct!L14</f>
        <v>Jose Manuel Otero López</v>
      </c>
      <c r="M15" s="28">
        <f>oct!M14</f>
        <v>80.099999999999994</v>
      </c>
      <c r="N15" s="77">
        <f t="shared" si="1"/>
        <v>0.28000000000000114</v>
      </c>
      <c r="O15" s="91">
        <f t="shared" si="2"/>
        <v>79.959999999999994</v>
      </c>
      <c r="P15" s="92">
        <f t="shared" si="3"/>
        <v>81.3</v>
      </c>
      <c r="Q15" s="91">
        <f t="shared" ca="1" si="0"/>
        <v>147.0739999999999</v>
      </c>
      <c r="R15" s="92">
        <f ca="1">IF($Q$2=$V$2,$F$21*Tabla43[[#This Row],[límite sup]]-$F$19,($F$22*Tabla43[[#This Row],[límite sup]]-$F$19)/$F$23)</f>
        <v>155.11399999999995</v>
      </c>
    </row>
    <row r="16" spans="2:24" ht="12" customHeight="1" x14ac:dyDescent="0.2">
      <c r="B16" s="4">
        <v>8</v>
      </c>
      <c r="C16" s="28">
        <f>IFERROR(oct!Q14,"")</f>
        <v>31.37</v>
      </c>
      <c r="E16" t="s">
        <v>676</v>
      </c>
      <c r="F16" s="65">
        <f ca="1">INDEX(resultados_sep[Apuesta MiniPorra],MATCH(1,resultados_sep[Posición],0))</f>
        <v>73.55</v>
      </c>
      <c r="K16" s="42">
        <f ca="1">oct!K15</f>
        <v>30</v>
      </c>
      <c r="L16" s="42" t="str">
        <f>oct!L15</f>
        <v>Pablo Suárez Sebastián</v>
      </c>
      <c r="M16" s="28">
        <f>oct!M15</f>
        <v>79.819999999999993</v>
      </c>
      <c r="N16" s="77">
        <f t="shared" si="1"/>
        <v>1.5</v>
      </c>
      <c r="O16" s="91">
        <f t="shared" si="2"/>
        <v>79.069999999999993</v>
      </c>
      <c r="P16" s="92">
        <f t="shared" si="3"/>
        <v>79.959999999999994</v>
      </c>
      <c r="Q16" s="91">
        <f t="shared" ca="1" si="0"/>
        <v>141.73399999999992</v>
      </c>
      <c r="R16" s="92">
        <f ca="1">IF($Q$2=$V$2,$F$21*Tabla43[[#This Row],[límite sup]]-$F$19,($F$22*Tabla43[[#This Row],[límite sup]]-$F$19)/$F$23)</f>
        <v>147.0739999999999</v>
      </c>
      <c r="U16" s="87"/>
    </row>
    <row r="17" spans="2:22" x14ac:dyDescent="0.2">
      <c r="B17" s="4">
        <v>9</v>
      </c>
      <c r="C17" s="28">
        <f>IFERROR(oct!Q15,"")</f>
        <v>24.52</v>
      </c>
      <c r="K17" s="42">
        <f ca="1">oct!K16</f>
        <v>29</v>
      </c>
      <c r="L17" s="42" t="str">
        <f>oct!L16</f>
        <v>Elena Muñoz Vioque</v>
      </c>
      <c r="M17" s="28">
        <f>oct!M16</f>
        <v>78.319999999999993</v>
      </c>
      <c r="N17" s="77">
        <f t="shared" si="1"/>
        <v>0.54999999999999716</v>
      </c>
      <c r="O17" s="91">
        <f t="shared" si="2"/>
        <v>78.044999999999987</v>
      </c>
      <c r="P17" s="92">
        <f t="shared" si="3"/>
        <v>79.069999999999993</v>
      </c>
      <c r="Q17" s="91">
        <f t="shared" ca="1" si="0"/>
        <v>135.58399999999983</v>
      </c>
      <c r="R17" s="92">
        <f ca="1">IF($Q$2=$V$2,$F$21*Tabla43[[#This Row],[límite sup]]-$F$19,($F$22*Tabla43[[#This Row],[límite sup]]-$F$19)/$F$23)</f>
        <v>141.73399999999992</v>
      </c>
      <c r="T17" t="s">
        <v>874</v>
      </c>
      <c r="U17" s="65">
        <v>68.58</v>
      </c>
      <c r="V17" t="s">
        <v>1158</v>
      </c>
    </row>
    <row r="18" spans="2:22" x14ac:dyDescent="0.2">
      <c r="B18" s="4">
        <v>10</v>
      </c>
      <c r="C18" s="28">
        <f>IFERROR(oct!Q16,"")</f>
        <v>76.180000000000007</v>
      </c>
      <c r="E18" t="s">
        <v>670</v>
      </c>
      <c r="F18" s="65">
        <f>oct!H1</f>
        <v>25</v>
      </c>
      <c r="G18" t="s">
        <v>827</v>
      </c>
      <c r="K18" s="42">
        <f ca="1">oct!K17</f>
        <v>28</v>
      </c>
      <c r="L18" s="42" t="str">
        <f>oct!L17</f>
        <v>Jorge Antonio González Sánchez</v>
      </c>
      <c r="M18" s="28">
        <f>oct!M17</f>
        <v>77.77</v>
      </c>
      <c r="N18" s="77">
        <f t="shared" si="1"/>
        <v>0.56999999999999318</v>
      </c>
      <c r="O18" s="91">
        <f t="shared" si="2"/>
        <v>77.484999999999999</v>
      </c>
      <c r="P18" s="92">
        <f t="shared" si="3"/>
        <v>78.044999999999987</v>
      </c>
      <c r="Q18" s="91">
        <f t="shared" ca="1" si="0"/>
        <v>132.22399999999999</v>
      </c>
      <c r="R18" s="92">
        <f ca="1">IF($Q$2=$V$2,$F$21*Tabla43[[#This Row],[límite sup]]-$F$19,($F$22*Tabla43[[#This Row],[límite sup]]-$F$19)/$F$23)</f>
        <v>135.58399999999983</v>
      </c>
      <c r="T18" t="s">
        <v>1159</v>
      </c>
      <c r="U18" s="112">
        <v>0.1</v>
      </c>
    </row>
    <row r="19" spans="2:22" x14ac:dyDescent="0.2">
      <c r="B19" s="4">
        <v>11</v>
      </c>
      <c r="C19" s="28">
        <f>IFERROR(oct!Q17,"")</f>
        <v>90.66</v>
      </c>
      <c r="E19" t="s">
        <v>671</v>
      </c>
      <c r="F19" s="76">
        <f ca="1">SUM(C9:OFFSET($C$9,F18-1,1))</f>
        <v>1663.4300000000003</v>
      </c>
      <c r="G19" t="s">
        <v>828</v>
      </c>
      <c r="K19" s="42">
        <f ca="1">oct!K18</f>
        <v>27</v>
      </c>
      <c r="L19" s="42" t="str">
        <f>oct!L18</f>
        <v>Javier Revuelta Alonso</v>
      </c>
      <c r="M19" s="28">
        <f>oct!M18</f>
        <v>77.2</v>
      </c>
      <c r="N19" s="77">
        <f t="shared" si="1"/>
        <v>2</v>
      </c>
      <c r="O19" s="91">
        <f t="shared" si="2"/>
        <v>76.2</v>
      </c>
      <c r="P19" s="92">
        <f t="shared" si="3"/>
        <v>77.484999999999999</v>
      </c>
      <c r="Q19" s="91">
        <f t="shared" ca="1" si="0"/>
        <v>124.51399999999994</v>
      </c>
      <c r="R19" s="92">
        <f ca="1">IF($Q$2=$V$2,$F$21*Tabla43[[#This Row],[límite sup]]-$F$19,($F$22*Tabla43[[#This Row],[límite sup]]-$F$19)/$F$23)</f>
        <v>132.22399999999999</v>
      </c>
      <c r="T19" t="s">
        <v>1159</v>
      </c>
      <c r="U19" s="112">
        <v>0.2</v>
      </c>
    </row>
    <row r="20" spans="2:22" x14ac:dyDescent="0.2">
      <c r="B20" s="4">
        <v>12</v>
      </c>
      <c r="C20" s="28">
        <f>IFERROR(oct!Q18,"")</f>
        <v>69.86</v>
      </c>
      <c r="E20" t="s">
        <v>829</v>
      </c>
      <c r="F20" s="28">
        <f ca="1">F19/F18</f>
        <v>66.537200000000013</v>
      </c>
      <c r="K20" s="42">
        <f ca="1">oct!K19</f>
        <v>26</v>
      </c>
      <c r="L20" s="42" t="str">
        <f>oct!L19</f>
        <v>Paco Cuadrado</v>
      </c>
      <c r="M20" s="28">
        <f>oct!M19</f>
        <v>75.2</v>
      </c>
      <c r="N20" s="77">
        <f t="shared" si="1"/>
        <v>1.0100000000000051</v>
      </c>
      <c r="O20" s="91">
        <f t="shared" si="2"/>
        <v>74.694999999999993</v>
      </c>
      <c r="P20" s="92">
        <f t="shared" si="3"/>
        <v>76.2</v>
      </c>
      <c r="Q20" s="91">
        <f t="shared" ca="1" si="0"/>
        <v>115.48399999999992</v>
      </c>
      <c r="R20" s="92">
        <f ca="1">IF($Q$2=$V$2,$F$21*Tabla43[[#This Row],[límite sup]]-$F$19,($F$22*Tabla43[[#This Row],[límite sup]]-$F$19)/$F$23)</f>
        <v>124.51399999999994</v>
      </c>
    </row>
    <row r="21" spans="2:22" x14ac:dyDescent="0.2">
      <c r="B21" s="4">
        <v>13</v>
      </c>
      <c r="C21" s="28">
        <f>IFERROR(oct!Q19,"")</f>
        <v>52.75</v>
      </c>
      <c r="E21" t="s">
        <v>834</v>
      </c>
      <c r="F21" s="74">
        <f>F18+1</f>
        <v>26</v>
      </c>
      <c r="K21" s="42">
        <f ca="1">oct!K20</f>
        <v>25</v>
      </c>
      <c r="L21" s="42" t="str">
        <f>oct!L20</f>
        <v>Jorge González Arconada</v>
      </c>
      <c r="M21" s="28">
        <f>oct!M20</f>
        <v>74.19</v>
      </c>
      <c r="N21" s="77">
        <f t="shared" si="1"/>
        <v>9.9999999999994316E-2</v>
      </c>
      <c r="O21" s="91">
        <f t="shared" si="2"/>
        <v>74.14</v>
      </c>
      <c r="P21" s="92">
        <f t="shared" si="3"/>
        <v>74.694999999999993</v>
      </c>
      <c r="Q21" s="91">
        <f t="shared" ca="1" si="0"/>
        <v>112.15399999999991</v>
      </c>
      <c r="R21" s="92">
        <f ca="1">IF($Q$2=$V$2,$F$21*Tabla43[[#This Row],[límite sup]]-$F$19,($F$22*Tabla43[[#This Row],[límite sup]]-$F$19)/$F$23)</f>
        <v>115.48399999999992</v>
      </c>
      <c r="T21" t="s">
        <v>1157</v>
      </c>
      <c r="U21" s="23">
        <f>gauss!R44</f>
        <v>72.97</v>
      </c>
    </row>
    <row r="22" spans="2:22" x14ac:dyDescent="0.2">
      <c r="B22" s="4">
        <v>14</v>
      </c>
      <c r="C22" s="28">
        <f>IFERROR(oct!Q20,"")</f>
        <v>104.17</v>
      </c>
      <c r="E22" t="s">
        <v>835</v>
      </c>
      <c r="F22" s="74">
        <f>COUNT(Tabla2336[dia])</f>
        <v>30</v>
      </c>
      <c r="K22" s="42">
        <f ca="1">oct!K21</f>
        <v>24</v>
      </c>
      <c r="L22" s="42" t="str">
        <f>oct!L21</f>
        <v>Roberto Cavero García</v>
      </c>
      <c r="M22" s="28">
        <f>oct!M21</f>
        <v>74.09</v>
      </c>
      <c r="N22" s="77">
        <f t="shared" si="1"/>
        <v>0.34000000000000341</v>
      </c>
      <c r="O22" s="91">
        <f t="shared" si="2"/>
        <v>73.92</v>
      </c>
      <c r="P22" s="92">
        <f t="shared" si="3"/>
        <v>74.14</v>
      </c>
      <c r="Q22" s="91">
        <f t="shared" ca="1" si="0"/>
        <v>110.83399999999992</v>
      </c>
      <c r="R22" s="92">
        <f ca="1">IF($Q$2=$V$2,$F$21*Tabla43[[#This Row],[límite sup]]-$F$19,($F$22*Tabla43[[#This Row],[límite sup]]-$F$19)/$F$23)</f>
        <v>112.15399999999991</v>
      </c>
    </row>
    <row r="23" spans="2:22" x14ac:dyDescent="0.2">
      <c r="B23" s="4">
        <v>15</v>
      </c>
      <c r="C23" s="28">
        <f>IFERROR(oct!Q21,"")</f>
        <v>87.23</v>
      </c>
      <c r="E23" t="s">
        <v>836</v>
      </c>
      <c r="F23" s="74">
        <f>F22-F18</f>
        <v>5</v>
      </c>
      <c r="K23" s="42">
        <f ca="1">oct!K22</f>
        <v>23</v>
      </c>
      <c r="L23" s="42" t="str">
        <f>oct!L22</f>
        <v>Rafael Tejada Bonilla</v>
      </c>
      <c r="M23" s="28">
        <f>oct!M22</f>
        <v>73.75</v>
      </c>
      <c r="N23" s="77">
        <f t="shared" si="1"/>
        <v>1.1700000000000017</v>
      </c>
      <c r="O23" s="91">
        <f t="shared" si="2"/>
        <v>73.164999999999992</v>
      </c>
      <c r="P23" s="92">
        <f t="shared" si="3"/>
        <v>73.92</v>
      </c>
      <c r="Q23" s="91">
        <f t="shared" ca="1" si="0"/>
        <v>106.3039999999999</v>
      </c>
      <c r="R23" s="92">
        <f ca="1">IF($Q$2=$V$2,$F$21*Tabla43[[#This Row],[límite sup]]-$F$19,($F$22*Tabla43[[#This Row],[límite sup]]-$F$19)/$F$23)</f>
        <v>110.83399999999992</v>
      </c>
      <c r="U23" t="str">
        <f>"OMIP: "&amp;U17</f>
        <v>OMIP: 68,58</v>
      </c>
    </row>
    <row r="24" spans="2:22" x14ac:dyDescent="0.2">
      <c r="B24" s="4">
        <v>16</v>
      </c>
      <c r="C24" s="28">
        <f>IFERROR(oct!Q22,"")</f>
        <v>48.84</v>
      </c>
      <c r="K24" s="42">
        <f ca="1">oct!K23</f>
        <v>20</v>
      </c>
      <c r="L24" s="42" t="str">
        <f>oct!L23</f>
        <v>Cristoauditor Monasor Merino</v>
      </c>
      <c r="M24" s="28">
        <f>oct!M23</f>
        <v>72.58</v>
      </c>
      <c r="N24" s="77">
        <f t="shared" si="1"/>
        <v>0.12999999999999545</v>
      </c>
      <c r="O24" s="91">
        <f t="shared" si="2"/>
        <v>72.515000000000001</v>
      </c>
      <c r="P24" s="92">
        <f t="shared" si="3"/>
        <v>73.164999999999992</v>
      </c>
      <c r="Q24" s="91">
        <f t="shared" ca="1" si="0"/>
        <v>102.40399999999991</v>
      </c>
      <c r="R24" s="92">
        <f ca="1">IF($Q$2=$V$2,$F$21*Tabla43[[#This Row],[límite sup]]-$F$19,($F$22*Tabla43[[#This Row],[límite sup]]-$F$19)/$F$23)</f>
        <v>106.3039999999999</v>
      </c>
    </row>
    <row r="25" spans="2:22" x14ac:dyDescent="0.2">
      <c r="B25" s="4">
        <v>17</v>
      </c>
      <c r="C25" s="28">
        <f>IFERROR(oct!Q23,"")</f>
        <v>51.25</v>
      </c>
      <c r="E25" t="s">
        <v>668</v>
      </c>
      <c r="F25" s="75">
        <f>AVERAGE(C9:C38)</f>
        <v>66.537200000000013</v>
      </c>
      <c r="K25" s="42">
        <f ca="1">oct!K24</f>
        <v>19</v>
      </c>
      <c r="L25" s="42" t="str">
        <f>oct!L24</f>
        <v>Julián Mateo Muñoz</v>
      </c>
      <c r="M25" s="28">
        <f>oct!M24</f>
        <v>72.45</v>
      </c>
      <c r="N25" s="77">
        <f t="shared" si="1"/>
        <v>0.23000000000000398</v>
      </c>
      <c r="O25" s="91">
        <f t="shared" si="2"/>
        <v>72.335000000000008</v>
      </c>
      <c r="P25" s="92">
        <f t="shared" si="3"/>
        <v>72.515000000000001</v>
      </c>
      <c r="Q25" s="91">
        <f ca="1">R26</f>
        <v>101.32399999999998</v>
      </c>
      <c r="R25" s="92">
        <f ca="1">IF($Q$2=$V$2,$F$21*Tabla43[[#This Row],[límite sup]]-$F$19,($F$22*Tabla43[[#This Row],[límite sup]]-$F$19)/$F$23)</f>
        <v>102.40399999999991</v>
      </c>
    </row>
    <row r="26" spans="2:22" x14ac:dyDescent="0.2">
      <c r="B26" s="4">
        <v>18</v>
      </c>
      <c r="C26" s="28">
        <f>IFERROR(oct!Q24,"")</f>
        <v>51.99</v>
      </c>
      <c r="F26" s="28"/>
      <c r="K26" s="42">
        <f ca="1">oct!K25</f>
        <v>18</v>
      </c>
      <c r="L26" s="42" t="str">
        <f>oct!L25</f>
        <v>Jaime Larrañaga Juez</v>
      </c>
      <c r="M26" s="28">
        <f>oct!M25</f>
        <v>72.22</v>
      </c>
      <c r="N26" s="77">
        <f t="shared" si="1"/>
        <v>0.48000000000000398</v>
      </c>
      <c r="O26" s="91">
        <f t="shared" si="2"/>
        <v>71.97999999999999</v>
      </c>
      <c r="P26" s="92">
        <f t="shared" si="3"/>
        <v>72.335000000000008</v>
      </c>
      <c r="Q26" s="91">
        <f t="shared" ref="Q26:Q46" ca="1" si="4">R27</f>
        <v>99.193999999999875</v>
      </c>
      <c r="R26" s="92">
        <f ca="1">IF($Q$2=$V$2,$F$21*Tabla43[[#This Row],[límite sup]]-$F$19,($F$22*Tabla43[[#This Row],[límite sup]]-$F$19)/$F$23)</f>
        <v>101.32399999999998</v>
      </c>
    </row>
    <row r="27" spans="2:22" x14ac:dyDescent="0.2">
      <c r="B27" s="4">
        <v>19</v>
      </c>
      <c r="C27" s="28">
        <f>IFERROR(oct!Q25,"")</f>
        <v>48.71</v>
      </c>
      <c r="K27" s="42">
        <f ca="1">oct!K26</f>
        <v>17</v>
      </c>
      <c r="L27" s="42" t="str">
        <f>oct!L26</f>
        <v>Carlos Martin</v>
      </c>
      <c r="M27" s="28">
        <f>oct!M26</f>
        <v>71.739999999999995</v>
      </c>
      <c r="N27" s="77">
        <f t="shared" si="1"/>
        <v>0.72999999999998977</v>
      </c>
      <c r="O27" s="91">
        <f t="shared" si="2"/>
        <v>71.375</v>
      </c>
      <c r="P27" s="92">
        <f t="shared" si="3"/>
        <v>71.97999999999999</v>
      </c>
      <c r="Q27" s="91">
        <f t="shared" ca="1" si="4"/>
        <v>95.563999999999936</v>
      </c>
      <c r="R27" s="92">
        <f ca="1">IF($Q$2=$V$2,$F$21*Tabla43[[#This Row],[límite sup]]-$F$19,($F$22*Tabla43[[#This Row],[límite sup]]-$F$19)/$F$23)</f>
        <v>99.193999999999875</v>
      </c>
    </row>
    <row r="28" spans="2:22" x14ac:dyDescent="0.2">
      <c r="B28" s="4">
        <v>20</v>
      </c>
      <c r="C28" s="28">
        <f>IFERROR(oct!Q26,"")</f>
        <v>44.66</v>
      </c>
      <c r="F28">
        <f ca="1">jul!B3/75.23</f>
        <v>0.96118569719526781</v>
      </c>
      <c r="K28" s="42">
        <f ca="1">oct!K27</f>
        <v>16</v>
      </c>
      <c r="L28" s="42" t="str">
        <f>oct!L27</f>
        <v>Javier Colón Cortegoso</v>
      </c>
      <c r="M28" s="28">
        <f>oct!M27</f>
        <v>71.010000000000005</v>
      </c>
      <c r="N28" s="77">
        <f t="shared" si="1"/>
        <v>0.71000000000000796</v>
      </c>
      <c r="O28" s="91">
        <f t="shared" si="2"/>
        <v>70.655000000000001</v>
      </c>
      <c r="P28" s="92">
        <f t="shared" si="3"/>
        <v>71.375</v>
      </c>
      <c r="Q28" s="91">
        <f t="shared" ca="1" si="4"/>
        <v>91.243999999999957</v>
      </c>
      <c r="R28" s="92">
        <f ca="1">IF($Q$2=$V$2,$F$21*Tabla43[[#This Row],[límite sup]]-$F$19,($F$22*Tabla43[[#This Row],[límite sup]]-$F$19)/$F$23)</f>
        <v>95.563999999999936</v>
      </c>
    </row>
    <row r="29" spans="2:22" x14ac:dyDescent="0.2">
      <c r="B29" s="4">
        <v>21</v>
      </c>
      <c r="C29" s="28">
        <f>IFERROR(oct!Q27,"")</f>
        <v>93.63</v>
      </c>
      <c r="F29" s="43">
        <f ca="1">F28/75.93</f>
        <v>1.2658839683857075E-2</v>
      </c>
      <c r="K29" s="42">
        <f ca="1">oct!K28</f>
        <v>14</v>
      </c>
      <c r="L29" s="42" t="str">
        <f>oct!L28</f>
        <v>Laura Gómez López</v>
      </c>
      <c r="M29" s="28">
        <f>oct!M28</f>
        <v>70.3</v>
      </c>
      <c r="N29" s="77">
        <f t="shared" si="1"/>
        <v>0.23000000000000398</v>
      </c>
      <c r="O29" s="91">
        <f t="shared" si="2"/>
        <v>70.185000000000002</v>
      </c>
      <c r="P29" s="92">
        <f t="shared" si="3"/>
        <v>70.655000000000001</v>
      </c>
      <c r="Q29" s="91">
        <f t="shared" ca="1" si="4"/>
        <v>88.423999999999978</v>
      </c>
      <c r="R29" s="92">
        <f ca="1">IF($Q$2=$V$2,$F$21*Tabla43[[#This Row],[límite sup]]-$F$19,($F$22*Tabla43[[#This Row],[límite sup]]-$F$19)/$F$23)</f>
        <v>91.243999999999957</v>
      </c>
    </row>
    <row r="30" spans="2:22" x14ac:dyDescent="0.2">
      <c r="B30" s="4">
        <v>22</v>
      </c>
      <c r="C30" s="28">
        <f>IFERROR(oct!Q28,"")</f>
        <v>80.180000000000007</v>
      </c>
      <c r="K30" s="42">
        <f ca="1">oct!K29</f>
        <v>13</v>
      </c>
      <c r="L30" s="42" t="str">
        <f>oct!L29</f>
        <v>Sergio Alfonso</v>
      </c>
      <c r="M30" s="28">
        <f>oct!M29</f>
        <v>70.069999999999993</v>
      </c>
      <c r="N30" s="77">
        <f t="shared" si="1"/>
        <v>6.9999999999993179E-2</v>
      </c>
      <c r="O30" s="91">
        <f t="shared" si="2"/>
        <v>70.034999999999997</v>
      </c>
      <c r="P30" s="92">
        <f t="shared" si="3"/>
        <v>70.185000000000002</v>
      </c>
      <c r="Q30" s="91">
        <f t="shared" ca="1" si="4"/>
        <v>87.523999999999887</v>
      </c>
      <c r="R30" s="92">
        <f ca="1">IF($Q$2=$V$2,$F$21*Tabla43[[#This Row],[límite sup]]-$F$19,($F$22*Tabla43[[#This Row],[límite sup]]-$F$19)/$F$23)</f>
        <v>88.423999999999978</v>
      </c>
    </row>
    <row r="31" spans="2:22" x14ac:dyDescent="0.2">
      <c r="B31" s="4">
        <v>23</v>
      </c>
      <c r="C31" s="28">
        <f>IFERROR(oct!Q29,"")</f>
        <v>87.23</v>
      </c>
      <c r="K31" s="42">
        <f ca="1">oct!K30</f>
        <v>12</v>
      </c>
      <c r="L31" s="42" t="str">
        <f>oct!L30</f>
        <v>Javier Pérez Salazar</v>
      </c>
      <c r="M31" s="28">
        <f>oct!M30</f>
        <v>70</v>
      </c>
      <c r="N31" s="77">
        <f t="shared" si="1"/>
        <v>4.0000000000006253E-2</v>
      </c>
      <c r="O31" s="91">
        <f t="shared" si="2"/>
        <v>69.97999999999999</v>
      </c>
      <c r="P31" s="92">
        <f t="shared" si="3"/>
        <v>70.034999999999997</v>
      </c>
      <c r="Q31" s="91">
        <f t="shared" ca="1" si="4"/>
        <v>87.193999999999875</v>
      </c>
      <c r="R31" s="92">
        <f ca="1">IF($Q$2=$V$2,$F$21*Tabla43[[#This Row],[límite sup]]-$F$19,($F$22*Tabla43[[#This Row],[límite sup]]-$F$19)/$F$23)</f>
        <v>87.523999999999887</v>
      </c>
      <c r="T31">
        <v>52</v>
      </c>
    </row>
    <row r="32" spans="2:22" x14ac:dyDescent="0.2">
      <c r="B32" s="4">
        <v>24</v>
      </c>
      <c r="C32" s="28">
        <f>IFERROR(oct!Q30,"")</f>
        <v>70.19</v>
      </c>
      <c r="F32" s="4"/>
      <c r="H32" s="4"/>
      <c r="K32" s="42">
        <f ca="1">oct!K31</f>
        <v>11</v>
      </c>
      <c r="L32" s="42" t="str">
        <f>oct!L31</f>
        <v>Fernando Sánchez-Rey Maeso</v>
      </c>
      <c r="M32" s="28">
        <f>oct!M31</f>
        <v>69.959999999999994</v>
      </c>
      <c r="N32" s="77">
        <f t="shared" si="1"/>
        <v>0.59999999999999432</v>
      </c>
      <c r="O32" s="91">
        <f t="shared" si="2"/>
        <v>69.66</v>
      </c>
      <c r="P32" s="92">
        <f t="shared" si="3"/>
        <v>69.97999999999999</v>
      </c>
      <c r="Q32" s="91">
        <f t="shared" ca="1" si="4"/>
        <v>85.273999999999887</v>
      </c>
      <c r="R32" s="92">
        <f ca="1">IF($Q$2=$V$2,$F$21*Tabla43[[#This Row],[límite sup]]-$F$19,($F$22*Tabla43[[#This Row],[límite sup]]-$F$19)/$F$23)</f>
        <v>87.193999999999875</v>
      </c>
      <c r="T32">
        <v>75</v>
      </c>
    </row>
    <row r="33" spans="2:21" x14ac:dyDescent="0.2">
      <c r="B33" s="4">
        <v>25</v>
      </c>
      <c r="C33" s="28">
        <f>IFERROR(oct!Q31,"")</f>
        <v>63.8</v>
      </c>
      <c r="F33" s="4"/>
      <c r="H33" s="28"/>
      <c r="K33" s="42">
        <f ca="1">oct!K32</f>
        <v>10</v>
      </c>
      <c r="L33" s="42" t="str">
        <f>oct!L32</f>
        <v>Víctor Baeschlin Sánchez</v>
      </c>
      <c r="M33" s="28">
        <f>oct!M32</f>
        <v>69.36</v>
      </c>
      <c r="N33" s="77">
        <f t="shared" si="1"/>
        <v>0.28000000000000114</v>
      </c>
      <c r="O33" s="91">
        <f t="shared" si="2"/>
        <v>69.22</v>
      </c>
      <c r="P33" s="92">
        <f t="shared" si="3"/>
        <v>69.66</v>
      </c>
      <c r="Q33" s="91">
        <f t="shared" ca="1" si="4"/>
        <v>82.633999999999929</v>
      </c>
      <c r="R33" s="92">
        <f ca="1">IF($Q$2=$V$2,$F$21*Tabla43[[#This Row],[límite sup]]-$F$19,($F$22*Tabla43[[#This Row],[límite sup]]-$F$19)/$F$23)</f>
        <v>85.273999999999887</v>
      </c>
      <c r="T33">
        <v>75</v>
      </c>
    </row>
    <row r="34" spans="2:21" x14ac:dyDescent="0.2">
      <c r="B34" s="4">
        <v>26</v>
      </c>
      <c r="C34" s="28" t="str">
        <f>IFERROR(oct!Q32,"")</f>
        <v/>
      </c>
      <c r="F34" s="28"/>
      <c r="H34" s="28"/>
      <c r="K34" s="42">
        <f ca="1">oct!K33</f>
        <v>9</v>
      </c>
      <c r="L34" s="42" t="str">
        <f>oct!L33</f>
        <v>Gladys Rocha Blanco</v>
      </c>
      <c r="M34" s="28">
        <f>oct!M33</f>
        <v>69.08</v>
      </c>
      <c r="N34" s="77">
        <f t="shared" si="1"/>
        <v>4.9999999999997158E-2</v>
      </c>
      <c r="O34" s="91">
        <f t="shared" si="2"/>
        <v>69.055000000000007</v>
      </c>
      <c r="P34" s="92">
        <f t="shared" si="3"/>
        <v>69.22</v>
      </c>
      <c r="Q34" s="91">
        <f t="shared" ca="1" si="4"/>
        <v>81.643999999999963</v>
      </c>
      <c r="R34" s="92">
        <f ca="1">IF($Q$2=$V$2,$F$21*Tabla43[[#This Row],[límite sup]]-$F$19,($F$22*Tabla43[[#This Row],[límite sup]]-$F$19)/$F$23)</f>
        <v>82.633999999999929</v>
      </c>
      <c r="T34">
        <v>75</v>
      </c>
      <c r="U34">
        <f>AVERAGE(T31:T34)</f>
        <v>69.25</v>
      </c>
    </row>
    <row r="35" spans="2:21" x14ac:dyDescent="0.2">
      <c r="B35" s="4">
        <v>27</v>
      </c>
      <c r="C35" s="28" t="str">
        <f>IFERROR(oct!Q33,"")</f>
        <v/>
      </c>
      <c r="F35" s="4"/>
      <c r="H35" s="4"/>
      <c r="K35" s="42">
        <f ca="1">oct!K34</f>
        <v>8</v>
      </c>
      <c r="L35" s="42" t="str">
        <f>oct!L34</f>
        <v>Aitor Folch</v>
      </c>
      <c r="M35" s="28">
        <f>oct!M34</f>
        <v>69.03</v>
      </c>
      <c r="N35" s="77">
        <f t="shared" si="1"/>
        <v>0.34999999999999432</v>
      </c>
      <c r="O35" s="91">
        <f t="shared" si="2"/>
        <v>68.855000000000004</v>
      </c>
      <c r="P35" s="92">
        <f t="shared" si="3"/>
        <v>69.055000000000007</v>
      </c>
      <c r="Q35" s="91">
        <f t="shared" ca="1" si="4"/>
        <v>80.44399999999996</v>
      </c>
      <c r="R35" s="92">
        <f ca="1">IF($Q$2=$V$2,$F$21*Tabla43[[#This Row],[límite sup]]-$F$19,($F$22*Tabla43[[#This Row],[límite sup]]-$F$19)/$F$23)</f>
        <v>81.643999999999963</v>
      </c>
    </row>
    <row r="36" spans="2:21" x14ac:dyDescent="0.2">
      <c r="B36" s="4">
        <v>28</v>
      </c>
      <c r="C36" s="28" t="str">
        <f>IFERROR(oct!Q34,"")</f>
        <v/>
      </c>
      <c r="F36" s="28"/>
      <c r="H36" s="28"/>
      <c r="K36" s="42">
        <f ca="1">oct!K35</f>
        <v>7</v>
      </c>
      <c r="L36" s="42" t="str">
        <f>oct!L35</f>
        <v>Beatriz Muñoz Rioboo</v>
      </c>
      <c r="M36" s="28">
        <f>oct!M35</f>
        <v>68.680000000000007</v>
      </c>
      <c r="N36" s="77">
        <f t="shared" si="1"/>
        <v>0.60000000000000853</v>
      </c>
      <c r="O36" s="91">
        <f t="shared" si="2"/>
        <v>68.38</v>
      </c>
      <c r="P36" s="92">
        <f t="shared" si="3"/>
        <v>68.855000000000004</v>
      </c>
      <c r="Q36" s="91">
        <f t="shared" ca="1" si="4"/>
        <v>77.593999999999866</v>
      </c>
      <c r="R36" s="92">
        <f ca="1">IF($Q$2=$V$2,$F$21*Tabla43[[#This Row],[límite sup]]-$F$19,($F$22*Tabla43[[#This Row],[límite sup]]-$F$19)/$F$23)</f>
        <v>80.44399999999996</v>
      </c>
    </row>
    <row r="37" spans="2:21" x14ac:dyDescent="0.2">
      <c r="B37" s="4">
        <v>29</v>
      </c>
      <c r="C37" s="28" t="str">
        <f>IFERROR(oct!Q35,"")</f>
        <v/>
      </c>
      <c r="K37" s="42">
        <f ca="1">oct!K36</f>
        <v>6</v>
      </c>
      <c r="L37" s="42" t="str">
        <f>oct!L36</f>
        <v>Jose F Vidal</v>
      </c>
      <c r="M37" s="28">
        <f>oct!M36</f>
        <v>68.08</v>
      </c>
      <c r="N37" s="77">
        <f t="shared" si="1"/>
        <v>0.23000000000000398</v>
      </c>
      <c r="O37" s="91">
        <f t="shared" si="2"/>
        <v>67.965000000000003</v>
      </c>
      <c r="P37" s="92">
        <f t="shared" si="3"/>
        <v>68.38</v>
      </c>
      <c r="Q37" s="91">
        <f t="shared" ca="1" si="4"/>
        <v>75.103999999999957</v>
      </c>
      <c r="R37" s="92">
        <f ca="1">IF($Q$2=$V$2,$F$21*Tabla43[[#This Row],[límite sup]]-$F$19,($F$22*Tabla43[[#This Row],[límite sup]]-$F$19)/$F$23)</f>
        <v>77.593999999999866</v>
      </c>
    </row>
    <row r="38" spans="2:21" x14ac:dyDescent="0.2">
      <c r="B38" s="4">
        <v>30</v>
      </c>
      <c r="C38" s="28" t="str">
        <f>IFERROR(oct!Q36,"")</f>
        <v/>
      </c>
      <c r="K38" s="42">
        <f ca="1">oct!K37</f>
        <v>4</v>
      </c>
      <c r="L38" s="42" t="str">
        <f>oct!L37</f>
        <v>Alfonso Lezcano</v>
      </c>
      <c r="M38" s="28">
        <f>oct!M37</f>
        <v>67.849999999999994</v>
      </c>
      <c r="N38" s="77">
        <f t="shared" si="1"/>
        <v>1.4499999999999886</v>
      </c>
      <c r="O38" s="91">
        <f t="shared" si="2"/>
        <v>67.125</v>
      </c>
      <c r="P38" s="92">
        <f t="shared" si="3"/>
        <v>67.965000000000003</v>
      </c>
      <c r="Q38" s="91">
        <f t="shared" ca="1" si="4"/>
        <v>70.063999999999936</v>
      </c>
      <c r="R38" s="92">
        <f ca="1">IF($Q$2=$V$2,$F$21*Tabla43[[#This Row],[límite sup]]-$F$19,($F$22*Tabla43[[#This Row],[límite sup]]-$F$19)/$F$23)</f>
        <v>75.103999999999957</v>
      </c>
    </row>
    <row r="39" spans="2:21" x14ac:dyDescent="0.2">
      <c r="B39" s="4"/>
      <c r="C39" s="28"/>
      <c r="K39" s="42">
        <f ca="1">oct!K38</f>
        <v>1</v>
      </c>
      <c r="L39" s="42" t="str">
        <f>oct!L38</f>
        <v>Roque Alonso Alonso</v>
      </c>
      <c r="M39" s="28">
        <f>oct!M38</f>
        <v>66.400000000000006</v>
      </c>
      <c r="N39" s="77">
        <f t="shared" si="1"/>
        <v>0.15000000000000568</v>
      </c>
      <c r="O39" s="91">
        <f t="shared" si="2"/>
        <v>66.325000000000003</v>
      </c>
      <c r="P39" s="92">
        <f t="shared" si="3"/>
        <v>67.125</v>
      </c>
      <c r="Q39" s="91">
        <f t="shared" ca="1" si="4"/>
        <v>65.263999999999939</v>
      </c>
      <c r="R39" s="92">
        <f ca="1">IF($Q$2=$V$2,$F$21*Tabla43[[#This Row],[límite sup]]-$F$19,($F$22*Tabla43[[#This Row],[límite sup]]-$F$19)/$F$23)</f>
        <v>70.063999999999936</v>
      </c>
    </row>
    <row r="40" spans="2:21" x14ac:dyDescent="0.2">
      <c r="B40" s="4"/>
      <c r="C40" s="28" t="str">
        <f>IFERROR(omie_mayo_miniporra[[#This Row],[€/MWh]],"")</f>
        <v/>
      </c>
      <c r="K40" s="42">
        <f ca="1">oct!K39</f>
        <v>2</v>
      </c>
      <c r="L40" s="42" t="str">
        <f>oct!L39</f>
        <v>Josep Vidal</v>
      </c>
      <c r="M40" s="28">
        <f>oct!M39</f>
        <v>66.25</v>
      </c>
      <c r="N40" s="77">
        <f t="shared" si="1"/>
        <v>0.89000000000000057</v>
      </c>
      <c r="O40" s="91">
        <f t="shared" si="2"/>
        <v>65.805000000000007</v>
      </c>
      <c r="P40" s="92">
        <f t="shared" si="3"/>
        <v>66.325000000000003</v>
      </c>
      <c r="Q40" s="91">
        <f t="shared" ca="1" si="4"/>
        <v>62.143999999999963</v>
      </c>
      <c r="R40" s="92">
        <f ca="1">IF($Q$2=$V$2,$F$21*Tabla43[[#This Row],[límite sup]]-$F$19,($F$22*Tabla43[[#This Row],[límite sup]]-$F$19)/$F$23)</f>
        <v>65.263999999999939</v>
      </c>
    </row>
    <row r="41" spans="2:21" x14ac:dyDescent="0.2">
      <c r="B41" s="4"/>
      <c r="C41" s="28" t="str">
        <f>IFERROR(omie_mayo_miniporra[[#This Row],[€/MWh]],"")</f>
        <v/>
      </c>
      <c r="K41" s="42">
        <f ca="1">oct!K40</f>
        <v>3</v>
      </c>
      <c r="L41" s="42" t="str">
        <f>oct!L40</f>
        <v>Ruben Sanjuan Escribano</v>
      </c>
      <c r="M41" s="28">
        <f>oct!M40</f>
        <v>65.36</v>
      </c>
      <c r="N41" s="77">
        <f t="shared" si="1"/>
        <v>0.12999999999999545</v>
      </c>
      <c r="O41" s="91">
        <f t="shared" si="2"/>
        <v>65.295000000000002</v>
      </c>
      <c r="P41" s="92">
        <f t="shared" si="3"/>
        <v>65.805000000000007</v>
      </c>
      <c r="Q41" s="91">
        <f t="shared" ca="1" si="4"/>
        <v>59.083999999999968</v>
      </c>
      <c r="R41" s="92">
        <f ca="1">IF($Q$2=$V$2,$F$21*Tabla43[[#This Row],[límite sup]]-$F$19,($F$22*Tabla43[[#This Row],[límite sup]]-$F$19)/$F$23)</f>
        <v>62.143999999999963</v>
      </c>
    </row>
    <row r="42" spans="2:21" x14ac:dyDescent="0.2">
      <c r="B42" s="4"/>
      <c r="C42" s="28" t="str">
        <f>IFERROR(omie_mayo_miniporra[[#This Row],[€/MWh]],"")</f>
        <v/>
      </c>
      <c r="K42" s="42">
        <f ca="1">oct!K41</f>
        <v>5</v>
      </c>
      <c r="L42" s="42" t="str">
        <f>oct!L41</f>
        <v>Ricardo Estévez Solís</v>
      </c>
      <c r="M42" s="28">
        <f>oct!M41</f>
        <v>65.23</v>
      </c>
      <c r="N42" s="77">
        <f t="shared" si="1"/>
        <v>2.8300000000000054</v>
      </c>
      <c r="O42" s="91">
        <f t="shared" si="2"/>
        <v>63.814999999999998</v>
      </c>
      <c r="P42" s="92">
        <f t="shared" si="3"/>
        <v>65.295000000000002</v>
      </c>
      <c r="Q42" s="91">
        <f t="shared" ca="1" si="4"/>
        <v>50.203999999999908</v>
      </c>
      <c r="R42" s="92">
        <f ca="1">IF($Q$2=$V$2,$F$21*Tabla43[[#This Row],[límite sup]]-$F$19,($F$22*Tabla43[[#This Row],[límite sup]]-$F$19)/$F$23)</f>
        <v>59.083999999999968</v>
      </c>
    </row>
    <row r="43" spans="2:21" x14ac:dyDescent="0.2">
      <c r="B43" s="4"/>
      <c r="C43" s="28" t="str">
        <f>IFERROR(omie_mayo_miniporra[[#This Row],[€/MWh]],"")</f>
        <v/>
      </c>
      <c r="F43" s="4"/>
      <c r="K43" s="42">
        <f ca="1">oct!K42</f>
        <v>15</v>
      </c>
      <c r="L43" s="42" t="str">
        <f>oct!L42</f>
        <v>Diego Montesino</v>
      </c>
      <c r="M43" s="28">
        <f>oct!M42</f>
        <v>62.4</v>
      </c>
      <c r="N43" s="77">
        <f t="shared" si="1"/>
        <v>2.3999999999999986</v>
      </c>
      <c r="O43" s="91">
        <f t="shared" si="2"/>
        <v>61.2</v>
      </c>
      <c r="P43" s="92">
        <f t="shared" si="3"/>
        <v>63.814999999999998</v>
      </c>
      <c r="Q43" s="91">
        <f t="shared" ca="1" si="4"/>
        <v>34.513999999999939</v>
      </c>
      <c r="R43" s="92">
        <f ca="1">IF($Q$2=$V$2,$F$21*Tabla43[[#This Row],[límite sup]]-$F$19,($F$22*Tabla43[[#This Row],[límite sup]]-$F$19)/$F$23)</f>
        <v>50.203999999999908</v>
      </c>
    </row>
    <row r="44" spans="2:21" x14ac:dyDescent="0.2">
      <c r="K44" s="42">
        <f ca="1">oct!K43</f>
        <v>21</v>
      </c>
      <c r="L44" s="42" t="str">
        <f>oct!L43</f>
        <v>Alfonso Zárate Conde</v>
      </c>
      <c r="M44" s="28">
        <f>oct!M43</f>
        <v>60</v>
      </c>
      <c r="N44" s="77">
        <f t="shared" si="1"/>
        <v>0.20000000000000284</v>
      </c>
      <c r="O44" s="91">
        <f t="shared" si="2"/>
        <v>59.9</v>
      </c>
      <c r="P44" s="92">
        <f t="shared" si="3"/>
        <v>61.2</v>
      </c>
      <c r="Q44" s="91">
        <f t="shared" ca="1" si="4"/>
        <v>26.713999999999942</v>
      </c>
      <c r="R44" s="92">
        <f ca="1">IF($Q$2=$V$2,$F$21*Tabla43[[#This Row],[límite sup]]-$F$19,($F$22*Tabla43[[#This Row],[límite sup]]-$F$19)/$F$23)</f>
        <v>34.513999999999939</v>
      </c>
    </row>
    <row r="45" spans="2:21" x14ac:dyDescent="0.2">
      <c r="K45" s="42">
        <f ca="1">oct!K44</f>
        <v>22</v>
      </c>
      <c r="L45" s="42" t="str">
        <f>oct!L44</f>
        <v>Carles Estruch Puig</v>
      </c>
      <c r="M45" s="28">
        <f>oct!M44</f>
        <v>59.8</v>
      </c>
      <c r="N45" s="77">
        <f t="shared" si="1"/>
        <v>15.18</v>
      </c>
      <c r="O45" s="91">
        <f t="shared" si="2"/>
        <v>52.209999999999994</v>
      </c>
      <c r="P45" s="92">
        <f t="shared" si="3"/>
        <v>59.9</v>
      </c>
      <c r="Q45" s="91">
        <f t="shared" ca="1" si="4"/>
        <v>-19.426000000000112</v>
      </c>
      <c r="R45" s="92">
        <f ca="1">IF($Q$2=$V$2,$F$21*Tabla43[[#This Row],[límite sup]]-$F$19,($F$22*Tabla43[[#This Row],[límite sup]]-$F$19)/$F$23)</f>
        <v>26.713999999999942</v>
      </c>
    </row>
    <row r="46" spans="2:21" x14ac:dyDescent="0.2">
      <c r="K46" s="42">
        <f ca="1">oct!K45</f>
        <v>37</v>
      </c>
      <c r="L46" s="42" t="str">
        <f>oct!L45</f>
        <v>Pablo Herrero Del Barrio</v>
      </c>
      <c r="M46" s="28">
        <f>oct!M45</f>
        <v>44.62</v>
      </c>
      <c r="N46" s="77">
        <f t="shared" si="1"/>
        <v>44.62</v>
      </c>
      <c r="O46" s="91">
        <f t="shared" si="2"/>
        <v>22.31</v>
      </c>
      <c r="P46" s="92">
        <f t="shared" si="3"/>
        <v>52.209999999999994</v>
      </c>
      <c r="Q46" s="91">
        <f t="shared" si="4"/>
        <v>0</v>
      </c>
      <c r="R46" s="92">
        <f ca="1">IF($Q$2=$V$2,$F$21*Tabla43[[#This Row],[límite sup]]-$F$19,($F$22*Tabla43[[#This Row],[límite sup]]-$F$19)/$F$23)</f>
        <v>-19.426000000000112</v>
      </c>
    </row>
    <row r="47" spans="2:21" x14ac:dyDescent="0.2">
      <c r="K47" s="42"/>
      <c r="L47" s="42"/>
      <c r="M47" s="28"/>
      <c r="N47" s="77"/>
      <c r="O47" s="91"/>
      <c r="P47" s="92"/>
      <c r="Q47" s="91"/>
      <c r="R47" s="92"/>
    </row>
    <row r="48" spans="2:21" x14ac:dyDescent="0.2">
      <c r="K48" s="42"/>
      <c r="L48" s="42"/>
      <c r="M48" s="28"/>
      <c r="N48" s="77"/>
      <c r="O48" s="91"/>
      <c r="P48" s="92"/>
      <c r="Q48" s="91"/>
      <c r="R48" s="92"/>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K8:R58">
    <cfRule type="expression" dxfId="43" priority="1" stopIfTrue="1">
      <formula>$K8:$K58=1</formula>
    </cfRule>
    <cfRule type="expression" priority="2" stopIfTrue="1">
      <formula>$M8:$M58&gt;=$U$13+1</formula>
    </cfRule>
    <cfRule type="expression" dxfId="42" priority="74">
      <formula>$M8:$M58&gt;=$U$10+1</formula>
    </cfRule>
    <cfRule type="expression" dxfId="41" priority="75">
      <formula>$M8:$M58&gt;=$U$9</formula>
    </cfRule>
    <cfRule type="expression" dxfId="40" priority="77">
      <formula>$M8:$M58&gt;=$U$12</formula>
    </cfRule>
  </conditionalFormatting>
  <dataValidations disablePrompts="1"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97"/>
  <sheetViews>
    <sheetView zoomScaleNormal="100" workbookViewId="0">
      <selection activeCell="S44" sqref="S44"/>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1026</v>
      </c>
      <c r="B3" s="80">
        <v>44.62</v>
      </c>
      <c r="C3">
        <f>_xlfn.NORM.DIST(B3,$F$3,$F$4,FALSE)</f>
        <v>6.1075695809999458E-4</v>
      </c>
      <c r="D3">
        <f>_xlfn.NORM.DIST(B3,$F$3,$F$4,TRUE)</f>
        <v>1.8726634117210118E-3</v>
      </c>
      <c r="E3" t="s">
        <v>489</v>
      </c>
      <c r="F3" s="21">
        <f>AVERAGE(B3:B41)</f>
        <v>72.966923076923095</v>
      </c>
    </row>
    <row r="4" spans="1:26" x14ac:dyDescent="0.2">
      <c r="A4" t="s">
        <v>215</v>
      </c>
      <c r="B4" s="81">
        <v>59.8</v>
      </c>
      <c r="C4">
        <f t="shared" ref="C4:C41" si="0">_xlfn.NORM.DIST(B4,$F$3,$F$4,FALSE)</f>
        <v>1.6479056579468087E-2</v>
      </c>
      <c r="D4">
        <f t="shared" ref="D4:D41" si="1">_xlfn.NORM.DIST(B4,$F$3,$F$4,TRUE)</f>
        <v>8.9071695548580188E-2</v>
      </c>
      <c r="E4" t="s">
        <v>809</v>
      </c>
      <c r="F4">
        <f>_xlfn.STDEV.S(B3:B41)</f>
        <v>9.7786750135302878</v>
      </c>
      <c r="Y4" t="s">
        <v>960</v>
      </c>
    </row>
    <row r="5" spans="1:26" x14ac:dyDescent="0.2">
      <c r="A5" t="s">
        <v>1137</v>
      </c>
      <c r="B5" s="80">
        <v>60</v>
      </c>
      <c r="C5">
        <f t="shared" si="0"/>
        <v>1.6935643902894752E-2</v>
      </c>
      <c r="D5">
        <f t="shared" si="1"/>
        <v>9.2413074097179609E-2</v>
      </c>
      <c r="E5" s="45" t="s">
        <v>808</v>
      </c>
      <c r="F5" s="83">
        <f>MEDIAN(B3:B41)</f>
        <v>71.739999999999995</v>
      </c>
      <c r="Y5" t="s">
        <v>553</v>
      </c>
      <c r="Z5" s="23">
        <f>powerrange!U9</f>
        <v>61.721999999999994</v>
      </c>
    </row>
    <row r="6" spans="1:26" x14ac:dyDescent="0.2">
      <c r="A6" t="s">
        <v>1135</v>
      </c>
      <c r="B6" s="81">
        <v>62.4</v>
      </c>
      <c r="C6">
        <f t="shared" si="0"/>
        <v>2.2754318961164997E-2</v>
      </c>
      <c r="D6">
        <f t="shared" si="1"/>
        <v>0.13993556488377709</v>
      </c>
      <c r="Y6" t="s">
        <v>959</v>
      </c>
      <c r="Z6" s="23">
        <f>powerrange!U10</f>
        <v>75.438000000000002</v>
      </c>
    </row>
    <row r="7" spans="1:26" x14ac:dyDescent="0.2">
      <c r="A7" t="s">
        <v>1028</v>
      </c>
      <c r="B7" s="80">
        <v>65.23</v>
      </c>
      <c r="C7">
        <f t="shared" si="0"/>
        <v>2.9832880727356247E-2</v>
      </c>
      <c r="D7">
        <f t="shared" si="1"/>
        <v>0.21441258948052724</v>
      </c>
    </row>
    <row r="8" spans="1:26" x14ac:dyDescent="0.2">
      <c r="A8" t="s">
        <v>1106</v>
      </c>
      <c r="B8" s="81">
        <v>65.36</v>
      </c>
      <c r="C8">
        <f t="shared" si="0"/>
        <v>3.0145668371600112E-2</v>
      </c>
      <c r="D8">
        <f t="shared" si="1"/>
        <v>0.21831121724812755</v>
      </c>
    </row>
    <row r="9" spans="1:26" x14ac:dyDescent="0.2">
      <c r="A9" t="s">
        <v>1103</v>
      </c>
      <c r="B9" s="80">
        <v>66.25</v>
      </c>
      <c r="C9">
        <f t="shared" si="0"/>
        <v>3.2223640890616564E-2</v>
      </c>
      <c r="D9">
        <f t="shared" si="1"/>
        <v>0.24607444565809339</v>
      </c>
    </row>
    <row r="10" spans="1:26" x14ac:dyDescent="0.2">
      <c r="A10" t="s">
        <v>363</v>
      </c>
      <c r="B10" s="81">
        <v>66.400000000000006</v>
      </c>
      <c r="C10">
        <f t="shared" si="0"/>
        <v>3.256113337048612E-2</v>
      </c>
      <c r="D10">
        <f t="shared" si="1"/>
        <v>0.25093335504799574</v>
      </c>
    </row>
    <row r="11" spans="1:26" x14ac:dyDescent="0.2">
      <c r="A11" t="s">
        <v>221</v>
      </c>
      <c r="B11" s="80">
        <v>67.849999999999994</v>
      </c>
      <c r="C11">
        <f t="shared" si="0"/>
        <v>3.5577203719672892E-2</v>
      </c>
      <c r="D11">
        <f t="shared" si="1"/>
        <v>0.30039191361510487</v>
      </c>
    </row>
    <row r="12" spans="1:26" x14ac:dyDescent="0.2">
      <c r="A12" t="s">
        <v>222</v>
      </c>
      <c r="B12" s="81">
        <v>68.08</v>
      </c>
      <c r="C12">
        <f t="shared" si="0"/>
        <v>3.6007821309288278E-2</v>
      </c>
      <c r="D12">
        <f t="shared" si="1"/>
        <v>0.30862447171985369</v>
      </c>
    </row>
    <row r="13" spans="1:26" x14ac:dyDescent="0.2">
      <c r="A13" t="s">
        <v>413</v>
      </c>
      <c r="B13" s="80">
        <v>68.680000000000007</v>
      </c>
      <c r="C13">
        <f t="shared" si="0"/>
        <v>3.7059236696896397E-2</v>
      </c>
      <c r="D13">
        <f t="shared" si="1"/>
        <v>0.33054995388500674</v>
      </c>
      <c r="F13">
        <f>_xlfn.PERCENTILE.INC(C3:C41,0.75)</f>
        <v>3.9176703392770962E-2</v>
      </c>
    </row>
    <row r="14" spans="1:26" x14ac:dyDescent="0.2">
      <c r="A14" t="s">
        <v>328</v>
      </c>
      <c r="B14" s="81">
        <v>69.03</v>
      </c>
      <c r="C14">
        <f t="shared" si="0"/>
        <v>3.762121786047351E-2</v>
      </c>
      <c r="D14">
        <f t="shared" si="1"/>
        <v>0.34362018200632127</v>
      </c>
    </row>
    <row r="15" spans="1:26" x14ac:dyDescent="0.2">
      <c r="A15" t="s">
        <v>409</v>
      </c>
      <c r="B15" s="80">
        <v>69.08</v>
      </c>
      <c r="C15">
        <f t="shared" si="0"/>
        <v>3.7698250962424615E-2</v>
      </c>
      <c r="D15">
        <f t="shared" si="1"/>
        <v>0.34550317217282495</v>
      </c>
    </row>
    <row r="16" spans="1:26" x14ac:dyDescent="0.2">
      <c r="A16" t="s">
        <v>1131</v>
      </c>
      <c r="B16" s="81">
        <v>69.36</v>
      </c>
      <c r="C16">
        <f t="shared" si="0"/>
        <v>3.8114141108429485E-2</v>
      </c>
      <c r="D16">
        <f t="shared" si="1"/>
        <v>0.35611752578906453</v>
      </c>
    </row>
    <row r="17" spans="1:4" x14ac:dyDescent="0.2">
      <c r="A17" t="s">
        <v>217</v>
      </c>
      <c r="B17" s="80">
        <v>69.959999999999994</v>
      </c>
      <c r="C17">
        <f t="shared" si="0"/>
        <v>3.8913266669493629E-2</v>
      </c>
      <c r="D17">
        <f t="shared" si="1"/>
        <v>0.37923216992268538</v>
      </c>
    </row>
    <row r="18" spans="1:4" x14ac:dyDescent="0.2">
      <c r="A18" t="s">
        <v>406</v>
      </c>
      <c r="B18" s="81">
        <v>70</v>
      </c>
      <c r="C18">
        <f t="shared" si="0"/>
        <v>3.896191781160431E-2</v>
      </c>
      <c r="D18">
        <f t="shared" si="1"/>
        <v>0.38078967558142263</v>
      </c>
    </row>
    <row r="19" spans="1:4" x14ac:dyDescent="0.2">
      <c r="A19" t="s">
        <v>542</v>
      </c>
      <c r="B19" s="80">
        <v>70.069999999999993</v>
      </c>
      <c r="C19">
        <f t="shared" si="0"/>
        <v>3.9045631612044385E-2</v>
      </c>
      <c r="D19">
        <f t="shared" si="1"/>
        <v>0.38351995042212184</v>
      </c>
    </row>
    <row r="20" spans="1:4" x14ac:dyDescent="0.2">
      <c r="A20" t="s">
        <v>414</v>
      </c>
      <c r="B20" s="81">
        <v>70.3</v>
      </c>
      <c r="C20">
        <f t="shared" si="0"/>
        <v>3.9307775173497546E-2</v>
      </c>
      <c r="D20">
        <f t="shared" si="1"/>
        <v>0.39253097399551184</v>
      </c>
    </row>
    <row r="21" spans="1:4" x14ac:dyDescent="0.2">
      <c r="A21" t="s">
        <v>474</v>
      </c>
      <c r="B21" s="80">
        <v>71.010000000000005</v>
      </c>
      <c r="C21">
        <f t="shared" si="0"/>
        <v>3.9988361266182874E-2</v>
      </c>
      <c r="D21">
        <f t="shared" si="1"/>
        <v>0.42069278084243761</v>
      </c>
    </row>
    <row r="22" spans="1:4" x14ac:dyDescent="0.2">
      <c r="A22" t="s">
        <v>652</v>
      </c>
      <c r="B22" s="81">
        <v>71.739999999999995</v>
      </c>
      <c r="C22">
        <f t="shared" si="0"/>
        <v>4.047730647107195E-2</v>
      </c>
      <c r="D22">
        <f t="shared" si="1"/>
        <v>0.45007603148313829</v>
      </c>
    </row>
    <row r="23" spans="1:4" x14ac:dyDescent="0.2">
      <c r="A23" t="s">
        <v>219</v>
      </c>
      <c r="B23" s="80">
        <v>72.22</v>
      </c>
      <c r="C23">
        <f t="shared" si="0"/>
        <v>4.0678332518310031E-2</v>
      </c>
      <c r="D23">
        <f t="shared" si="1"/>
        <v>0.46955725631598383</v>
      </c>
    </row>
    <row r="24" spans="1:4" x14ac:dyDescent="0.2">
      <c r="A24" t="s">
        <v>408</v>
      </c>
      <c r="B24" s="81">
        <v>72.45</v>
      </c>
      <c r="C24">
        <f t="shared" si="0"/>
        <v>4.0740208950538745E-2</v>
      </c>
      <c r="D24">
        <f t="shared" si="1"/>
        <v>0.47892081844791357</v>
      </c>
    </row>
    <row r="25" spans="1:4" x14ac:dyDescent="0.2">
      <c r="A25" t="s">
        <v>1126</v>
      </c>
      <c r="B25" s="80">
        <v>72.58</v>
      </c>
      <c r="C25">
        <f t="shared" si="0"/>
        <v>4.0765247232063664E-2</v>
      </c>
      <c r="D25">
        <f t="shared" si="1"/>
        <v>0.4842187509609166</v>
      </c>
    </row>
    <row r="26" spans="1:4" x14ac:dyDescent="0.2">
      <c r="A26" t="s">
        <v>1125</v>
      </c>
      <c r="B26" s="81">
        <v>73.75</v>
      </c>
      <c r="C26">
        <f t="shared" si="0"/>
        <v>4.0666568484847704E-2</v>
      </c>
      <c r="D26">
        <f t="shared" si="1"/>
        <v>0.53191321086692833</v>
      </c>
    </row>
    <row r="27" spans="1:4" x14ac:dyDescent="0.2">
      <c r="A27" t="s">
        <v>381</v>
      </c>
      <c r="B27" s="80">
        <v>74.09</v>
      </c>
      <c r="C27">
        <f t="shared" si="0"/>
        <v>4.0528990573977165E-2</v>
      </c>
      <c r="D27">
        <f t="shared" si="1"/>
        <v>0.54571783336538782</v>
      </c>
    </row>
    <row r="28" spans="1:4" x14ac:dyDescent="0.2">
      <c r="A28" t="s">
        <v>1121</v>
      </c>
      <c r="B28" s="81">
        <v>74.19</v>
      </c>
      <c r="C28">
        <f t="shared" si="0"/>
        <v>4.0479300929641658E-2</v>
      </c>
      <c r="D28">
        <f t="shared" si="1"/>
        <v>0.54976828273142142</v>
      </c>
    </row>
    <row r="29" spans="1:4" x14ac:dyDescent="0.2">
      <c r="A29" t="s">
        <v>784</v>
      </c>
      <c r="B29" s="80">
        <v>75.2</v>
      </c>
      <c r="C29">
        <f t="shared" si="0"/>
        <v>3.9747151122912966E-2</v>
      </c>
      <c r="D29">
        <f t="shared" si="1"/>
        <v>0.59031755151137677</v>
      </c>
    </row>
    <row r="30" spans="1:4" x14ac:dyDescent="0.2">
      <c r="A30" t="s">
        <v>2</v>
      </c>
      <c r="B30" s="81">
        <v>77.2</v>
      </c>
      <c r="C30">
        <f t="shared" si="0"/>
        <v>3.714824320027519E-2</v>
      </c>
      <c r="D30">
        <f t="shared" si="1"/>
        <v>0.66745214833527744</v>
      </c>
    </row>
    <row r="31" spans="1:4" x14ac:dyDescent="0.2">
      <c r="A31" t="s">
        <v>218</v>
      </c>
      <c r="B31" s="80">
        <v>77.77</v>
      </c>
      <c r="C31">
        <f t="shared" si="0"/>
        <v>3.6161119342424629E-2</v>
      </c>
      <c r="D31">
        <f t="shared" si="1"/>
        <v>0.68834997024363831</v>
      </c>
    </row>
    <row r="32" spans="1:4" x14ac:dyDescent="0.2">
      <c r="A32" t="s">
        <v>225</v>
      </c>
      <c r="B32" s="81">
        <v>78.319999999999993</v>
      </c>
      <c r="C32">
        <f t="shared" si="0"/>
        <v>3.5120200660154269E-2</v>
      </c>
      <c r="D32">
        <f t="shared" si="1"/>
        <v>0.70795610780589469</v>
      </c>
    </row>
    <row r="33" spans="1:18" x14ac:dyDescent="0.2">
      <c r="A33" t="s">
        <v>1118</v>
      </c>
      <c r="B33" s="80">
        <v>79.819999999999993</v>
      </c>
      <c r="C33">
        <f t="shared" si="0"/>
        <v>3.1913828923020658E-2</v>
      </c>
      <c r="D33">
        <f t="shared" si="1"/>
        <v>0.7582918725200819</v>
      </c>
    </row>
    <row r="34" spans="1:18" x14ac:dyDescent="0.2">
      <c r="A34" t="s">
        <v>1105</v>
      </c>
      <c r="B34" s="81">
        <v>80.099999999999994</v>
      </c>
      <c r="C34">
        <f t="shared" si="0"/>
        <v>3.1266974894380191E-2</v>
      </c>
      <c r="D34">
        <f t="shared" si="1"/>
        <v>0.76713748034065821</v>
      </c>
    </row>
    <row r="35" spans="1:18" x14ac:dyDescent="0.2">
      <c r="A35" t="s">
        <v>1102</v>
      </c>
      <c r="B35" s="80">
        <v>82.5</v>
      </c>
      <c r="C35">
        <f t="shared" si="0"/>
        <v>2.5366084685935202E-2</v>
      </c>
      <c r="D35">
        <f t="shared" si="1"/>
        <v>0.83519117713931579</v>
      </c>
    </row>
    <row r="36" spans="1:18" x14ac:dyDescent="0.2">
      <c r="A36" t="s">
        <v>792</v>
      </c>
      <c r="B36" s="81">
        <v>83.75</v>
      </c>
      <c r="C36">
        <f t="shared" si="0"/>
        <v>2.2211812046423911E-2</v>
      </c>
      <c r="D36">
        <f t="shared" si="1"/>
        <v>0.86492419826675415</v>
      </c>
    </row>
    <row r="37" spans="1:18" x14ac:dyDescent="0.2">
      <c r="A37" t="s">
        <v>475</v>
      </c>
      <c r="B37" s="80">
        <v>83.81</v>
      </c>
      <c r="C37">
        <f t="shared" si="0"/>
        <v>2.2061618238746687E-2</v>
      </c>
      <c r="D37">
        <f t="shared" si="1"/>
        <v>0.86625240024710715</v>
      </c>
    </row>
    <row r="38" spans="1:18" x14ac:dyDescent="0.2">
      <c r="A38" t="s">
        <v>786</v>
      </c>
      <c r="B38" s="81">
        <v>84.07</v>
      </c>
      <c r="C38">
        <f t="shared" si="0"/>
        <v>2.1413108657017864E-2</v>
      </c>
      <c r="D38">
        <f t="shared" si="1"/>
        <v>0.8719040284590176</v>
      </c>
    </row>
    <row r="39" spans="1:18" x14ac:dyDescent="0.2">
      <c r="A39" t="s">
        <v>362</v>
      </c>
      <c r="B39" s="80">
        <v>85.17</v>
      </c>
      <c r="C39">
        <f t="shared" si="0"/>
        <v>1.8726718415234704E-2</v>
      </c>
      <c r="D39">
        <f t="shared" si="1"/>
        <v>0.89397118551360599</v>
      </c>
    </row>
    <row r="40" spans="1:18" x14ac:dyDescent="0.2">
      <c r="A40" t="s">
        <v>1027</v>
      </c>
      <c r="B40" s="81">
        <v>89.16</v>
      </c>
      <c r="C40">
        <f t="shared" si="0"/>
        <v>1.0355460814994154E-2</v>
      </c>
      <c r="D40">
        <f t="shared" si="1"/>
        <v>0.95113485639503259</v>
      </c>
    </row>
    <row r="41" spans="1:18" x14ac:dyDescent="0.2">
      <c r="A41" t="s">
        <v>944</v>
      </c>
      <c r="B41" s="82">
        <v>104.34</v>
      </c>
      <c r="C41">
        <f t="shared" si="0"/>
        <v>2.3739444870150475E-4</v>
      </c>
      <c r="D41">
        <f t="shared" si="1"/>
        <v>0.99933242582935355</v>
      </c>
    </row>
    <row r="42" spans="1:18" x14ac:dyDescent="0.2">
      <c r="B42" s="28"/>
    </row>
    <row r="43" spans="1:18" x14ac:dyDescent="0.2">
      <c r="B43" s="28"/>
    </row>
    <row r="44" spans="1:18" x14ac:dyDescent="0.2">
      <c r="B44" s="28"/>
      <c r="Q44" t="s">
        <v>874</v>
      </c>
      <c r="R44" s="26">
        <v>72.97</v>
      </c>
    </row>
    <row r="45" spans="1:18" x14ac:dyDescent="0.2">
      <c r="B45" s="28"/>
      <c r="K45" s="15" t="s">
        <v>222</v>
      </c>
      <c r="L45" s="99">
        <v>81.599999999999994</v>
      </c>
      <c r="M45" s="4">
        <v>0</v>
      </c>
      <c r="Q45" t="s">
        <v>4</v>
      </c>
      <c r="R45" s="21">
        <f ca="1">oct!B3</f>
        <v>66.540000000000006</v>
      </c>
    </row>
    <row r="46" spans="1:18" x14ac:dyDescent="0.2">
      <c r="B46" s="28"/>
      <c r="L46" s="4">
        <f>L45</f>
        <v>81.599999999999994</v>
      </c>
      <c r="M46" t="e">
        <f>INDEX(C3:C55,MATCH(L46,B3:B53,-1))</f>
        <v>#N/A</v>
      </c>
      <c r="Q46" t="s">
        <v>1034</v>
      </c>
      <c r="R46" s="21">
        <f ca="1">ABS(R44-R45)</f>
        <v>6.4299999999999926</v>
      </c>
    </row>
    <row r="47" spans="1:18" x14ac:dyDescent="0.2">
      <c r="B47" s="28"/>
      <c r="L47" s="4"/>
      <c r="M47" s="4"/>
      <c r="Q47" t="s">
        <v>1035</v>
      </c>
      <c r="R47" s="43">
        <f ca="1">R46/R45</f>
        <v>9.6633603847309762E-2</v>
      </c>
    </row>
    <row r="48" spans="1:18" x14ac:dyDescent="0.2">
      <c r="B48" s="28"/>
      <c r="L48" s="4"/>
      <c r="M48" s="4"/>
    </row>
    <row r="49" spans="1:13" x14ac:dyDescent="0.2">
      <c r="B49" s="28"/>
      <c r="K49" t="s">
        <v>229</v>
      </c>
      <c r="L49" s="44">
        <f ca="1">oct!$B$3</f>
        <v>66.540000000000006</v>
      </c>
      <c r="M49" s="4">
        <v>0</v>
      </c>
    </row>
    <row r="50" spans="1:13" x14ac:dyDescent="0.2">
      <c r="B50" s="28"/>
      <c r="L50" s="28">
        <f ca="1">L49</f>
        <v>66.540000000000006</v>
      </c>
      <c r="M50" s="4">
        <f ca="1">INDEX(C3:C41,MATCH(L49,C3:C41,1))+0.01</f>
        <v>1.0237394448701505E-2</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1026</v>
      </c>
      <c r="B59" s="81">
        <v>44.62</v>
      </c>
    </row>
    <row r="60" spans="1:13" x14ac:dyDescent="0.2">
      <c r="A60" t="s">
        <v>215</v>
      </c>
      <c r="B60" s="80">
        <v>59.8</v>
      </c>
    </row>
    <row r="61" spans="1:13" x14ac:dyDescent="0.2">
      <c r="A61" t="s">
        <v>1137</v>
      </c>
      <c r="B61" s="81">
        <v>60</v>
      </c>
    </row>
    <row r="62" spans="1:13" x14ac:dyDescent="0.2">
      <c r="A62" t="s">
        <v>1135</v>
      </c>
      <c r="B62" s="80">
        <v>62.4</v>
      </c>
    </row>
    <row r="63" spans="1:13" x14ac:dyDescent="0.2">
      <c r="A63" t="s">
        <v>1028</v>
      </c>
      <c r="B63" s="81">
        <v>65.23</v>
      </c>
    </row>
    <row r="64" spans="1:13" x14ac:dyDescent="0.2">
      <c r="A64" t="s">
        <v>1106</v>
      </c>
      <c r="B64" s="80">
        <v>65.36</v>
      </c>
    </row>
    <row r="65" spans="1:2" x14ac:dyDescent="0.2">
      <c r="A65" t="s">
        <v>1103</v>
      </c>
      <c r="B65" s="81">
        <v>66.25</v>
      </c>
    </row>
    <row r="66" spans="1:2" x14ac:dyDescent="0.2">
      <c r="A66" t="s">
        <v>363</v>
      </c>
      <c r="B66" s="80">
        <v>66.400000000000006</v>
      </c>
    </row>
    <row r="67" spans="1:2" x14ac:dyDescent="0.2">
      <c r="A67" t="s">
        <v>221</v>
      </c>
      <c r="B67" s="81">
        <v>67.849999999999994</v>
      </c>
    </row>
    <row r="68" spans="1:2" x14ac:dyDescent="0.2">
      <c r="A68" t="s">
        <v>222</v>
      </c>
      <c r="B68" s="81">
        <v>68.08</v>
      </c>
    </row>
    <row r="69" spans="1:2" x14ac:dyDescent="0.2">
      <c r="A69" t="s">
        <v>413</v>
      </c>
      <c r="B69" s="81">
        <v>68.680000000000007</v>
      </c>
    </row>
    <row r="70" spans="1:2" x14ac:dyDescent="0.2">
      <c r="A70" t="s">
        <v>328</v>
      </c>
      <c r="B70" s="80">
        <v>69.03</v>
      </c>
    </row>
    <row r="71" spans="1:2" x14ac:dyDescent="0.2">
      <c r="A71" t="s">
        <v>409</v>
      </c>
      <c r="B71" s="80">
        <v>69.08</v>
      </c>
    </row>
    <row r="72" spans="1:2" x14ac:dyDescent="0.2">
      <c r="A72" t="s">
        <v>1131</v>
      </c>
      <c r="B72" s="81">
        <v>69.36</v>
      </c>
    </row>
    <row r="73" spans="1:2" x14ac:dyDescent="0.2">
      <c r="A73" t="s">
        <v>217</v>
      </c>
      <c r="B73" s="81">
        <v>69.959999999999994</v>
      </c>
    </row>
    <row r="74" spans="1:2" x14ac:dyDescent="0.2">
      <c r="A74" t="s">
        <v>406</v>
      </c>
      <c r="B74" s="80">
        <v>70</v>
      </c>
    </row>
    <row r="75" spans="1:2" x14ac:dyDescent="0.2">
      <c r="A75" t="s">
        <v>542</v>
      </c>
      <c r="B75" s="80">
        <v>70.069999999999993</v>
      </c>
    </row>
    <row r="76" spans="1:2" x14ac:dyDescent="0.2">
      <c r="A76" t="s">
        <v>414</v>
      </c>
      <c r="B76" s="81">
        <v>70.3</v>
      </c>
    </row>
    <row r="77" spans="1:2" x14ac:dyDescent="0.2">
      <c r="A77" t="s">
        <v>474</v>
      </c>
      <c r="B77" s="81">
        <v>71.010000000000005</v>
      </c>
    </row>
    <row r="78" spans="1:2" x14ac:dyDescent="0.2">
      <c r="A78" t="s">
        <v>652</v>
      </c>
      <c r="B78" s="80">
        <v>71.739999999999995</v>
      </c>
    </row>
    <row r="79" spans="1:2" x14ac:dyDescent="0.2">
      <c r="A79" t="s">
        <v>219</v>
      </c>
      <c r="B79" s="80">
        <v>72.22</v>
      </c>
    </row>
    <row r="80" spans="1:2" x14ac:dyDescent="0.2">
      <c r="A80" t="s">
        <v>408</v>
      </c>
      <c r="B80" s="80">
        <v>72.45</v>
      </c>
    </row>
    <row r="81" spans="1:2" x14ac:dyDescent="0.2">
      <c r="A81" t="s">
        <v>1126</v>
      </c>
      <c r="B81" s="80">
        <v>72.58</v>
      </c>
    </row>
    <row r="82" spans="1:2" x14ac:dyDescent="0.2">
      <c r="A82" t="s">
        <v>1125</v>
      </c>
      <c r="B82" s="81">
        <v>73.75</v>
      </c>
    </row>
    <row r="83" spans="1:2" x14ac:dyDescent="0.2">
      <c r="A83" t="s">
        <v>381</v>
      </c>
      <c r="B83" s="81">
        <v>74.09</v>
      </c>
    </row>
    <row r="84" spans="1:2" x14ac:dyDescent="0.2">
      <c r="A84" t="s">
        <v>1121</v>
      </c>
      <c r="B84" s="80">
        <v>74.19</v>
      </c>
    </row>
    <row r="85" spans="1:2" x14ac:dyDescent="0.2">
      <c r="A85" t="s">
        <v>784</v>
      </c>
      <c r="B85" s="80">
        <v>75.2</v>
      </c>
    </row>
    <row r="86" spans="1:2" x14ac:dyDescent="0.2">
      <c r="A86" t="s">
        <v>2</v>
      </c>
      <c r="B86" s="80">
        <v>77.2</v>
      </c>
    </row>
    <row r="87" spans="1:2" x14ac:dyDescent="0.2">
      <c r="A87" t="s">
        <v>218</v>
      </c>
      <c r="B87" s="80">
        <v>77.77</v>
      </c>
    </row>
    <row r="88" spans="1:2" x14ac:dyDescent="0.2">
      <c r="A88" t="s">
        <v>225</v>
      </c>
      <c r="B88" s="80">
        <v>78.319999999999993</v>
      </c>
    </row>
    <row r="89" spans="1:2" x14ac:dyDescent="0.2">
      <c r="A89" t="s">
        <v>1118</v>
      </c>
      <c r="B89" s="81">
        <v>79.819999999999993</v>
      </c>
    </row>
    <row r="90" spans="1:2" x14ac:dyDescent="0.2">
      <c r="A90" t="s">
        <v>1105</v>
      </c>
      <c r="B90" s="81">
        <v>80.099999999999994</v>
      </c>
    </row>
    <row r="91" spans="1:2" x14ac:dyDescent="0.2">
      <c r="A91" t="s">
        <v>1102</v>
      </c>
      <c r="B91" s="80">
        <v>82.5</v>
      </c>
    </row>
    <row r="92" spans="1:2" x14ac:dyDescent="0.2">
      <c r="A92" t="s">
        <v>792</v>
      </c>
      <c r="B92" s="81">
        <v>83.75</v>
      </c>
    </row>
    <row r="93" spans="1:2" x14ac:dyDescent="0.2">
      <c r="A93" t="s">
        <v>475</v>
      </c>
      <c r="B93" s="80">
        <v>83.81</v>
      </c>
    </row>
    <row r="94" spans="1:2" x14ac:dyDescent="0.2">
      <c r="A94" t="s">
        <v>786</v>
      </c>
      <c r="B94" s="80">
        <v>84.07</v>
      </c>
    </row>
    <row r="95" spans="1:2" x14ac:dyDescent="0.2">
      <c r="A95" t="s">
        <v>362</v>
      </c>
      <c r="B95" s="81">
        <v>85.17</v>
      </c>
    </row>
    <row r="96" spans="1:2" x14ac:dyDescent="0.2">
      <c r="A96" t="s">
        <v>1027</v>
      </c>
      <c r="B96" s="81">
        <v>89.16</v>
      </c>
    </row>
    <row r="97" spans="1:2" x14ac:dyDescent="0.2">
      <c r="A97" t="s">
        <v>1113</v>
      </c>
      <c r="B97" s="80">
        <v>141.62</v>
      </c>
    </row>
  </sheetData>
  <conditionalFormatting sqref="B3:B45 B47:B55 B59:B97">
    <cfRule type="expression" dxfId="39" priority="7">
      <formula>$L3=3</formula>
    </cfRule>
    <cfRule type="expression" dxfId="38" priority="8">
      <formula>$L3=2</formula>
    </cfRule>
    <cfRule type="expression" dxfId="37" priority="9">
      <formula>$L3=1</formula>
    </cfRule>
  </conditionalFormatting>
  <conditionalFormatting sqref="B46">
    <cfRule type="expression" dxfId="36" priority="49">
      <formula>#REF!=3</formula>
    </cfRule>
    <cfRule type="expression" dxfId="35" priority="50">
      <formula>#REF!=2</formula>
    </cfRule>
    <cfRule type="expression" dxfId="34" priority="51">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7" t="s">
        <v>254</v>
      </c>
      <c r="B1" s="157"/>
      <c r="C1" s="157"/>
      <c r="D1" s="157"/>
      <c r="E1" s="157"/>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60.38</v>
      </c>
      <c r="D4" s="4">
        <v>73.349999999999994</v>
      </c>
      <c r="E4" s="4">
        <v>70.959999999999994</v>
      </c>
      <c r="G4" s="4">
        <v>1</v>
      </c>
      <c r="H4" s="4">
        <v>38.940000000000019</v>
      </c>
      <c r="I4" s="4">
        <v>39.700000000000003</v>
      </c>
      <c r="K4" s="4">
        <v>1</v>
      </c>
      <c r="L4" s="4">
        <v>63.22000000000002</v>
      </c>
      <c r="M4" s="4">
        <v>62.93</v>
      </c>
      <c r="O4" s="4">
        <v>1</v>
      </c>
      <c r="P4" s="4">
        <v>66.536000000000001</v>
      </c>
      <c r="Q4" s="4">
        <v>97.901249999999962</v>
      </c>
      <c r="R4" s="4">
        <v>0.125</v>
      </c>
      <c r="S4" s="4">
        <v>0.42899999999999999</v>
      </c>
      <c r="T4" s="4">
        <v>8.3333333333333329E-2</v>
      </c>
      <c r="U4" s="4">
        <v>3.3000000000000002E-2</v>
      </c>
      <c r="V4" s="4">
        <v>0.58333333333333337</v>
      </c>
      <c r="W4" s="4">
        <v>0.439</v>
      </c>
      <c r="X4" s="4">
        <v>640</v>
      </c>
      <c r="Y4" s="4">
        <v>84.756666666666661</v>
      </c>
      <c r="Z4" s="4">
        <v>51.92</v>
      </c>
      <c r="AA4" s="4">
        <v>144.89499999999998</v>
      </c>
      <c r="AB4" s="4">
        <v>48.33</v>
      </c>
      <c r="AC4" s="4">
        <v>93.67714285714284</v>
      </c>
      <c r="AD4" s="4">
        <v>76.896000000000001</v>
      </c>
      <c r="AE4" s="4">
        <f>IF(ISBLANK(t_omie_evol[[#This Row],[Omie media diaria]]),$X$39,t_omie_evol[[#This Row],[demanda GWh]])</f>
        <v>640</v>
      </c>
    </row>
    <row r="5" spans="1:31" x14ac:dyDescent="0.2">
      <c r="A5" s="4">
        <v>2</v>
      </c>
      <c r="B5" s="4">
        <v>53.07</v>
      </c>
      <c r="D5" s="4">
        <v>75.47</v>
      </c>
      <c r="E5" s="4">
        <v>63.16</v>
      </c>
      <c r="G5" s="4">
        <v>2</v>
      </c>
      <c r="H5" s="4">
        <v>39.360000000000007</v>
      </c>
      <c r="I5" s="4">
        <v>39.700000000000003</v>
      </c>
      <c r="K5" s="4">
        <v>2</v>
      </c>
      <c r="L5" s="4">
        <v>62.210000000000015</v>
      </c>
      <c r="M5" s="4">
        <v>62.93</v>
      </c>
      <c r="O5" s="4">
        <v>2</v>
      </c>
      <c r="P5" s="4">
        <v>66.536000000000001</v>
      </c>
      <c r="Q5" s="4">
        <v>93.593750000000014</v>
      </c>
      <c r="R5" s="4">
        <v>0.33333333333333331</v>
      </c>
      <c r="S5" s="4">
        <v>0.42899999999999999</v>
      </c>
      <c r="T5" s="4">
        <v>8.3333333333333329E-2</v>
      </c>
      <c r="U5" s="4">
        <v>3.1E-2</v>
      </c>
      <c r="V5" s="4">
        <v>0.45833333333333326</v>
      </c>
      <c r="W5" s="4">
        <v>0.433</v>
      </c>
      <c r="X5" s="4">
        <v>657</v>
      </c>
      <c r="Y5" s="4">
        <v>97.902500000000003</v>
      </c>
      <c r="Z5" s="4">
        <v>51.92</v>
      </c>
      <c r="AA5" s="4">
        <v>121.86</v>
      </c>
      <c r="AB5" s="4">
        <v>48.33</v>
      </c>
      <c r="AC5" s="4">
        <v>85.851818181818189</v>
      </c>
      <c r="AD5" s="4">
        <v>76.896000000000001</v>
      </c>
      <c r="AE5" s="4">
        <f>IF(ISBLANK(t_omie_evol[[#This Row],[Omie media diaria]]),$X$39,t_omie_evol[[#This Row],[demanda GWh]])</f>
        <v>657</v>
      </c>
    </row>
    <row r="6" spans="1:31" x14ac:dyDescent="0.2">
      <c r="A6" s="4">
        <v>3</v>
      </c>
      <c r="B6" s="4">
        <v>35.42</v>
      </c>
      <c r="D6" s="4">
        <v>70.5</v>
      </c>
      <c r="E6" s="4">
        <v>58.13</v>
      </c>
      <c r="G6" s="4">
        <v>3</v>
      </c>
      <c r="H6" s="4">
        <v>38.639999999999993</v>
      </c>
      <c r="I6" s="4">
        <v>39.700000000000003</v>
      </c>
      <c r="K6" s="4">
        <v>3</v>
      </c>
      <c r="L6" s="4">
        <v>62.27999999999998</v>
      </c>
      <c r="M6" s="4">
        <v>62.93</v>
      </c>
      <c r="O6" s="4">
        <v>3</v>
      </c>
      <c r="P6" s="4">
        <v>66.536000000000001</v>
      </c>
      <c r="Q6" s="4">
        <v>57.919999999999987</v>
      </c>
      <c r="R6" s="4">
        <v>0.54166666666666663</v>
      </c>
      <c r="S6" s="4">
        <v>0.42899999999999999</v>
      </c>
      <c r="T6" s="4">
        <v>4.1666666666666664E-2</v>
      </c>
      <c r="U6" s="4">
        <v>2.9000000000000001E-2</v>
      </c>
      <c r="V6" s="4">
        <v>0.375</v>
      </c>
      <c r="W6" s="4">
        <v>0.432</v>
      </c>
      <c r="X6" s="4">
        <v>648</v>
      </c>
      <c r="Y6" s="4">
        <v>33.095384615384617</v>
      </c>
      <c r="Z6" s="4">
        <v>51.92</v>
      </c>
      <c r="AA6" s="4">
        <v>91.88</v>
      </c>
      <c r="AB6" s="4">
        <v>48.33</v>
      </c>
      <c r="AC6" s="4">
        <v>87.814444444444447</v>
      </c>
      <c r="AD6" s="4">
        <v>76.896000000000001</v>
      </c>
      <c r="AE6" s="4">
        <f>IF(ISBLANK(t_omie_evol[[#This Row],[Omie media diaria]]),$X$39,t_omie_evol[[#This Row],[demanda GWh]])</f>
        <v>648</v>
      </c>
    </row>
    <row r="7" spans="1:31" x14ac:dyDescent="0.2">
      <c r="A7" s="4">
        <v>4</v>
      </c>
      <c r="B7" s="4">
        <v>36.020000000000003</v>
      </c>
      <c r="D7" s="4">
        <v>68.94</v>
      </c>
      <c r="E7" s="4">
        <v>53.32</v>
      </c>
      <c r="G7" s="4">
        <v>4</v>
      </c>
      <c r="H7" s="4">
        <v>39.49</v>
      </c>
      <c r="I7" s="4">
        <v>39.700000000000003</v>
      </c>
      <c r="K7" s="4">
        <v>4</v>
      </c>
      <c r="L7" s="4">
        <v>61</v>
      </c>
      <c r="M7" s="4">
        <v>62.93</v>
      </c>
      <c r="O7" s="4">
        <v>4</v>
      </c>
      <c r="P7" s="4">
        <v>66.536000000000001</v>
      </c>
      <c r="Q7" s="4">
        <v>98.975833333333313</v>
      </c>
      <c r="R7" s="4">
        <v>0.375</v>
      </c>
      <c r="S7" s="4">
        <v>0.42899999999999999</v>
      </c>
      <c r="T7" s="4">
        <v>0</v>
      </c>
      <c r="U7" s="4">
        <v>2.8000000000000001E-2</v>
      </c>
      <c r="V7" s="4">
        <v>0.58333333333333337</v>
      </c>
      <c r="W7" s="4">
        <v>0.435</v>
      </c>
      <c r="X7" s="4">
        <v>632</v>
      </c>
      <c r="Y7" s="4">
        <v>81.785555555555561</v>
      </c>
      <c r="Z7" s="4">
        <v>51.92</v>
      </c>
      <c r="AA7" s="4">
        <v>0</v>
      </c>
      <c r="AB7" s="4">
        <v>48.33</v>
      </c>
      <c r="AC7" s="4">
        <v>107.29357142857144</v>
      </c>
      <c r="AD7" s="4">
        <v>76.896000000000001</v>
      </c>
      <c r="AE7" s="4">
        <f>IF(ISBLANK(t_omie_evol[[#This Row],[Omie media diaria]]),$X$39,t_omie_evol[[#This Row],[demanda GWh]])</f>
        <v>632</v>
      </c>
    </row>
    <row r="8" spans="1:31" x14ac:dyDescent="0.2">
      <c r="A8" s="4">
        <v>5</v>
      </c>
      <c r="B8" s="4">
        <v>37.61</v>
      </c>
      <c r="C8" s="4">
        <v>84.72</v>
      </c>
      <c r="D8" s="4">
        <v>66.47</v>
      </c>
      <c r="E8" s="4">
        <v>51.48</v>
      </c>
      <c r="G8" s="4">
        <v>5</v>
      </c>
      <c r="H8" s="4">
        <v>40.74</v>
      </c>
      <c r="I8" s="4">
        <v>39.700000000000003</v>
      </c>
      <c r="K8" s="4">
        <v>5</v>
      </c>
      <c r="L8" s="4">
        <v>61</v>
      </c>
      <c r="M8" s="4">
        <v>62.93</v>
      </c>
      <c r="O8" s="4">
        <v>5</v>
      </c>
      <c r="P8" s="4">
        <v>66.536000000000001</v>
      </c>
      <c r="Q8" s="4">
        <v>60.395416666666669</v>
      </c>
      <c r="R8" s="4">
        <v>0.33333333333333331</v>
      </c>
      <c r="S8" s="4">
        <v>0.42899999999999999</v>
      </c>
      <c r="T8" s="4">
        <v>0</v>
      </c>
      <c r="U8" s="4">
        <v>0.03</v>
      </c>
      <c r="V8" s="4">
        <v>0.45833333333333326</v>
      </c>
      <c r="W8" s="4">
        <v>0.42799999999999999</v>
      </c>
      <c r="X8" s="4">
        <v>564</v>
      </c>
      <c r="Y8" s="4">
        <v>50.582500000000003</v>
      </c>
      <c r="Z8" s="4">
        <v>51.92</v>
      </c>
      <c r="AA8" s="4">
        <v>0</v>
      </c>
      <c r="AB8" s="4">
        <v>48.33</v>
      </c>
      <c r="AC8" s="4">
        <v>57.695454545454545</v>
      </c>
      <c r="AD8" s="4">
        <v>76.896000000000001</v>
      </c>
      <c r="AE8" s="4">
        <f>IF(ISBLANK(t_omie_evol[[#This Row],[Omie media diaria]]),$X$39,t_omie_evol[[#This Row],[demanda GWh]])</f>
        <v>564</v>
      </c>
    </row>
    <row r="9" spans="1:31" x14ac:dyDescent="0.2">
      <c r="A9" s="4">
        <v>6</v>
      </c>
      <c r="B9" s="4">
        <v>41.42</v>
      </c>
      <c r="D9" s="4">
        <v>71.349999999999994</v>
      </c>
      <c r="E9" s="4">
        <v>55.1</v>
      </c>
      <c r="G9" s="4">
        <v>6</v>
      </c>
      <c r="H9" s="4">
        <v>40.730000000000011</v>
      </c>
      <c r="I9" s="4">
        <v>39.700000000000003</v>
      </c>
      <c r="K9" s="4">
        <v>6</v>
      </c>
      <c r="L9" s="4">
        <v>61</v>
      </c>
      <c r="M9" s="4">
        <v>62.93</v>
      </c>
      <c r="O9" s="4">
        <v>6</v>
      </c>
      <c r="P9" s="4">
        <v>66.536000000000001</v>
      </c>
      <c r="Q9" s="4">
        <v>21.961666666666662</v>
      </c>
      <c r="R9" s="4">
        <v>0.58333333333333337</v>
      </c>
      <c r="S9" s="4">
        <v>0.42899999999999999</v>
      </c>
      <c r="T9" s="4">
        <v>0</v>
      </c>
      <c r="U9" s="4">
        <v>3.1E-2</v>
      </c>
      <c r="V9" s="4">
        <v>0.41666666666666674</v>
      </c>
      <c r="W9" s="4">
        <v>0.42599999999999999</v>
      </c>
      <c r="X9" s="4">
        <v>537</v>
      </c>
      <c r="Y9" s="4">
        <v>15.50285714285714</v>
      </c>
      <c r="Z9" s="4">
        <v>51.92</v>
      </c>
      <c r="AA9" s="4">
        <v>0</v>
      </c>
      <c r="AB9" s="4">
        <v>48.33</v>
      </c>
      <c r="AC9" s="4">
        <v>31.004000000000001</v>
      </c>
      <c r="AD9" s="4">
        <v>76.896000000000001</v>
      </c>
      <c r="AE9" s="4">
        <f>IF(ISBLANK(t_omie_evol[[#This Row],[Omie media diaria]]),$X$39,t_omie_evol[[#This Row],[demanda GWh]])</f>
        <v>537</v>
      </c>
    </row>
    <row r="10" spans="1:31" x14ac:dyDescent="0.2">
      <c r="A10" s="4">
        <v>7</v>
      </c>
      <c r="B10" s="4">
        <v>58.32</v>
      </c>
      <c r="C10" s="4">
        <v>99.95</v>
      </c>
      <c r="D10" s="4">
        <v>73.59</v>
      </c>
      <c r="E10" s="4">
        <v>67.08</v>
      </c>
      <c r="G10" s="4">
        <v>7</v>
      </c>
      <c r="H10" s="4">
        <v>41.24</v>
      </c>
      <c r="I10" s="4">
        <v>39.700000000000003</v>
      </c>
      <c r="K10" s="4">
        <v>7</v>
      </c>
      <c r="L10" s="4">
        <v>61.920000000000016</v>
      </c>
      <c r="M10" s="4">
        <v>62.93</v>
      </c>
      <c r="O10" s="4">
        <v>7</v>
      </c>
      <c r="P10" s="4">
        <v>66.536000000000001</v>
      </c>
      <c r="Q10" s="4">
        <v>55.454999999999991</v>
      </c>
      <c r="R10" s="4">
        <v>0.5</v>
      </c>
      <c r="S10" s="4">
        <v>0.42899999999999999</v>
      </c>
      <c r="T10" s="4">
        <v>0</v>
      </c>
      <c r="U10" s="4">
        <v>3.3000000000000002E-2</v>
      </c>
      <c r="V10" s="4">
        <v>0.41666666666666674</v>
      </c>
      <c r="W10" s="4">
        <v>0.42599999999999999</v>
      </c>
      <c r="X10" s="4">
        <v>647</v>
      </c>
      <c r="Y10" s="4">
        <v>46.293333333333329</v>
      </c>
      <c r="Z10" s="4">
        <v>51.92</v>
      </c>
      <c r="AA10" s="4">
        <v>0</v>
      </c>
      <c r="AB10" s="4">
        <v>48.33</v>
      </c>
      <c r="AC10" s="4">
        <v>62.44100000000001</v>
      </c>
      <c r="AD10" s="4">
        <v>76.896000000000001</v>
      </c>
      <c r="AE10" s="4">
        <f>IF(ISBLANK(t_omie_evol[[#This Row],[Omie media diaria]]),$X$39,t_omie_evol[[#This Row],[demanda GWh]])</f>
        <v>647</v>
      </c>
    </row>
    <row r="11" spans="1:31" x14ac:dyDescent="0.2">
      <c r="A11" s="4">
        <v>8</v>
      </c>
      <c r="B11" s="4">
        <v>75.67</v>
      </c>
      <c r="C11" s="4">
        <v>121.17</v>
      </c>
      <c r="D11" s="4">
        <v>90.65</v>
      </c>
      <c r="E11" s="4">
        <v>83.93</v>
      </c>
      <c r="G11" s="4">
        <v>8</v>
      </c>
      <c r="H11" s="4">
        <v>40.299999999999983</v>
      </c>
      <c r="I11" s="4">
        <v>39.700000000000003</v>
      </c>
      <c r="K11" s="4">
        <v>8</v>
      </c>
      <c r="L11" s="4">
        <v>59.869999999999969</v>
      </c>
      <c r="M11" s="4">
        <v>62.93</v>
      </c>
      <c r="O11" s="4">
        <v>8</v>
      </c>
      <c r="P11" s="4">
        <v>66.536000000000001</v>
      </c>
      <c r="Q11" s="4">
        <v>31.374583333333337</v>
      </c>
      <c r="R11" s="4">
        <v>0.70833333333333337</v>
      </c>
      <c r="S11" s="4">
        <v>0.42899999999999999</v>
      </c>
      <c r="T11" s="4">
        <v>0</v>
      </c>
      <c r="U11" s="4">
        <v>3.5000000000000003E-2</v>
      </c>
      <c r="V11" s="4">
        <v>0.25</v>
      </c>
      <c r="W11" s="4">
        <v>0.42699999999999999</v>
      </c>
      <c r="X11" s="4">
        <v>642</v>
      </c>
      <c r="Y11" s="4">
        <v>22.908823529411759</v>
      </c>
      <c r="Z11" s="4">
        <v>51.92</v>
      </c>
      <c r="AA11" s="4">
        <v>0</v>
      </c>
      <c r="AB11" s="4">
        <v>48.33</v>
      </c>
      <c r="AC11" s="4">
        <v>51.759999999999991</v>
      </c>
      <c r="AD11" s="4">
        <v>76.896000000000001</v>
      </c>
      <c r="AE11" s="4">
        <f>IF(ISBLANK(t_omie_evol[[#This Row],[Omie media diaria]]),$X$39,t_omie_evol[[#This Row],[demanda GWh]])</f>
        <v>642</v>
      </c>
    </row>
    <row r="12" spans="1:31" x14ac:dyDescent="0.2">
      <c r="A12" s="4">
        <v>9</v>
      </c>
      <c r="B12" s="4">
        <v>59.56</v>
      </c>
      <c r="C12" s="4">
        <v>119.78</v>
      </c>
      <c r="D12" s="4">
        <v>103.76</v>
      </c>
      <c r="E12" s="4">
        <v>98.46</v>
      </c>
      <c r="G12" s="4">
        <v>9</v>
      </c>
      <c r="H12" s="4">
        <v>38.590000000000025</v>
      </c>
      <c r="I12" s="4">
        <v>39.700000000000003</v>
      </c>
      <c r="K12" s="4">
        <v>9</v>
      </c>
      <c r="L12" s="4">
        <v>61.75</v>
      </c>
      <c r="M12" s="4">
        <v>62.93</v>
      </c>
      <c r="O12" s="4">
        <v>9</v>
      </c>
      <c r="P12" s="4">
        <v>66.536000000000001</v>
      </c>
      <c r="Q12" s="4">
        <v>24.51541666666667</v>
      </c>
      <c r="R12" s="4">
        <v>0.58333333333333337</v>
      </c>
      <c r="S12" s="4">
        <v>0.42899999999999999</v>
      </c>
      <c r="T12" s="4">
        <v>0</v>
      </c>
      <c r="U12" s="4">
        <v>3.6999999999999998E-2</v>
      </c>
      <c r="V12" s="4">
        <v>0.33333333333333331</v>
      </c>
      <c r="W12" s="4">
        <v>0.437</v>
      </c>
      <c r="X12" s="4">
        <v>640</v>
      </c>
      <c r="Y12" s="4">
        <v>11.890714285714283</v>
      </c>
      <c r="Z12" s="4">
        <v>51.92</v>
      </c>
      <c r="AA12" s="4">
        <v>0</v>
      </c>
      <c r="AB12" s="4">
        <v>48.33</v>
      </c>
      <c r="AC12" s="4">
        <v>42.737499999999997</v>
      </c>
      <c r="AD12" s="4">
        <v>76.896000000000001</v>
      </c>
      <c r="AE12" s="4">
        <f>IF(ISBLANK(t_omie_evol[[#This Row],[Omie media diaria]]),$X$39,t_omie_evol[[#This Row],[demanda GWh]])</f>
        <v>640</v>
      </c>
    </row>
    <row r="13" spans="1:31" x14ac:dyDescent="0.2">
      <c r="A13" s="4">
        <v>10</v>
      </c>
      <c r="B13" s="4">
        <v>72.73</v>
      </c>
      <c r="C13" s="4">
        <v>122.86</v>
      </c>
      <c r="D13" s="4">
        <v>81.19</v>
      </c>
      <c r="E13" s="4">
        <v>82.19</v>
      </c>
      <c r="G13" s="4">
        <v>10</v>
      </c>
      <c r="H13" s="4">
        <v>38.119999999999997</v>
      </c>
      <c r="I13" s="4">
        <v>39.700000000000003</v>
      </c>
      <c r="K13" s="4">
        <v>10</v>
      </c>
      <c r="L13" s="4">
        <v>64.539999999999978</v>
      </c>
      <c r="M13" s="4">
        <v>62.93</v>
      </c>
      <c r="O13" s="4">
        <v>10</v>
      </c>
      <c r="P13" s="4">
        <v>66.536000000000001</v>
      </c>
      <c r="Q13" s="4">
        <v>76.181666666666658</v>
      </c>
      <c r="R13" s="4">
        <v>0.58333333333333337</v>
      </c>
      <c r="S13" s="4">
        <v>0.42899999999999999</v>
      </c>
      <c r="T13" s="4">
        <v>0.16666666666666666</v>
      </c>
      <c r="U13" s="4">
        <v>3.9E-2</v>
      </c>
      <c r="V13" s="4">
        <v>0.20833333333333337</v>
      </c>
      <c r="W13" s="4">
        <v>0.44400000000000001</v>
      </c>
      <c r="X13" s="4">
        <v>628</v>
      </c>
      <c r="Y13" s="4">
        <v>46.634285714285717</v>
      </c>
      <c r="Z13" s="4">
        <v>51.92</v>
      </c>
      <c r="AA13" s="4">
        <v>142.75</v>
      </c>
      <c r="AB13" s="4">
        <v>48.33</v>
      </c>
      <c r="AC13" s="4">
        <v>100.896</v>
      </c>
      <c r="AD13" s="4">
        <v>76.896000000000001</v>
      </c>
      <c r="AE13" s="4">
        <f>IF(ISBLANK(t_omie_evol[[#This Row],[Omie media diaria]]),$X$39,t_omie_evol[[#This Row],[demanda GWh]])</f>
        <v>628</v>
      </c>
    </row>
    <row r="14" spans="1:31" x14ac:dyDescent="0.2">
      <c r="A14" s="4">
        <v>11</v>
      </c>
      <c r="B14" s="4">
        <v>53.37</v>
      </c>
      <c r="D14" s="4">
        <v>79.55</v>
      </c>
      <c r="E14" s="4">
        <v>63.89</v>
      </c>
      <c r="G14" s="4">
        <v>11</v>
      </c>
      <c r="H14" s="4">
        <v>39.789999999999985</v>
      </c>
      <c r="I14" s="4">
        <v>39.700000000000003</v>
      </c>
      <c r="K14" s="4">
        <v>11</v>
      </c>
      <c r="L14" s="4">
        <v>64.279999999999987</v>
      </c>
      <c r="M14" s="4">
        <v>62.93</v>
      </c>
      <c r="O14" s="4">
        <v>11</v>
      </c>
      <c r="P14" s="4">
        <v>66.536000000000001</v>
      </c>
      <c r="Q14" s="4">
        <v>90.663750000000036</v>
      </c>
      <c r="R14" s="4">
        <v>0.29166666666666669</v>
      </c>
      <c r="S14" s="4">
        <v>0.42899999999999999</v>
      </c>
      <c r="T14" s="4">
        <v>0.125</v>
      </c>
      <c r="U14" s="4">
        <v>3.1E-2</v>
      </c>
      <c r="V14" s="4">
        <v>0.45833333333333326</v>
      </c>
      <c r="W14" s="4">
        <v>0.46</v>
      </c>
      <c r="X14" s="4">
        <v>622</v>
      </c>
      <c r="Y14" s="4">
        <v>82.934285714285707</v>
      </c>
      <c r="Z14" s="4">
        <v>51.92</v>
      </c>
      <c r="AA14" s="4">
        <v>97.893333333333331</v>
      </c>
      <c r="AB14" s="4">
        <v>48.33</v>
      </c>
      <c r="AC14" s="4">
        <v>93.008181818181825</v>
      </c>
      <c r="AD14" s="4">
        <v>76.896000000000001</v>
      </c>
      <c r="AE14" s="4">
        <f>IF(ISBLANK(t_omie_evol[[#This Row],[Omie media diaria]]),$X$39,t_omie_evol[[#This Row],[demanda GWh]])</f>
        <v>622</v>
      </c>
    </row>
    <row r="15" spans="1:31" x14ac:dyDescent="0.2">
      <c r="A15" s="4">
        <v>12</v>
      </c>
      <c r="B15" s="4">
        <v>38.78</v>
      </c>
      <c r="D15" s="4">
        <v>57.96</v>
      </c>
      <c r="E15" s="4">
        <v>48.1</v>
      </c>
      <c r="G15" s="4">
        <v>12</v>
      </c>
      <c r="H15" s="4">
        <v>39.269999999999989</v>
      </c>
      <c r="I15" s="4">
        <v>39.700000000000003</v>
      </c>
      <c r="K15" s="4">
        <v>12</v>
      </c>
      <c r="L15" s="4">
        <v>64.279999999999987</v>
      </c>
      <c r="M15" s="4">
        <v>62.93</v>
      </c>
      <c r="O15" s="4">
        <v>12</v>
      </c>
      <c r="P15" s="4">
        <v>66.536000000000001</v>
      </c>
      <c r="Q15" s="4">
        <v>69.856250000000003</v>
      </c>
      <c r="R15" s="4">
        <v>0.5</v>
      </c>
      <c r="S15" s="4">
        <v>0.42899999999999999</v>
      </c>
      <c r="T15" s="4">
        <v>0</v>
      </c>
      <c r="U15" s="4">
        <v>2.4E-2</v>
      </c>
      <c r="V15" s="4">
        <v>0.45833333333333326</v>
      </c>
      <c r="W15" s="4">
        <v>0.46</v>
      </c>
      <c r="X15" s="4">
        <v>550</v>
      </c>
      <c r="Y15" s="4">
        <v>58.34</v>
      </c>
      <c r="Z15" s="4">
        <v>51.92</v>
      </c>
      <c r="AA15" s="4">
        <v>0</v>
      </c>
      <c r="AB15" s="4">
        <v>48.33</v>
      </c>
      <c r="AC15" s="4">
        <v>83.224545454545449</v>
      </c>
      <c r="AD15" s="4">
        <v>76.896000000000001</v>
      </c>
      <c r="AE15" s="4">
        <f>IF(ISBLANK(t_omie_evol[[#This Row],[Omie media diaria]]),$X$39,t_omie_evol[[#This Row],[demanda GWh]])</f>
        <v>550</v>
      </c>
    </row>
    <row r="16" spans="1:31" x14ac:dyDescent="0.2">
      <c r="A16" s="4">
        <v>13</v>
      </c>
      <c r="B16" s="4">
        <v>35.08</v>
      </c>
      <c r="D16" s="4">
        <v>54.39</v>
      </c>
      <c r="E16" s="4">
        <v>40.49</v>
      </c>
      <c r="G16" s="4">
        <v>13</v>
      </c>
      <c r="H16" s="4">
        <v>38.950000000000017</v>
      </c>
      <c r="I16" s="4">
        <v>39.700000000000003</v>
      </c>
      <c r="K16" s="4">
        <v>13</v>
      </c>
      <c r="L16" s="4">
        <v>64.279999999999987</v>
      </c>
      <c r="M16" s="4">
        <v>62.93</v>
      </c>
      <c r="O16" s="4">
        <v>13</v>
      </c>
      <c r="P16" s="4">
        <v>66.536000000000001</v>
      </c>
      <c r="Q16" s="4">
        <v>52.750416666666673</v>
      </c>
      <c r="R16" s="4">
        <v>0.58333333333333337</v>
      </c>
      <c r="S16" s="4">
        <v>0.42899999999999999</v>
      </c>
      <c r="T16" s="4">
        <v>4.1666666666666664E-2</v>
      </c>
      <c r="U16" s="4">
        <v>2.5999999999999999E-2</v>
      </c>
      <c r="V16" s="4">
        <v>0.29166666666666669</v>
      </c>
      <c r="W16" s="4">
        <v>0.46</v>
      </c>
      <c r="X16" s="4">
        <v>511</v>
      </c>
      <c r="Y16" s="4">
        <v>39.748571428571431</v>
      </c>
      <c r="Z16" s="4">
        <v>51.92</v>
      </c>
      <c r="AA16" s="4">
        <v>121.28</v>
      </c>
      <c r="AB16" s="4">
        <v>48.33</v>
      </c>
      <c r="AC16" s="4">
        <v>61.495714285714293</v>
      </c>
      <c r="AD16" s="4">
        <v>76.896000000000001</v>
      </c>
      <c r="AE16" s="4">
        <f>IF(ISBLANK(t_omie_evol[[#This Row],[Omie media diaria]]),$X$39,t_omie_evol[[#This Row],[demanda GWh]])</f>
        <v>511</v>
      </c>
    </row>
    <row r="17" spans="1:31" x14ac:dyDescent="0.2">
      <c r="A17" s="4">
        <v>14</v>
      </c>
      <c r="B17" s="4">
        <v>37.71</v>
      </c>
      <c r="D17" s="4">
        <v>29.86</v>
      </c>
      <c r="E17" s="4">
        <v>36.14</v>
      </c>
      <c r="G17" s="4">
        <v>14</v>
      </c>
      <c r="H17" s="4">
        <v>40.039999999999985</v>
      </c>
      <c r="I17" s="4">
        <v>39.700000000000003</v>
      </c>
      <c r="K17" s="4">
        <v>14</v>
      </c>
      <c r="L17" s="4">
        <v>65.52</v>
      </c>
      <c r="M17" s="4">
        <v>62.93</v>
      </c>
      <c r="O17" s="4">
        <v>14</v>
      </c>
      <c r="P17" s="4">
        <v>66.536000000000001</v>
      </c>
      <c r="Q17" s="4">
        <v>104.16708333333332</v>
      </c>
      <c r="R17" s="4">
        <v>0.29166666666666669</v>
      </c>
      <c r="S17" s="4">
        <v>0.42899999999999999</v>
      </c>
      <c r="T17" s="4">
        <v>0.16666666666666666</v>
      </c>
      <c r="U17" s="4">
        <v>2.4E-2</v>
      </c>
      <c r="V17" s="4">
        <v>0.45833333333333326</v>
      </c>
      <c r="W17" s="4">
        <v>0.47399999999999998</v>
      </c>
      <c r="X17" s="4">
        <v>626</v>
      </c>
      <c r="Y17" s="4">
        <v>79.001428571428576</v>
      </c>
      <c r="Z17" s="4">
        <v>51.92</v>
      </c>
      <c r="AA17" s="4">
        <v>131.14250000000001</v>
      </c>
      <c r="AB17" s="4">
        <v>48.33</v>
      </c>
      <c r="AC17" s="4">
        <v>112.24636363636364</v>
      </c>
      <c r="AD17" s="4">
        <v>76.896000000000001</v>
      </c>
      <c r="AE17" s="4">
        <f>IF(ISBLANK(t_omie_evol[[#This Row],[Omie media diaria]]),$X$39,t_omie_evol[[#This Row],[demanda GWh]])</f>
        <v>626</v>
      </c>
    </row>
    <row r="18" spans="1:31" x14ac:dyDescent="0.2">
      <c r="A18" s="4">
        <v>15</v>
      </c>
      <c r="B18" s="4">
        <v>30.02</v>
      </c>
      <c r="D18" s="4">
        <v>33.36</v>
      </c>
      <c r="E18" s="4">
        <v>32.83</v>
      </c>
      <c r="G18" s="4">
        <v>15</v>
      </c>
      <c r="H18" s="4">
        <v>39.929999999999978</v>
      </c>
      <c r="I18" s="4">
        <v>39.700000000000003</v>
      </c>
      <c r="K18" s="4">
        <v>15</v>
      </c>
      <c r="L18" s="4">
        <v>64.65000000000002</v>
      </c>
      <c r="M18" s="4">
        <v>62.93</v>
      </c>
      <c r="O18" s="4">
        <v>15</v>
      </c>
      <c r="P18" s="4">
        <v>66.536000000000001</v>
      </c>
      <c r="Q18" s="4">
        <v>87.225416666666661</v>
      </c>
      <c r="R18" s="4">
        <v>0.29166666666666669</v>
      </c>
      <c r="S18" s="4">
        <v>0.42899999999999999</v>
      </c>
      <c r="T18" s="4">
        <v>4.1666666666666664E-2</v>
      </c>
      <c r="U18" s="4">
        <v>1.0999999999999999E-2</v>
      </c>
      <c r="V18" s="4">
        <v>0.5</v>
      </c>
      <c r="W18" s="4">
        <v>0.47499999999999998</v>
      </c>
      <c r="X18" s="4">
        <v>647</v>
      </c>
      <c r="Y18" s="4">
        <v>83.111428571428561</v>
      </c>
      <c r="Z18" s="4">
        <v>51.92</v>
      </c>
      <c r="AA18" s="4">
        <v>122.28</v>
      </c>
      <c r="AB18" s="4">
        <v>48.33</v>
      </c>
      <c r="AC18" s="4">
        <v>84.702499999999986</v>
      </c>
      <c r="AD18" s="4">
        <v>76.896000000000001</v>
      </c>
      <c r="AE18" s="4">
        <f>IF(ISBLANK(t_omie_evol[[#This Row],[Omie media diaria]]),$X$39,t_omie_evol[[#This Row],[demanda GWh]])</f>
        <v>647</v>
      </c>
    </row>
    <row r="19" spans="1:31" x14ac:dyDescent="0.2">
      <c r="A19" s="4">
        <v>16</v>
      </c>
      <c r="B19" s="4">
        <v>26.48</v>
      </c>
      <c r="D19" s="4">
        <v>45.4</v>
      </c>
      <c r="E19" s="4">
        <v>31.78</v>
      </c>
      <c r="G19" s="4">
        <v>16</v>
      </c>
      <c r="H19" s="4">
        <v>39.480000000000011</v>
      </c>
      <c r="I19" s="4">
        <v>39.700000000000003</v>
      </c>
      <c r="K19" s="4">
        <v>16</v>
      </c>
      <c r="L19" s="4">
        <v>62.619999999999969</v>
      </c>
      <c r="M19" s="4">
        <v>62.93</v>
      </c>
      <c r="O19" s="4">
        <v>16</v>
      </c>
      <c r="P19" s="4">
        <v>66.536000000000001</v>
      </c>
      <c r="Q19" s="4">
        <v>48.837083333333332</v>
      </c>
      <c r="R19" s="4">
        <v>0.625</v>
      </c>
      <c r="S19" s="4">
        <v>0.42899999999999999</v>
      </c>
      <c r="T19" s="4">
        <v>0</v>
      </c>
      <c r="U19" s="4">
        <v>8.0000000000000002E-3</v>
      </c>
      <c r="V19" s="4">
        <v>0.25</v>
      </c>
      <c r="W19" s="4">
        <v>0.47299999999999998</v>
      </c>
      <c r="X19" s="4">
        <v>648</v>
      </c>
      <c r="Y19" s="4">
        <v>32.772666666666666</v>
      </c>
      <c r="Z19" s="4">
        <v>51.92</v>
      </c>
      <c r="AA19" s="4">
        <v>0</v>
      </c>
      <c r="AB19" s="4">
        <v>48.33</v>
      </c>
      <c r="AC19" s="4">
        <v>70.668333333333322</v>
      </c>
      <c r="AD19" s="4">
        <v>76.896000000000001</v>
      </c>
      <c r="AE19" s="4">
        <f>IF(ISBLANK(t_omie_evol[[#This Row],[Omie media diaria]]),$X$39,t_omie_evol[[#This Row],[demanda GWh]])</f>
        <v>648</v>
      </c>
    </row>
    <row r="20" spans="1:31" x14ac:dyDescent="0.2">
      <c r="A20" s="4">
        <v>17</v>
      </c>
      <c r="B20" s="4">
        <v>29.68</v>
      </c>
      <c r="D20" s="4">
        <v>44.57</v>
      </c>
      <c r="E20" s="4">
        <v>35.520000000000003</v>
      </c>
      <c r="G20" s="4">
        <v>17</v>
      </c>
      <c r="H20" s="4">
        <v>38.919999999999987</v>
      </c>
      <c r="I20" s="4">
        <v>39.700000000000003</v>
      </c>
      <c r="K20" s="4">
        <v>17</v>
      </c>
      <c r="L20" s="4">
        <v>62.52999999999998</v>
      </c>
      <c r="M20" s="4">
        <v>62.93</v>
      </c>
      <c r="O20" s="4">
        <v>17</v>
      </c>
      <c r="P20" s="4">
        <v>66.536000000000001</v>
      </c>
      <c r="Q20" s="4">
        <v>51.250416666666666</v>
      </c>
      <c r="R20" s="4">
        <v>0.43478260869565216</v>
      </c>
      <c r="S20" s="4">
        <v>0.42899999999999999</v>
      </c>
      <c r="T20" s="4">
        <v>0</v>
      </c>
      <c r="U20" s="4">
        <v>8.9999999999999993E-3</v>
      </c>
      <c r="V20" s="4">
        <v>0.34782608695652173</v>
      </c>
      <c r="W20" s="4">
        <v>0.498</v>
      </c>
      <c r="X20" s="4">
        <v>638</v>
      </c>
      <c r="Y20" s="4">
        <v>19.145999999999997</v>
      </c>
      <c r="Z20" s="4">
        <v>51.92</v>
      </c>
      <c r="AA20" s="4">
        <v>0</v>
      </c>
      <c r="AB20" s="4">
        <v>48.33</v>
      </c>
      <c r="AC20" s="4">
        <v>76.097499999999997</v>
      </c>
      <c r="AD20" s="4">
        <v>76.896000000000001</v>
      </c>
      <c r="AE20" s="4">
        <f>IF(ISBLANK(t_omie_evol[[#This Row],[Omie media diaria]]),$X$39,t_omie_evol[[#This Row],[demanda GWh]])</f>
        <v>638</v>
      </c>
    </row>
    <row r="21" spans="1:31" x14ac:dyDescent="0.2">
      <c r="A21" s="4">
        <v>18</v>
      </c>
      <c r="B21" s="4">
        <v>36.520000000000003</v>
      </c>
      <c r="D21" s="4">
        <v>62.7</v>
      </c>
      <c r="E21" s="4">
        <v>50.13</v>
      </c>
      <c r="G21" s="4">
        <v>18</v>
      </c>
      <c r="H21" s="4">
        <v>39.369999999999997</v>
      </c>
      <c r="I21" s="4">
        <v>39.700000000000003</v>
      </c>
      <c r="K21" s="4">
        <v>18</v>
      </c>
      <c r="L21" s="4">
        <v>61.97000000000002</v>
      </c>
      <c r="M21" s="4">
        <v>62.93</v>
      </c>
      <c r="O21" s="4">
        <v>18</v>
      </c>
      <c r="P21" s="4">
        <v>66.536000000000001</v>
      </c>
      <c r="Q21" s="4">
        <v>51.98749999999999</v>
      </c>
      <c r="R21" s="4">
        <v>0.5</v>
      </c>
      <c r="S21" s="4">
        <v>0.42899999999999999</v>
      </c>
      <c r="T21" s="4">
        <v>4.1666666666666664E-2</v>
      </c>
      <c r="U21" s="4">
        <v>0.01</v>
      </c>
      <c r="V21" s="4">
        <v>0.375</v>
      </c>
      <c r="W21" s="4">
        <v>0.51600000000000001</v>
      </c>
      <c r="X21" s="4">
        <v>624</v>
      </c>
      <c r="Y21" s="4">
        <v>25.685833333333335</v>
      </c>
      <c r="Z21" s="4">
        <v>51.92</v>
      </c>
      <c r="AA21" s="4">
        <v>109.56</v>
      </c>
      <c r="AB21" s="4">
        <v>48.33</v>
      </c>
      <c r="AC21" s="4">
        <v>75.545555555555552</v>
      </c>
      <c r="AD21" s="4">
        <v>76.896000000000001</v>
      </c>
      <c r="AE21" s="4">
        <f>IF(ISBLANK(t_omie_evol[[#This Row],[Omie media diaria]]),$X$39,t_omie_evol[[#This Row],[demanda GWh]])</f>
        <v>624</v>
      </c>
    </row>
    <row r="22" spans="1:31" x14ac:dyDescent="0.2">
      <c r="A22" s="4">
        <v>19</v>
      </c>
      <c r="B22" s="4">
        <v>49.93</v>
      </c>
      <c r="D22" s="4">
        <v>87.35</v>
      </c>
      <c r="E22" s="4">
        <v>76</v>
      </c>
      <c r="G22" s="4">
        <v>19</v>
      </c>
      <c r="H22" s="4">
        <v>38.869999999999997</v>
      </c>
      <c r="I22" s="4">
        <v>39.700000000000003</v>
      </c>
      <c r="K22" s="4">
        <v>19</v>
      </c>
      <c r="L22" s="4">
        <v>61.97000000000002</v>
      </c>
      <c r="M22" s="4">
        <v>62.93</v>
      </c>
      <c r="O22" s="4">
        <v>19</v>
      </c>
      <c r="P22" s="4">
        <v>66.536000000000001</v>
      </c>
      <c r="Q22" s="4">
        <v>48.707916666666669</v>
      </c>
      <c r="R22" s="4">
        <v>0.47826086956521746</v>
      </c>
      <c r="S22" s="4">
        <v>0.42899999999999999</v>
      </c>
      <c r="T22" s="4">
        <v>0</v>
      </c>
      <c r="U22" s="4">
        <v>6.0000000000000001E-3</v>
      </c>
      <c r="V22" s="4">
        <v>0.47826086956521746</v>
      </c>
      <c r="W22" s="4">
        <v>0.53600000000000003</v>
      </c>
      <c r="X22" s="4">
        <v>547</v>
      </c>
      <c r="Y22" s="4">
        <v>30.633636363636366</v>
      </c>
      <c r="Z22" s="4">
        <v>51.92</v>
      </c>
      <c r="AA22" s="4">
        <v>0</v>
      </c>
      <c r="AB22" s="4">
        <v>48.33</v>
      </c>
      <c r="AC22" s="4">
        <v>63.365454545454547</v>
      </c>
      <c r="AD22" s="4">
        <v>76.896000000000001</v>
      </c>
      <c r="AE22" s="4">
        <f>IF(ISBLANK(t_omie_evol[[#This Row],[Omie media diaria]]),$X$39,t_omie_evol[[#This Row],[demanda GWh]])</f>
        <v>547</v>
      </c>
    </row>
    <row r="23" spans="1:31" x14ac:dyDescent="0.2">
      <c r="A23" s="4">
        <v>20</v>
      </c>
      <c r="B23" s="4">
        <v>110.1</v>
      </c>
      <c r="C23" s="4">
        <v>117.14</v>
      </c>
      <c r="D23" s="4">
        <v>106.19</v>
      </c>
      <c r="E23" s="4">
        <v>104.95</v>
      </c>
      <c r="G23" s="4">
        <v>20</v>
      </c>
      <c r="H23" s="4">
        <v>39.049999999999983</v>
      </c>
      <c r="I23" s="4">
        <v>39.700000000000003</v>
      </c>
      <c r="K23" s="4">
        <v>20</v>
      </c>
      <c r="L23" s="4">
        <v>61.97000000000002</v>
      </c>
      <c r="M23" s="4">
        <v>62.93</v>
      </c>
      <c r="O23" s="4">
        <v>20</v>
      </c>
      <c r="P23" s="4">
        <v>66.536000000000001</v>
      </c>
      <c r="Q23" s="4">
        <v>44.662916666666661</v>
      </c>
      <c r="R23" s="4">
        <v>0.45833333333333326</v>
      </c>
      <c r="S23" s="4">
        <v>0.42899999999999999</v>
      </c>
      <c r="T23" s="4">
        <v>0</v>
      </c>
      <c r="U23" s="4">
        <v>7.0000000000000001E-3</v>
      </c>
      <c r="V23" s="4">
        <v>0.5</v>
      </c>
      <c r="W23" s="4">
        <v>0.54600000000000004</v>
      </c>
      <c r="X23" s="4">
        <v>512</v>
      </c>
      <c r="Y23" s="4">
        <v>22.784545454545452</v>
      </c>
      <c r="Z23" s="4">
        <v>51.92</v>
      </c>
      <c r="AA23" s="4">
        <v>0</v>
      </c>
      <c r="AB23" s="4">
        <v>48.33</v>
      </c>
      <c r="AC23" s="4">
        <v>64.69</v>
      </c>
      <c r="AD23" s="4">
        <v>76.896000000000001</v>
      </c>
      <c r="AE23" s="4">
        <f>IF(ISBLANK(t_omie_evol[[#This Row],[Omie media diaria]]),$X$39,t_omie_evol[[#This Row],[demanda GWh]])</f>
        <v>512</v>
      </c>
    </row>
    <row r="24" spans="1:31" x14ac:dyDescent="0.2">
      <c r="A24" s="4">
        <v>21</v>
      </c>
      <c r="B24" s="4">
        <v>114.91</v>
      </c>
      <c r="C24" s="4">
        <v>155.87</v>
      </c>
      <c r="D24" s="4">
        <v>113.95</v>
      </c>
      <c r="E24" s="4">
        <v>118.02</v>
      </c>
      <c r="G24" s="4">
        <v>21</v>
      </c>
      <c r="H24" s="4">
        <v>39.409999999999975</v>
      </c>
      <c r="I24" s="4">
        <v>39.700000000000003</v>
      </c>
      <c r="K24" s="4">
        <v>21</v>
      </c>
      <c r="L24" s="4">
        <v>61.450000000000024</v>
      </c>
      <c r="M24" s="4">
        <v>62.93</v>
      </c>
      <c r="O24" s="4">
        <v>21</v>
      </c>
      <c r="P24" s="4">
        <v>66.536000000000001</v>
      </c>
      <c r="Q24" s="4">
        <v>93.626666666666679</v>
      </c>
      <c r="R24" s="4">
        <v>0.33333333333333331</v>
      </c>
      <c r="S24" s="4">
        <v>0.42899999999999999</v>
      </c>
      <c r="T24" s="4">
        <v>0</v>
      </c>
      <c r="U24" s="4">
        <v>8.0000000000000002E-3</v>
      </c>
      <c r="V24" s="4">
        <v>0.45833333333333326</v>
      </c>
      <c r="W24" s="4">
        <v>0.55500000000000005</v>
      </c>
      <c r="X24" s="4">
        <v>607</v>
      </c>
      <c r="Y24" s="4">
        <v>99.23</v>
      </c>
      <c r="Z24" s="4">
        <v>51.92</v>
      </c>
      <c r="AA24" s="4">
        <v>0</v>
      </c>
      <c r="AB24" s="4">
        <v>48.33</v>
      </c>
      <c r="AC24" s="4">
        <v>92.074545454545444</v>
      </c>
      <c r="AD24" s="4">
        <v>76.896000000000001</v>
      </c>
      <c r="AE24" s="4">
        <f>IF(ISBLANK(t_omie_evol[[#This Row],[Omie media diaria]]),$X$39,t_omie_evol[[#This Row],[demanda GWh]])</f>
        <v>607</v>
      </c>
    </row>
    <row r="25" spans="1:31" x14ac:dyDescent="0.2">
      <c r="A25" s="4">
        <v>22</v>
      </c>
      <c r="B25" s="4">
        <v>83.19</v>
      </c>
      <c r="C25" s="4">
        <v>153.55000000000001</v>
      </c>
      <c r="D25" s="4">
        <v>101.57</v>
      </c>
      <c r="E25" s="4">
        <v>106.56</v>
      </c>
      <c r="G25" s="4">
        <v>22</v>
      </c>
      <c r="H25" s="4">
        <v>39.610000000000007</v>
      </c>
      <c r="I25" s="4">
        <v>39.700000000000003</v>
      </c>
      <c r="K25" s="4">
        <v>22</v>
      </c>
      <c r="L25" s="4">
        <v>61.890000000000022</v>
      </c>
      <c r="M25" s="4">
        <v>62.93</v>
      </c>
      <c r="O25" s="4">
        <v>22</v>
      </c>
      <c r="P25" s="4">
        <v>66.536000000000001</v>
      </c>
      <c r="Q25" s="4">
        <v>80.176666666666662</v>
      </c>
      <c r="R25" s="4">
        <v>0.29166666666666669</v>
      </c>
      <c r="S25" s="4">
        <v>0.42899999999999999</v>
      </c>
      <c r="T25" s="4">
        <v>4.1666666666666664E-2</v>
      </c>
      <c r="U25" s="4">
        <v>0.01</v>
      </c>
      <c r="V25" s="4">
        <v>0.54166666666666663</v>
      </c>
      <c r="W25" s="4">
        <v>0.57999999999999996</v>
      </c>
      <c r="X25" s="4">
        <v>631</v>
      </c>
      <c r="Y25" s="4">
        <v>60.60857142857143</v>
      </c>
      <c r="Z25" s="4">
        <v>51.92</v>
      </c>
      <c r="AA25" s="4">
        <v>124.71</v>
      </c>
      <c r="AB25" s="4">
        <v>48.33</v>
      </c>
      <c r="AC25" s="4">
        <v>87.65307692307691</v>
      </c>
      <c r="AD25" s="4">
        <v>76.896000000000001</v>
      </c>
      <c r="AE25" s="4">
        <f>IF(ISBLANK(t_omie_evol[[#This Row],[Omie media diaria]]),$X$39,t_omie_evol[[#This Row],[demanda GWh]])</f>
        <v>631</v>
      </c>
    </row>
    <row r="26" spans="1:31" x14ac:dyDescent="0.2">
      <c r="A26" s="4">
        <v>23</v>
      </c>
      <c r="C26" s="4">
        <v>100.24</v>
      </c>
      <c r="D26" s="4">
        <v>85.89</v>
      </c>
      <c r="E26" s="4">
        <v>88.24</v>
      </c>
      <c r="G26" s="4">
        <v>23</v>
      </c>
      <c r="H26" s="4">
        <v>40.419999999999987</v>
      </c>
      <c r="I26" s="4">
        <v>39.700000000000003</v>
      </c>
      <c r="K26" s="4">
        <v>23</v>
      </c>
      <c r="L26" s="4">
        <v>64.609999999999971</v>
      </c>
      <c r="M26" s="4">
        <v>62.93</v>
      </c>
      <c r="O26" s="4">
        <v>23</v>
      </c>
      <c r="P26" s="4">
        <v>66.536000000000001</v>
      </c>
      <c r="Q26" s="4">
        <v>87.228749999999991</v>
      </c>
      <c r="R26" s="4">
        <v>0.30434782608695654</v>
      </c>
      <c r="S26" s="4">
        <v>0.42899999999999999</v>
      </c>
      <c r="T26" s="4">
        <v>0</v>
      </c>
      <c r="U26" s="4">
        <v>0</v>
      </c>
      <c r="V26" s="4">
        <v>0.65217391304347827</v>
      </c>
      <c r="W26" s="4">
        <v>0.59199999999999997</v>
      </c>
      <c r="X26" s="4">
        <v>629</v>
      </c>
      <c r="Y26" s="4">
        <v>75.149999999999977</v>
      </c>
      <c r="Z26" s="4">
        <v>51.92</v>
      </c>
      <c r="AA26" s="4">
        <v>0</v>
      </c>
      <c r="AB26" s="4">
        <v>48.33</v>
      </c>
      <c r="AC26" s="4">
        <v>92.825333333333319</v>
      </c>
      <c r="AD26" s="4">
        <v>76.896000000000001</v>
      </c>
      <c r="AE26" s="4">
        <f>IF(ISBLANK(t_omie_evol[[#This Row],[Omie media diaria]]),$X$39,t_omie_evol[[#This Row],[demanda GWh]])</f>
        <v>629</v>
      </c>
    </row>
    <row r="27" spans="1:31" x14ac:dyDescent="0.2">
      <c r="A27" s="4">
        <v>24</v>
      </c>
      <c r="B27" s="4">
        <v>78.41</v>
      </c>
      <c r="C27" s="4">
        <v>100.34</v>
      </c>
      <c r="D27" s="4">
        <v>77.5</v>
      </c>
      <c r="E27" s="4">
        <v>80.42</v>
      </c>
      <c r="G27" s="4">
        <v>24</v>
      </c>
      <c r="H27" s="4">
        <v>41.159999999999975</v>
      </c>
      <c r="I27" s="4">
        <v>39.700000000000003</v>
      </c>
      <c r="K27" s="4">
        <v>24</v>
      </c>
      <c r="L27" s="4">
        <v>66.25</v>
      </c>
      <c r="M27" s="4">
        <v>62.93</v>
      </c>
      <c r="O27" s="4">
        <v>24</v>
      </c>
      <c r="P27" s="4">
        <v>66.536000000000001</v>
      </c>
      <c r="Q27" s="4">
        <v>70.19374999999998</v>
      </c>
      <c r="R27" s="4">
        <v>0.20833333333333337</v>
      </c>
      <c r="S27" s="4">
        <v>0.42899999999999999</v>
      </c>
      <c r="T27" s="4">
        <v>0</v>
      </c>
      <c r="U27" s="4">
        <v>0</v>
      </c>
      <c r="V27" s="4">
        <v>0.66666666666666663</v>
      </c>
      <c r="W27" s="4">
        <v>0.56299999999999994</v>
      </c>
      <c r="X27" s="4">
        <v>457</v>
      </c>
      <c r="Y27" s="4">
        <v>39.155999999999999</v>
      </c>
      <c r="Z27" s="4">
        <v>51.92</v>
      </c>
      <c r="AA27" s="4">
        <v>0</v>
      </c>
      <c r="AB27" s="4">
        <v>48.33</v>
      </c>
      <c r="AC27" s="4">
        <v>74.732500000000002</v>
      </c>
      <c r="AD27" s="4">
        <v>76.896000000000001</v>
      </c>
      <c r="AE27" s="4">
        <f>IF(ISBLANK(t_omie_evol[[#This Row],[Omie media diaria]]),$X$39,t_omie_evol[[#This Row],[demanda GWh]])</f>
        <v>457</v>
      </c>
    </row>
    <row r="28" spans="1:31" x14ac:dyDescent="0.2">
      <c r="G28" s="4">
        <v>25</v>
      </c>
      <c r="H28" s="4">
        <v>42.070000000000022</v>
      </c>
      <c r="I28" s="4">
        <v>39.700000000000003</v>
      </c>
      <c r="K28" s="4">
        <v>25</v>
      </c>
      <c r="L28" s="4">
        <v>66.25</v>
      </c>
      <c r="M28" s="4">
        <v>62.93</v>
      </c>
      <c r="O28" s="4">
        <v>25</v>
      </c>
      <c r="P28" s="4">
        <v>66.536000000000001</v>
      </c>
      <c r="Q28" s="4">
        <v>63.795833333333327</v>
      </c>
      <c r="R28" s="4">
        <v>0.45833333333333326</v>
      </c>
      <c r="S28" s="4">
        <v>0.42899999999999999</v>
      </c>
      <c r="T28" s="4">
        <v>0</v>
      </c>
      <c r="U28" s="4">
        <v>0</v>
      </c>
      <c r="V28" s="4">
        <v>0.45833333333333326</v>
      </c>
      <c r="W28" s="4">
        <v>0.45800000000000002</v>
      </c>
      <c r="X28" s="4">
        <v>0</v>
      </c>
      <c r="Y28" s="4">
        <v>58.344545454545454</v>
      </c>
      <c r="Z28" s="4">
        <v>51.92</v>
      </c>
      <c r="AA28" s="4">
        <v>0</v>
      </c>
      <c r="AB28" s="4">
        <v>48.33</v>
      </c>
      <c r="AC28" s="4">
        <v>68.891818181818181</v>
      </c>
      <c r="AD28" s="4">
        <v>76.896000000000001</v>
      </c>
      <c r="AE28" s="4">
        <f>IF(ISBLANK(t_omie_evol[[#This Row],[Omie media diaria]]),$X$39,t_omie_evol[[#This Row],[demanda GWh]])</f>
        <v>0</v>
      </c>
    </row>
    <row r="29" spans="1:31" ht="11.45" customHeight="1" x14ac:dyDescent="0.2">
      <c r="G29" s="4">
        <v>26</v>
      </c>
      <c r="I29" s="4">
        <v>39.700000000000003</v>
      </c>
      <c r="K29" s="4">
        <v>26</v>
      </c>
      <c r="M29" s="4">
        <v>62.93</v>
      </c>
      <c r="O29" s="4">
        <v>26</v>
      </c>
      <c r="P29" s="4">
        <v>66.536000000000001</v>
      </c>
      <c r="S29" s="4">
        <v>0.42899999999999999</v>
      </c>
      <c r="U29" s="4">
        <v>0</v>
      </c>
      <c r="W29" s="4">
        <v>0.45800000000000002</v>
      </c>
      <c r="Y29" s="4" t="s">
        <v>1111</v>
      </c>
      <c r="Z29" s="4">
        <v>51.92</v>
      </c>
      <c r="AA29" s="4" t="s">
        <v>1111</v>
      </c>
      <c r="AB29" s="4">
        <v>48.33</v>
      </c>
      <c r="AC29" s="4" t="s">
        <v>1111</v>
      </c>
      <c r="AD29" s="4">
        <v>76.896000000000001</v>
      </c>
      <c r="AE29" s="4">
        <f>IF(ISBLANK(t_omie_evol[[#This Row],[Omie media diaria]]),$X$39,t_omie_evol[[#This Row],[demanda GWh]])</f>
        <v>579.36</v>
      </c>
    </row>
    <row r="30" spans="1:31" ht="11.45" customHeight="1" x14ac:dyDescent="0.2">
      <c r="G30" s="4">
        <v>27</v>
      </c>
      <c r="I30" s="4">
        <v>39.700000000000003</v>
      </c>
      <c r="K30" s="4">
        <v>27</v>
      </c>
      <c r="M30" s="4">
        <v>62.93</v>
      </c>
      <c r="O30" s="4">
        <v>27</v>
      </c>
      <c r="P30" s="4">
        <v>66.536000000000001</v>
      </c>
      <c r="S30" s="4">
        <v>0.42899999999999999</v>
      </c>
      <c r="U30" s="4">
        <v>0</v>
      </c>
      <c r="W30" s="4">
        <v>0.45800000000000002</v>
      </c>
      <c r="Y30" s="4" t="s">
        <v>1111</v>
      </c>
      <c r="Z30" s="4">
        <v>51.92</v>
      </c>
      <c r="AA30" s="4" t="s">
        <v>1111</v>
      </c>
      <c r="AB30" s="4">
        <v>48.33</v>
      </c>
      <c r="AC30" s="4" t="s">
        <v>1111</v>
      </c>
      <c r="AD30" s="4">
        <v>76.896000000000001</v>
      </c>
      <c r="AE30" s="4">
        <f>IF(ISBLANK(t_omie_evol[[#This Row],[Omie media diaria]]),$X$39,t_omie_evol[[#This Row],[demanda GWh]])</f>
        <v>579.36</v>
      </c>
    </row>
    <row r="31" spans="1:31" ht="11.45" customHeight="1" x14ac:dyDescent="0.2">
      <c r="G31" s="4">
        <v>28</v>
      </c>
      <c r="I31" s="4">
        <v>39.700000000000003</v>
      </c>
      <c r="K31" s="4">
        <v>28</v>
      </c>
      <c r="M31" s="4">
        <v>62.93</v>
      </c>
      <c r="O31" s="4">
        <v>28</v>
      </c>
      <c r="P31" s="4">
        <v>66.536000000000001</v>
      </c>
      <c r="S31" s="4">
        <v>0.42899999999999999</v>
      </c>
      <c r="U31" s="4">
        <v>0</v>
      </c>
      <c r="W31" s="4">
        <v>0.45800000000000002</v>
      </c>
      <c r="Y31" s="4" t="s">
        <v>1111</v>
      </c>
      <c r="Z31" s="4">
        <v>51.92</v>
      </c>
      <c r="AA31" s="4" t="s">
        <v>1111</v>
      </c>
      <c r="AB31" s="4">
        <v>48.33</v>
      </c>
      <c r="AC31" s="4" t="s">
        <v>1111</v>
      </c>
      <c r="AD31" s="4">
        <v>76.896000000000001</v>
      </c>
      <c r="AE31" s="4">
        <f>IF(ISBLANK(t_omie_evol[[#This Row],[Omie media diaria]]),$X$39,t_omie_evol[[#This Row],[demanda GWh]])</f>
        <v>579.36</v>
      </c>
    </row>
    <row r="32" spans="1:31" ht="11.45" customHeight="1" x14ac:dyDescent="0.2">
      <c r="G32" s="4">
        <v>29</v>
      </c>
      <c r="I32" s="4">
        <v>39.700000000000003</v>
      </c>
      <c r="K32" s="4">
        <v>29</v>
      </c>
      <c r="M32" s="4">
        <v>62.93</v>
      </c>
      <c r="O32" s="4">
        <v>29</v>
      </c>
      <c r="P32" s="4">
        <v>66.536000000000001</v>
      </c>
      <c r="S32" s="4">
        <v>0.42899999999999999</v>
      </c>
      <c r="U32" s="4">
        <v>0</v>
      </c>
      <c r="W32" s="4">
        <v>0.45800000000000002</v>
      </c>
      <c r="Y32" s="4" t="s">
        <v>1111</v>
      </c>
      <c r="Z32" s="4">
        <v>51.92</v>
      </c>
      <c r="AA32" s="4" t="s">
        <v>1111</v>
      </c>
      <c r="AB32" s="4">
        <v>48.33</v>
      </c>
      <c r="AC32" s="4" t="s">
        <v>1111</v>
      </c>
      <c r="AD32" s="4">
        <v>76.896000000000001</v>
      </c>
      <c r="AE32" s="4">
        <f>IF(ISBLANK(t_omie_evol[[#This Row],[Omie media diaria]]),$X$39,t_omie_evol[[#This Row],[demanda GWh]])</f>
        <v>579.36</v>
      </c>
    </row>
    <row r="33" spans="7:31" ht="11.45" customHeight="1" x14ac:dyDescent="0.2">
      <c r="G33" s="4">
        <v>30</v>
      </c>
      <c r="I33" s="4">
        <v>39.700000000000003</v>
      </c>
      <c r="K33" s="4">
        <v>30</v>
      </c>
      <c r="M33" s="4">
        <v>62.93</v>
      </c>
      <c r="O33" s="4">
        <v>30</v>
      </c>
      <c r="P33" s="4">
        <v>66.536000000000001</v>
      </c>
      <c r="S33" s="4">
        <v>0.42899999999999999</v>
      </c>
      <c r="U33" s="4">
        <v>0</v>
      </c>
      <c r="W33" s="4">
        <v>0.45800000000000002</v>
      </c>
      <c r="Y33" s="4" t="s">
        <v>1111</v>
      </c>
      <c r="Z33" s="4">
        <v>51.92</v>
      </c>
      <c r="AA33" s="4" t="s">
        <v>1111</v>
      </c>
      <c r="AB33" s="4">
        <v>48.33</v>
      </c>
      <c r="AC33" s="4" t="s">
        <v>1111</v>
      </c>
      <c r="AD33" s="4">
        <v>76.896000000000001</v>
      </c>
      <c r="AE33" s="4">
        <f>IF(ISBLANK(t_omie_evol[[#This Row],[Omie media diaria]]),$X$39,t_omie_evol[[#This Row],[demanda GWh]])</f>
        <v>579.36</v>
      </c>
    </row>
    <row r="34" spans="7:31" ht="11.45" customHeight="1" x14ac:dyDescent="0.2">
      <c r="G34" s="4">
        <v>31</v>
      </c>
      <c r="K34" s="4">
        <v>31</v>
      </c>
      <c r="M34" s="4">
        <v>62.93</v>
      </c>
      <c r="O34" s="4">
        <v>31</v>
      </c>
      <c r="P34" s="4">
        <v>66.536000000000001</v>
      </c>
      <c r="S34" s="4">
        <v>0.42899999999999999</v>
      </c>
      <c r="U34" s="4">
        <v>0</v>
      </c>
      <c r="W34" s="4">
        <v>0.45800000000000002</v>
      </c>
      <c r="Y34" s="4" t="s">
        <v>1111</v>
      </c>
      <c r="Z34" s="4">
        <v>51.92</v>
      </c>
      <c r="AA34" s="4" t="s">
        <v>1111</v>
      </c>
      <c r="AB34" s="4">
        <v>48.33</v>
      </c>
      <c r="AC34" s="4" t="s">
        <v>1111</v>
      </c>
      <c r="AD34" s="4">
        <v>76.896000000000001</v>
      </c>
      <c r="AE34" s="4">
        <f>IF(ISBLANK(t_omie_evol[[#This Row],[Omie media diaria]]),$X$39,t_omie_evol[[#This Row],[demanda GWh]])</f>
        <v>579.36</v>
      </c>
    </row>
    <row r="38" spans="7:31" x14ac:dyDescent="0.2">
      <c r="W38" s="4" t="s">
        <v>488</v>
      </c>
      <c r="X38" s="4">
        <f>SUM(t_omie_evol[demanda GWh])</f>
        <v>14484</v>
      </c>
    </row>
    <row r="39" spans="7:31" x14ac:dyDescent="0.2">
      <c r="W39" s="4" t="s">
        <v>489</v>
      </c>
      <c r="X39" s="4">
        <f>AVERAGE(t_omie_evol[demanda GWh])</f>
        <v>579.36</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D21" sqref="D2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5">
    <tablePart r:id="rId1"/>
    <tablePart r:id="rId2"/>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AA118"/>
  <sheetViews>
    <sheetView showGridLines="0" tabSelected="1" workbookViewId="0">
      <selection activeCell="H6" sqref="H6"/>
    </sheetView>
  </sheetViews>
  <sheetFormatPr baseColWidth="10" defaultRowHeight="12" x14ac:dyDescent="0.2"/>
  <cols>
    <col min="1" max="1" width="28.5703125" bestFit="1" customWidth="1"/>
    <col min="2" max="2" width="12" bestFit="1" customWidth="1"/>
    <col min="3" max="3" width="8.28515625" bestFit="1" customWidth="1"/>
    <col min="4" max="11" width="12" bestFit="1" customWidth="1"/>
    <col min="12" max="12" width="10.5703125" style="110" bestFit="1" customWidth="1"/>
    <col min="13" max="13" width="12.85546875" bestFit="1" customWidth="1"/>
    <col min="14" max="14" width="31.140625" bestFit="1" customWidth="1"/>
    <col min="15" max="19" width="12" bestFit="1" customWidth="1"/>
    <col min="20" max="21" width="12" customWidth="1"/>
    <col min="22" max="22" width="10.5703125" style="4" bestFit="1" customWidth="1"/>
    <col min="23" max="23" width="12.85546875" style="4" bestFit="1" customWidth="1"/>
    <col min="24" max="24" width="31.140625" bestFit="1" customWidth="1"/>
  </cols>
  <sheetData>
    <row r="1" spans="1:27" x14ac:dyDescent="0.2">
      <c r="A1" t="s">
        <v>0</v>
      </c>
      <c r="B1" t="s">
        <v>1147</v>
      </c>
      <c r="C1" t="s">
        <v>1148</v>
      </c>
      <c r="D1" t="s">
        <v>1149</v>
      </c>
      <c r="E1" t="s">
        <v>1150</v>
      </c>
      <c r="F1" t="s">
        <v>1151</v>
      </c>
      <c r="G1" t="s">
        <v>1152</v>
      </c>
      <c r="H1" t="s">
        <v>1153</v>
      </c>
      <c r="I1" t="s">
        <v>1154</v>
      </c>
      <c r="J1" t="s">
        <v>1155</v>
      </c>
      <c r="K1" t="s">
        <v>1156</v>
      </c>
      <c r="L1" s="107" t="s">
        <v>558</v>
      </c>
      <c r="M1" s="62" t="s">
        <v>667</v>
      </c>
      <c r="N1" s="61" t="s">
        <v>560</v>
      </c>
      <c r="V1"/>
      <c r="W1"/>
    </row>
    <row r="2" spans="1:27" x14ac:dyDescent="0.2">
      <c r="A2" s="47" t="s">
        <v>9</v>
      </c>
      <c r="B2">
        <v>7.9622132253711286E-2</v>
      </c>
      <c r="C2">
        <v>0.7</v>
      </c>
      <c r="D2">
        <v>1.2189349112426033</v>
      </c>
      <c r="E2">
        <v>1.9261155815654718</v>
      </c>
      <c r="F2">
        <v>0.15131578947368426</v>
      </c>
      <c r="G2">
        <v>0.37589158345221113</v>
      </c>
      <c r="H2">
        <v>0.17023924768358459</v>
      </c>
      <c r="I2">
        <v>0.34102141680395387</v>
      </c>
      <c r="J2">
        <v>0.10492977141283398</v>
      </c>
      <c r="K2">
        <v>9.8286744815148874E-2</v>
      </c>
      <c r="L2" s="108">
        <f>$AA$2- COUNTIF(acumulado_porcentaje[[#This Row],[ene-24]:[oct-24]],"")</f>
        <v>10</v>
      </c>
      <c r="M2" s="69" t="e">
        <f>IF(acumulado_porcentaje[[#This Row],[contar]]&gt;=$AA$3,SUM(SMALL(#REF!,1),SMALL(#REF!,2),SMALL(#REF!,3),SMALL(#REF!,4),SMALL(#REF!,5),SMALL(#REF!,6),SMALL(#REF!,7)),"#N/A")</f>
        <v>#REF!</v>
      </c>
      <c r="N2" t="str">
        <f>acumulado_porcentaje[[#This Row],[Nombre ]]&amp;" ("&amp;acumulado_porcentaje[[#This Row],[contar]]&amp;")"</f>
        <v>Alfonso Zárate Conde (10)</v>
      </c>
      <c r="P2" s="72" t="e">
        <f>LARGE(#REF!,1)</f>
        <v>#REF!</v>
      </c>
      <c r="Q2" s="72" t="e">
        <f>LARGE(#REF!,2)</f>
        <v>#REF!</v>
      </c>
      <c r="R2" s="45"/>
      <c r="S2" s="45"/>
      <c r="T2" s="45"/>
      <c r="V2" s="57" t="str">
        <f>AA3&amp;" mejores resultados hasta el "&amp;oct!H1&amp;" de septiembre incluído*"</f>
        <v>8 mejores resultados hasta el 25 de septiembre incluído*</v>
      </c>
      <c r="W2"/>
      <c r="Z2" t="s">
        <v>812</v>
      </c>
      <c r="AA2" s="65">
        <v>10</v>
      </c>
    </row>
    <row r="3" spans="1:27" x14ac:dyDescent="0.2">
      <c r="A3" s="47" t="s">
        <v>225</v>
      </c>
      <c r="B3">
        <v>0.15141700404858299</v>
      </c>
      <c r="C3">
        <v>0.80625000000000002</v>
      </c>
      <c r="D3">
        <v>1.2795857988165678</v>
      </c>
      <c r="E3">
        <v>0.70592538405267014</v>
      </c>
      <c r="F3">
        <v>0.63453947368421049</v>
      </c>
      <c r="G3">
        <v>9.4151212553495026E-2</v>
      </c>
      <c r="H3">
        <v>7.0529663946896021E-3</v>
      </c>
      <c r="I3">
        <v>0.17847336628226249</v>
      </c>
      <c r="J3">
        <v>0.27788488019829238</v>
      </c>
      <c r="K3">
        <v>0.17703636910129225</v>
      </c>
      <c r="L3" s="108">
        <f>$AA$2- COUNTIF(acumulado_porcentaje[[#This Row],[ene-24]:[oct-24]],"")</f>
        <v>10</v>
      </c>
      <c r="M3" s="69" t="e">
        <f>IF(acumulado_porcentaje[[#This Row],[contar]]&gt;=$AA$3,SUM(SMALL(#REF!,1),SMALL(#REF!,2),SMALL(#REF!,3),SMALL(#REF!,4),SMALL(#REF!,5),SMALL(#REF!,6),SMALL(#REF!,7)),"#N/A")</f>
        <v>#REF!</v>
      </c>
      <c r="N3" t="str">
        <f>acumulado_porcentaje[[#This Row],[Nombre ]]&amp;" ("&amp;acumulado_porcentaje[[#This Row],[contar]]&amp;")"</f>
        <v>Elena Muñoz Vioque (10)</v>
      </c>
      <c r="P3" s="72"/>
      <c r="Q3" s="72"/>
      <c r="R3" s="45"/>
      <c r="S3" s="45"/>
      <c r="T3" s="45"/>
      <c r="V3"/>
      <c r="W3"/>
      <c r="Z3" t="s">
        <v>825</v>
      </c>
      <c r="AA3" s="4">
        <f>AA2-2</f>
        <v>8</v>
      </c>
    </row>
    <row r="4" spans="1:27" x14ac:dyDescent="0.2">
      <c r="A4" s="47" t="s">
        <v>217</v>
      </c>
      <c r="B4">
        <v>0.19703103913630224</v>
      </c>
      <c r="C4">
        <v>0.74899999999999989</v>
      </c>
      <c r="D4">
        <v>1.2194280078895461</v>
      </c>
      <c r="E4">
        <v>1.4381858083394292</v>
      </c>
      <c r="F4">
        <v>9.6381578947368415E-2</v>
      </c>
      <c r="G4">
        <v>0.28798145506419398</v>
      </c>
      <c r="H4">
        <v>6.1125708753975959E-2</v>
      </c>
      <c r="I4">
        <v>0.28138385502471158</v>
      </c>
      <c r="J4">
        <v>7.0917102726521491E-2</v>
      </c>
      <c r="K4">
        <v>5.1397655545536325E-2</v>
      </c>
      <c r="L4" s="108">
        <f>$AA$2- COUNTIF(acumulado_porcentaje[[#This Row],[ene-24]:[oct-24]],"")</f>
        <v>10</v>
      </c>
      <c r="M4" s="69" t="e">
        <f>IF(acumulado_porcentaje[[#This Row],[contar]]&gt;=$AA$3,SUM(SMALL(#REF!,1),SMALL(#REF!,2),SMALL(#REF!,3),SMALL(#REF!,4),SMALL(#REF!,5),SMALL(#REF!,6),SMALL(#REF!,7)),"#N/A")</f>
        <v>#REF!</v>
      </c>
      <c r="N4" t="str">
        <f>acumulado_porcentaje[[#This Row],[Nombre ]]&amp;" ("&amp;acumulado_porcentaje[[#This Row],[contar]]&amp;")"</f>
        <v>Fernando Sánchez-Rey Maeso (10)</v>
      </c>
      <c r="P4" s="72"/>
      <c r="Q4" s="72"/>
      <c r="R4" s="45"/>
      <c r="S4" s="45"/>
      <c r="T4" s="45"/>
      <c r="V4"/>
      <c r="W4"/>
    </row>
    <row r="5" spans="1:27" x14ac:dyDescent="0.2">
      <c r="A5" s="47" t="s">
        <v>409</v>
      </c>
      <c r="B5">
        <v>0.10242914979757091</v>
      </c>
      <c r="C5">
        <v>0.74050000000000016</v>
      </c>
      <c r="D5">
        <v>1.7460552268244574</v>
      </c>
      <c r="E5">
        <v>1.7468910021945863</v>
      </c>
      <c r="F5">
        <v>2.335526315789465E-2</v>
      </c>
      <c r="G5">
        <v>6.3837375178316669E-2</v>
      </c>
      <c r="H5">
        <v>3.8168994606555179E-2</v>
      </c>
      <c r="I5">
        <v>0.23130148270181222</v>
      </c>
      <c r="J5">
        <v>1.2806389424400889E-2</v>
      </c>
      <c r="K5">
        <v>3.8172527802825242E-2</v>
      </c>
      <c r="L5" s="108">
        <f>$AA$2- COUNTIF(acumulado_porcentaje[[#This Row],[ene-24]:[oct-24]],"")</f>
        <v>10</v>
      </c>
      <c r="M5" s="69" t="e">
        <f>IF(acumulado_porcentaje[[#This Row],[contar]]&gt;=$AA$3,SUM(SMALL(#REF!,1),SMALL(#REF!,2),SMALL(#REF!,3),SMALL(#REF!,4),SMALL(#REF!,5),SMALL(#REF!,6),SMALL(#REF!,7)),"#N/A")</f>
        <v>#REF!</v>
      </c>
      <c r="N5" t="str">
        <f>acumulado_porcentaje[[#This Row],[Nombre ]]&amp;" ("&amp;acumulado_porcentaje[[#This Row],[contar]]&amp;")"</f>
        <v>Gladys Rocha Blanco (10)</v>
      </c>
      <c r="P5" s="72"/>
      <c r="Q5" s="72"/>
      <c r="R5" s="45"/>
      <c r="S5" s="45"/>
      <c r="T5" s="45"/>
      <c r="V5"/>
      <c r="W5"/>
    </row>
    <row r="6" spans="1:27" x14ac:dyDescent="0.2">
      <c r="A6" s="47" t="s">
        <v>362</v>
      </c>
      <c r="B6">
        <v>2.6990553306343165E-3</v>
      </c>
      <c r="C6">
        <v>0.74624999999999986</v>
      </c>
      <c r="D6">
        <v>0.75542406311637078</v>
      </c>
      <c r="E6">
        <v>0.77029992684711046</v>
      </c>
      <c r="F6">
        <v>6.907894736842099E-2</v>
      </c>
      <c r="G6">
        <v>0.24910841654778887</v>
      </c>
      <c r="H6">
        <v>9.7496888397178766E-2</v>
      </c>
      <c r="I6">
        <v>0.17836353651839643</v>
      </c>
      <c r="J6">
        <v>0.28958964472597082</v>
      </c>
      <c r="K6">
        <v>0.2799819657348962</v>
      </c>
      <c r="L6" s="108">
        <f>$AA$2- COUNTIF(acumulado_porcentaje[[#This Row],[ene-24]:[oct-24]],"")</f>
        <v>10</v>
      </c>
      <c r="M6" s="69" t="e">
        <f>IF(acumulado_porcentaje[[#This Row],[contar]]&gt;=$AA$3,SUM(SMALL(#REF!,1),SMALL(#REF!,2),SMALL(#REF!,3),SMALL(#REF!,4),SMALL(#REF!,5),SMALL(#REF!,6),SMALL(#REF!,7)),"#N/A")</f>
        <v>#REF!</v>
      </c>
      <c r="N6" t="str">
        <f>acumulado_porcentaje[[#This Row],[Nombre ]]&amp;" ("&amp;acumulado_porcentaje[[#This Row],[contar]]&amp;")"</f>
        <v>Inés Monroy (10)</v>
      </c>
      <c r="P6" s="72"/>
      <c r="Q6" s="72"/>
      <c r="R6" s="45"/>
      <c r="S6" s="45"/>
      <c r="T6" s="45"/>
      <c r="V6"/>
      <c r="W6"/>
    </row>
    <row r="7" spans="1:27" x14ac:dyDescent="0.2">
      <c r="A7" s="47" t="s">
        <v>406</v>
      </c>
      <c r="B7">
        <v>1.2145748987854329E-2</v>
      </c>
      <c r="C7">
        <v>0.625</v>
      </c>
      <c r="D7">
        <v>0.57790927021696248</v>
      </c>
      <c r="E7">
        <v>1.0848573518653988</v>
      </c>
      <c r="F7">
        <v>0.17763157894736839</v>
      </c>
      <c r="G7">
        <v>1.9258202567760313E-2</v>
      </c>
      <c r="H7">
        <v>5.9604480708062541E-2</v>
      </c>
      <c r="I7">
        <v>0.14332784184514</v>
      </c>
      <c r="J7">
        <v>0.21178738639493244</v>
      </c>
      <c r="K7">
        <v>5.1998797715659656E-2</v>
      </c>
      <c r="L7" s="108">
        <f>$AA$2- COUNTIF(acumulado_porcentaje[[#This Row],[ene-24]:[oct-24]],"")</f>
        <v>10</v>
      </c>
      <c r="M7" s="69" t="e">
        <f>IF(acumulado_porcentaje[[#This Row],[contar]]&gt;=$AA$3,SUM(SMALL(#REF!,1),SMALL(#REF!,2),SMALL(#REF!,3),SMALL(#REF!,4),SMALL(#REF!,5),SMALL(#REF!,6),SMALL(#REF!,7)),"#N/A")</f>
        <v>#REF!</v>
      </c>
      <c r="N7" t="str">
        <f>acumulado_porcentaje[[#This Row],[Nombre ]]&amp;" ("&amp;acumulado_porcentaje[[#This Row],[contar]]&amp;")"</f>
        <v>Javier Pérez Salazar (10)</v>
      </c>
      <c r="P7" s="72"/>
      <c r="Q7" s="72"/>
      <c r="R7" s="45"/>
      <c r="S7" s="45"/>
      <c r="T7" s="45"/>
      <c r="V7"/>
      <c r="W7"/>
    </row>
    <row r="8" spans="1:27" x14ac:dyDescent="0.2">
      <c r="A8" s="47" t="s">
        <v>336</v>
      </c>
      <c r="B8">
        <v>3.2388663967611225E-2</v>
      </c>
      <c r="C8">
        <v>0.73000000000000009</v>
      </c>
      <c r="D8">
        <v>0.16863905325443776</v>
      </c>
      <c r="E8">
        <v>0.49963423555230435</v>
      </c>
      <c r="F8">
        <v>1.2828947368420955E-2</v>
      </c>
      <c r="G8">
        <v>8.3452211126961481E-2</v>
      </c>
      <c r="H8">
        <v>2.0605725349190911E-2</v>
      </c>
      <c r="I8">
        <v>0.16090060406370119</v>
      </c>
      <c r="J8">
        <v>0.16909942164692923</v>
      </c>
      <c r="K8">
        <v>0.16020438833784184</v>
      </c>
      <c r="L8" s="108">
        <f>$AA$2- COUNTIF(acumulado_porcentaje[[#This Row],[ene-24]:[oct-24]],"")</f>
        <v>10</v>
      </c>
      <c r="M8" s="69" t="e">
        <f>IF(acumulado_porcentaje[[#This Row],[contar]]&gt;=$AA$3,SUM(SMALL(#REF!,1),SMALL(#REF!,2),SMALL(#REF!,3),SMALL(#REF!,4),SMALL(#REF!,5),SMALL(#REF!,6),SMALL(#REF!,7)),"#N/A")</f>
        <v>#REF!</v>
      </c>
      <c r="N8" t="str">
        <f>acumulado_porcentaje[[#This Row],[Nombre ]]&amp;" ("&amp;acumulado_porcentaje[[#This Row],[contar]]&amp;")"</f>
        <v>Javier Revuelta Alonso (10)</v>
      </c>
      <c r="P8" s="72">
        <f>AVERAGE(B8,D8,F8,G8,H8,I8,J8,K8)</f>
        <v>0.10101487688938682</v>
      </c>
      <c r="Q8" s="72"/>
      <c r="R8" s="45"/>
      <c r="S8" s="45"/>
      <c r="T8" s="45"/>
      <c r="V8"/>
      <c r="W8"/>
    </row>
    <row r="9" spans="1:27" x14ac:dyDescent="0.2">
      <c r="A9" s="47" t="s">
        <v>218</v>
      </c>
      <c r="B9">
        <v>0.15249662618083687</v>
      </c>
      <c r="C9">
        <v>0.61149999999999982</v>
      </c>
      <c r="D9">
        <v>0.30670611439842199</v>
      </c>
      <c r="E9">
        <v>0.89465983906364288</v>
      </c>
      <c r="F9">
        <v>0.49013157894736842</v>
      </c>
      <c r="G9">
        <v>0.23038516405135526</v>
      </c>
      <c r="H9">
        <v>7.4540174249757993E-2</v>
      </c>
      <c r="I9">
        <v>0.1466227347611202</v>
      </c>
      <c r="J9">
        <v>0.22390526025888172</v>
      </c>
      <c r="K9">
        <v>0.16877066426209783</v>
      </c>
      <c r="L9" s="108">
        <f>$AA$2- COUNTIF(acumulado_porcentaje[[#This Row],[ene-24]:[oct-24]],"")</f>
        <v>10</v>
      </c>
      <c r="M9" s="69" t="e">
        <f>IF(acumulado_porcentaje[[#This Row],[contar]]&gt;=$AA$3,SUM(SMALL(#REF!,1),SMALL(#REF!,2),SMALL(#REF!,3),SMALL(#REF!,4),SMALL(#REF!,5),SMALL(#REF!,6),SMALL(#REF!,7)),"#N/A")</f>
        <v>#REF!</v>
      </c>
      <c r="N9" t="str">
        <f>acumulado_porcentaje[[#This Row],[Nombre ]]&amp;" ("&amp;acumulado_porcentaje[[#This Row],[contar]]&amp;")"</f>
        <v>Jorge Antonio González Sánchez (10)</v>
      </c>
      <c r="P9" s="72"/>
      <c r="Q9" s="72"/>
      <c r="R9" s="45"/>
      <c r="S9" s="45"/>
      <c r="T9" s="45"/>
      <c r="V9"/>
      <c r="W9"/>
    </row>
    <row r="10" spans="1:27" x14ac:dyDescent="0.2">
      <c r="A10" s="47" t="s">
        <v>222</v>
      </c>
      <c r="B10">
        <v>8.7719298245612885E-3</v>
      </c>
      <c r="C10">
        <v>0.84699999999999986</v>
      </c>
      <c r="D10">
        <v>0.50394477317554232</v>
      </c>
      <c r="E10">
        <v>0.35332845647403072</v>
      </c>
      <c r="F10">
        <v>0.13980263157894737</v>
      </c>
      <c r="G10">
        <v>0.14728958630527814</v>
      </c>
      <c r="H10">
        <v>3.1945788964182022E-2</v>
      </c>
      <c r="I10">
        <v>0.10378912685337729</v>
      </c>
      <c r="J10">
        <v>0.30528779950426882</v>
      </c>
      <c r="K10">
        <v>2.3143973549744394E-2</v>
      </c>
      <c r="L10" s="108">
        <f>$AA$2- COUNTIF(acumulado_porcentaje[[#This Row],[ene-24]:[oct-24]],"")</f>
        <v>10</v>
      </c>
      <c r="M10" s="69" t="e">
        <f>IF(acumulado_porcentaje[[#This Row],[contar]]&gt;=$AA$3,SUM(SMALL(#REF!,1),SMALL(#REF!,2),SMALL(#REF!,3),SMALL(#REF!,4),SMALL(#REF!,5),SMALL(#REF!,6),SMALL(#REF!,7)),"#N/A")</f>
        <v>#REF!</v>
      </c>
      <c r="N10" t="str">
        <f>acumulado_porcentaje[[#This Row],[Nombre ]]&amp;" ("&amp;acumulado_porcentaje[[#This Row],[contar]]&amp;")"</f>
        <v>Jose F Vidal (10)</v>
      </c>
      <c r="P10" s="72">
        <f>AVERAGE(B10,E10,F10,G10,H10,I10,J10,K10)</f>
        <v>0.13916991163179873</v>
      </c>
      <c r="Q10" s="72"/>
      <c r="R10" s="45"/>
      <c r="S10" s="45"/>
      <c r="T10" s="45"/>
      <c r="V10"/>
      <c r="W10"/>
    </row>
    <row r="11" spans="1:27" x14ac:dyDescent="0.2">
      <c r="A11" s="47" t="s">
        <v>412</v>
      </c>
      <c r="B11">
        <v>9.4197031039136361E-2</v>
      </c>
      <c r="C11">
        <v>0.99499999999999988</v>
      </c>
      <c r="D11">
        <v>2.0414201183431953</v>
      </c>
      <c r="E11">
        <v>5.5032918800292618</v>
      </c>
      <c r="F11">
        <v>0.59868421052631593</v>
      </c>
      <c r="G11">
        <v>3.3166904422253916E-2</v>
      </c>
      <c r="H11">
        <v>3.0839441294426829E-2</v>
      </c>
      <c r="I11">
        <v>0.14772103239978038</v>
      </c>
      <c r="J11">
        <v>0.20627926191131904</v>
      </c>
      <c r="K11">
        <v>0.20378719567177617</v>
      </c>
      <c r="L11" s="108">
        <f>$AA$2- COUNTIF(acumulado_porcentaje[[#This Row],[ene-24]:[oct-24]],"")</f>
        <v>10</v>
      </c>
      <c r="M11" s="69" t="e">
        <f>IF(acumulado_porcentaje[[#This Row],[contar]]&gt;=$AA$3,SUM(SMALL(#REF!,1),SMALL(#REF!,2),SMALL(#REF!,3),SMALL(#REF!,4),SMALL(#REF!,5),SMALL(#REF!,6),SMALL(#REF!,7)),"#N/A")</f>
        <v>#REF!</v>
      </c>
      <c r="N11" t="str">
        <f>acumulado_porcentaje[[#This Row],[Nombre ]]&amp;" ("&amp;acumulado_porcentaje[[#This Row],[contar]]&amp;")"</f>
        <v>Jose Manuel Otero López (10)</v>
      </c>
      <c r="P11" s="72"/>
      <c r="Q11" s="72"/>
      <c r="R11" s="45"/>
      <c r="S11" s="45"/>
      <c r="T11" s="45"/>
      <c r="V11"/>
      <c r="W11"/>
    </row>
    <row r="12" spans="1:27" x14ac:dyDescent="0.2">
      <c r="A12" s="47" t="s">
        <v>408</v>
      </c>
      <c r="B12">
        <v>3.8731443994601759E-2</v>
      </c>
      <c r="C12">
        <v>0.8932500000000001</v>
      </c>
      <c r="D12">
        <v>0.64250493096646943</v>
      </c>
      <c r="E12">
        <v>0.77249451353328458</v>
      </c>
      <c r="F12">
        <v>2.6315789473684119E-2</v>
      </c>
      <c r="G12">
        <v>0.25267475035663339</v>
      </c>
      <c r="H12">
        <v>2.9871387083390908E-2</v>
      </c>
      <c r="I12">
        <v>0.1624382207578253</v>
      </c>
      <c r="J12">
        <v>0.18397135775268519</v>
      </c>
      <c r="K12">
        <v>8.8818755635707791E-2</v>
      </c>
      <c r="L12" s="108">
        <f>$AA$2- COUNTIF(acumulado_porcentaje[[#This Row],[ene-24]:[oct-24]],"")</f>
        <v>10</v>
      </c>
      <c r="M12" s="69" t="e">
        <f>IF(acumulado_porcentaje[[#This Row],[contar]]&gt;=$AA$3,SUM(SMALL(#REF!,1),SMALL(#REF!,2),SMALL(#REF!,3),SMALL(#REF!,4),SMALL(#REF!,5),SMALL(#REF!,6),SMALL(#REF!,7)),"#N/A")</f>
        <v>#REF!</v>
      </c>
      <c r="N12" t="str">
        <f>acumulado_porcentaje[[#This Row],[Nombre ]]&amp;" ("&amp;acumulado_porcentaje[[#This Row],[contar]]&amp;")"</f>
        <v>Julián Mateo Muñoz (10)</v>
      </c>
      <c r="P12" s="72"/>
      <c r="Q12" s="72"/>
      <c r="R12" s="45"/>
      <c r="S12" s="45"/>
      <c r="T12" s="45"/>
      <c r="V12"/>
      <c r="W12"/>
    </row>
    <row r="13" spans="1:27" x14ac:dyDescent="0.2">
      <c r="A13" s="47" t="s">
        <v>363</v>
      </c>
      <c r="B13">
        <v>4.4534412955465549E-2</v>
      </c>
      <c r="C13">
        <v>0.63500000000000012</v>
      </c>
      <c r="D13">
        <v>0.46942800788954631</v>
      </c>
      <c r="E13">
        <v>0.66788588149231898</v>
      </c>
      <c r="F13">
        <v>0.28947368421052622</v>
      </c>
      <c r="G13">
        <v>0.24928673323823106</v>
      </c>
      <c r="H13">
        <v>4.8541004010510369E-2</v>
      </c>
      <c r="I13">
        <v>0.21801208127402522</v>
      </c>
      <c r="J13">
        <v>0.20352519966951255</v>
      </c>
      <c r="K13">
        <v>2.1039975954313278E-3</v>
      </c>
      <c r="L13" s="108">
        <f>$AA$2- COUNTIF(acumulado_porcentaje[[#This Row],[ene-24]:[oct-24]],"")</f>
        <v>10</v>
      </c>
      <c r="M13" s="69" t="e">
        <f>IF(acumulado_porcentaje[[#This Row],[contar]]&gt;=$AA$3,SUM(SMALL(#REF!,1),SMALL(#REF!,2),SMALL(#REF!,3),SMALL(#REF!,4),SMALL(#REF!,5),SMALL(#REF!,6),SMALL(#REF!,7)),"#N/A")</f>
        <v>#REF!</v>
      </c>
      <c r="N13" t="str">
        <f>acumulado_porcentaje[[#This Row],[Nombre ]]&amp;" ("&amp;acumulado_porcentaje[[#This Row],[contar]]&amp;")"</f>
        <v>Roque Alonso Alonso (10)</v>
      </c>
      <c r="P13" s="72"/>
      <c r="Q13" s="72"/>
      <c r="R13" s="45"/>
      <c r="S13" s="45"/>
      <c r="T13" s="45"/>
      <c r="V13"/>
      <c r="W13"/>
    </row>
    <row r="14" spans="1:27" x14ac:dyDescent="0.2">
      <c r="A14" s="47" t="s">
        <v>215</v>
      </c>
      <c r="B14">
        <v>4.8582995951417123E-2</v>
      </c>
      <c r="C14">
        <v>0.72375000000000012</v>
      </c>
      <c r="E14">
        <v>2.2553035844915872</v>
      </c>
      <c r="F14">
        <v>0.35197368421052644</v>
      </c>
      <c r="G14">
        <v>9.4507845934379657E-3</v>
      </c>
      <c r="H14">
        <v>6.3753284469644581E-2</v>
      </c>
      <c r="I14">
        <v>0.22350356946732558</v>
      </c>
      <c r="J14">
        <v>0.25172128890112916</v>
      </c>
      <c r="K14">
        <v>0.10129245566576509</v>
      </c>
      <c r="L14" s="108">
        <f>$AA$2- COUNTIF(acumulado_porcentaje[[#This Row],[ene-24]:[oct-24]],"")</f>
        <v>9</v>
      </c>
      <c r="M14" s="69" t="e">
        <f>IF(acumulado_porcentaje[[#This Row],[contar]]&gt;=$AA$3,SUM(SMALL(#REF!,1),SMALL(#REF!,2),SMALL(#REF!,3),SMALL(#REF!,4),SMALL(#REF!,5),SMALL(#REF!,6),SMALL(#REF!,7)),"#N/A")</f>
        <v>#REF!</v>
      </c>
      <c r="N14" t="str">
        <f>acumulado_porcentaje[[#This Row],[Nombre ]]&amp;" ("&amp;acumulado_porcentaje[[#This Row],[contar]]&amp;")"</f>
        <v>Carles Estruch Puig (9)</v>
      </c>
      <c r="P14" s="72"/>
      <c r="Q14" s="72"/>
      <c r="R14" s="45"/>
      <c r="S14" s="45"/>
      <c r="T14" s="45"/>
      <c r="V14"/>
      <c r="W14"/>
    </row>
    <row r="15" spans="1:27" x14ac:dyDescent="0.2">
      <c r="A15" s="47" t="s">
        <v>219</v>
      </c>
      <c r="B15">
        <v>0.18866396761133611</v>
      </c>
      <c r="C15">
        <v>0.74224999999999997</v>
      </c>
      <c r="D15">
        <v>0.80769230769230738</v>
      </c>
      <c r="F15">
        <v>9.703947368421062E-2</v>
      </c>
      <c r="G15">
        <v>4.992867332382319E-2</v>
      </c>
      <c r="H15">
        <v>7.7997510717743052E-2</v>
      </c>
      <c r="I15">
        <v>0.12147171883580453</v>
      </c>
      <c r="J15">
        <v>0.25461305425502606</v>
      </c>
      <c r="K15">
        <v>8.536218815749913E-2</v>
      </c>
      <c r="L15" s="108">
        <f>$AA$2- COUNTIF(acumulado_porcentaje[[#This Row],[ene-24]:[oct-24]],"")</f>
        <v>9</v>
      </c>
      <c r="M15" s="69" t="e">
        <f>IF(acumulado_porcentaje[[#This Row],[contar]]&gt;=$AA$3,SUM(SMALL(#REF!,1),SMALL(#REF!,2),SMALL(#REF!,3),SMALL(#REF!,4),SMALL(#REF!,5),SMALL(#REF!,6),SMALL(#REF!,7)),"#N/A")</f>
        <v>#REF!</v>
      </c>
      <c r="N15" t="str">
        <f>acumulado_porcentaje[[#This Row],[Nombre ]]&amp;" ("&amp;acumulado_porcentaje[[#This Row],[contar]]&amp;")"</f>
        <v>Jaime Larrañaga Juez (9)</v>
      </c>
      <c r="P15" s="72"/>
      <c r="Q15" s="72"/>
      <c r="R15" s="45"/>
      <c r="S15" s="45"/>
      <c r="T15" s="45"/>
      <c r="V15"/>
      <c r="W15"/>
    </row>
    <row r="16" spans="1:27" x14ac:dyDescent="0.2">
      <c r="A16" s="47" t="s">
        <v>401</v>
      </c>
      <c r="B16">
        <v>0.17543859649122809</v>
      </c>
      <c r="C16">
        <v>0.875</v>
      </c>
      <c r="D16">
        <v>1.7120315581854042</v>
      </c>
      <c r="E16">
        <v>2.4711046086320412</v>
      </c>
      <c r="F16">
        <v>0.70789473684210513</v>
      </c>
      <c r="G16">
        <v>2.710413694721819E-2</v>
      </c>
      <c r="H16">
        <v>5.7668372285990893E-2</v>
      </c>
      <c r="I16">
        <v>0.1324546952224053</v>
      </c>
      <c r="J16">
        <v>0.29289451941613875</v>
      </c>
      <c r="L16" s="108">
        <f>$AA$2- COUNTIF(acumulado_porcentaje[[#This Row],[ene-24]:[oct-24]],"")</f>
        <v>9</v>
      </c>
      <c r="M16" s="69" t="e">
        <f>IF(acumulado_porcentaje[[#This Row],[contar]]&gt;=$AA$3,SUM(SMALL(#REF!,1),SMALL(#REF!,2),SMALL(#REF!,3),SMALL(#REF!,4),SMALL(#REF!,5),SMALL(#REF!,6),SMALL(#REF!,7)),"#N/A")</f>
        <v>#REF!</v>
      </c>
      <c r="N16" t="str">
        <f>acumulado_porcentaje[[#This Row],[Nombre ]]&amp;" ("&amp;acumulado_porcentaje[[#This Row],[contar]]&amp;")"</f>
        <v>Juan Pedro Conejo Sanchez (9)</v>
      </c>
      <c r="P16" s="72">
        <f>AVERAGE(B16,C16,F16:J16,acumulado_porcentaje[[#This Row],[mar-24]])</f>
        <v>0.49756082692381132</v>
      </c>
      <c r="Q16" s="72">
        <f>AVERAGE(B16,C16,F16:K16)</f>
        <v>0.32406500817215517</v>
      </c>
      <c r="R16" s="45"/>
      <c r="S16" s="45"/>
      <c r="T16" s="45"/>
      <c r="V16"/>
      <c r="W16"/>
    </row>
    <row r="17" spans="1:23" x14ac:dyDescent="0.2">
      <c r="A17" s="47" t="s">
        <v>414</v>
      </c>
      <c r="C17">
        <v>0.6087499999999999</v>
      </c>
      <c r="D17">
        <v>0.74211045364891504</v>
      </c>
      <c r="E17">
        <v>0.71982443306510624</v>
      </c>
      <c r="F17">
        <v>7.5657894736842021E-2</v>
      </c>
      <c r="G17">
        <v>5.1355206847360835E-2</v>
      </c>
      <c r="H17">
        <v>1.3829345871947332E-4</v>
      </c>
      <c r="I17">
        <v>0.18396485447556288</v>
      </c>
      <c r="J17">
        <v>0.29854034701184234</v>
      </c>
      <c r="K17">
        <v>5.6507363991583869E-2</v>
      </c>
      <c r="L17" s="108">
        <f>$AA$2- COUNTIF(acumulado_porcentaje[[#This Row],[ene-24]:[oct-24]],"")</f>
        <v>9</v>
      </c>
      <c r="M17" s="69" t="e">
        <f>IF(acumulado_porcentaje[[#This Row],[contar]]&gt;=$AA$3,SUM(SMALL(#REF!,1),SMALL(#REF!,2),SMALL(#REF!,3),SMALL(#REF!,4),SMALL(#REF!,5),SMALL(#REF!,6),SMALL(#REF!,7)),"#N/A")</f>
        <v>#REF!</v>
      </c>
      <c r="N17" t="str">
        <f>acumulado_porcentaje[[#This Row],[Nombre ]]&amp;" ("&amp;acumulado_porcentaje[[#This Row],[contar]]&amp;")"</f>
        <v>Laura Gómez López (9)</v>
      </c>
      <c r="P17" s="72"/>
      <c r="Q17" s="72"/>
      <c r="R17" s="45"/>
      <c r="S17" s="45"/>
      <c r="T17" s="45"/>
      <c r="V17"/>
      <c r="W17"/>
    </row>
    <row r="18" spans="1:23" x14ac:dyDescent="0.2">
      <c r="A18" s="47" t="s">
        <v>328</v>
      </c>
      <c r="C18">
        <v>0.63000000000000012</v>
      </c>
      <c r="E18">
        <v>1.0190197512801757</v>
      </c>
      <c r="F18">
        <v>1.3157894736842059E-2</v>
      </c>
      <c r="G18">
        <v>5.2068473609129848E-2</v>
      </c>
      <c r="H18">
        <v>8.588023786474891E-2</v>
      </c>
      <c r="I18">
        <v>0.19439868204283364</v>
      </c>
      <c r="J18">
        <v>0.21247590195538407</v>
      </c>
      <c r="K18">
        <v>3.7421100090171244E-2</v>
      </c>
      <c r="L18" s="108">
        <f>$AA$2- COUNTIF(acumulado_porcentaje[[#This Row],[ene-24]:[oct-24]],"")</f>
        <v>8</v>
      </c>
      <c r="M18" s="69" t="e">
        <f>IF(acumulado_porcentaje[[#This Row],[contar]]&gt;=$AA$3,SUM(SMALL(#REF!,1),SMALL(#REF!,2),SMALL(#REF!,3),SMALL(#REF!,4),SMALL(#REF!,5),SMALL(#REF!,6),SMALL(#REF!,7)),"#N/A")</f>
        <v>#REF!</v>
      </c>
      <c r="N18" t="str">
        <f>acumulado_porcentaje[[#This Row],[Nombre ]]&amp;" ("&amp;acumulado_porcentaje[[#This Row],[contar]]&amp;")"</f>
        <v>Aitor Folch (8)</v>
      </c>
      <c r="P18" s="72">
        <f>AVERAGE(B18,C18,F18:J18)</f>
        <v>0.19799686503482308</v>
      </c>
      <c r="Q18" s="72"/>
      <c r="R18" s="45"/>
      <c r="S18" s="45"/>
      <c r="T18" s="45"/>
      <c r="V18"/>
      <c r="W18"/>
    </row>
    <row r="19" spans="1:23" x14ac:dyDescent="0.2">
      <c r="A19" s="47" t="s">
        <v>221</v>
      </c>
      <c r="B19">
        <v>5.6410256410256508E-2</v>
      </c>
      <c r="C19">
        <v>0.48249999999999993</v>
      </c>
      <c r="D19">
        <v>0.15828402366863892</v>
      </c>
      <c r="E19">
        <v>0.42648134601316751</v>
      </c>
      <c r="F19">
        <v>0.17993421052631575</v>
      </c>
      <c r="G19">
        <v>0.29404422253922957</v>
      </c>
      <c r="I19">
        <v>0.24107633168588691</v>
      </c>
      <c r="K19">
        <v>1.9687406071535737E-2</v>
      </c>
      <c r="L19" s="108">
        <f>$AA$2- COUNTIF(acumulado_porcentaje[[#This Row],[ene-24]:[oct-24]],"")</f>
        <v>8</v>
      </c>
      <c r="M19" s="69" t="e">
        <f>IF(acumulado_porcentaje[[#This Row],[contar]]&gt;=$AA$3,SUM(SMALL(#REF!,1),SMALL(#REF!,2),SMALL(#REF!,3),SMALL(#REF!,4),SMALL(#REF!,5),SMALL(#REF!,6),SMALL(#REF!,7)),"#N/A")</f>
        <v>#REF!</v>
      </c>
      <c r="N19" t="str">
        <f>acumulado_porcentaje[[#This Row],[Nombre ]]&amp;" ("&amp;acumulado_porcentaje[[#This Row],[contar]]&amp;")"</f>
        <v>Alfonso Lezcano (8)</v>
      </c>
      <c r="P19" s="72"/>
      <c r="Q19" s="72"/>
      <c r="R19" s="45"/>
      <c r="S19" s="45"/>
      <c r="T19" s="45"/>
      <c r="V19"/>
      <c r="W19"/>
    </row>
    <row r="20" spans="1:23" x14ac:dyDescent="0.2">
      <c r="A20" s="47" t="s">
        <v>474</v>
      </c>
      <c r="D20">
        <v>5.9171597633134827E-3</v>
      </c>
      <c r="E20">
        <v>0.64594001463057793</v>
      </c>
      <c r="F20">
        <v>0.15460526315789483</v>
      </c>
      <c r="G20">
        <v>0.24661198288159769</v>
      </c>
      <c r="H20">
        <v>6.3061817176047599E-2</v>
      </c>
      <c r="I20">
        <v>0.17880285557386053</v>
      </c>
      <c r="J20">
        <v>0.27884880198292478</v>
      </c>
      <c r="K20">
        <v>6.7177637511271399E-2</v>
      </c>
      <c r="L20" s="108">
        <f>$AA$2- COUNTIF(acumulado_porcentaje[[#This Row],[ene-24]:[oct-24]],"")</f>
        <v>8</v>
      </c>
      <c r="M20" s="69" t="e">
        <f>IF(acumulado_porcentaje[[#This Row],[contar]]&gt;=$AA$3,SUM(SMALL(#REF!,1),SMALL(#REF!,2),SMALL(#REF!,3),SMALL(#REF!,4),SMALL(#REF!,5),SMALL(#REF!,6),SMALL(#REF!,7)),"#N/A")</f>
        <v>#REF!</v>
      </c>
      <c r="N20" t="str">
        <f>acumulado_porcentaje[[#This Row],[Nombre ]]&amp;" ("&amp;acumulado_porcentaje[[#This Row],[contar]]&amp;")"</f>
        <v>Javier Colón Cortegoso (8)</v>
      </c>
      <c r="P20" s="72"/>
      <c r="Q20" s="72"/>
      <c r="R20" s="45"/>
      <c r="S20" s="45"/>
      <c r="T20" s="45"/>
      <c r="V20"/>
      <c r="W20"/>
    </row>
    <row r="21" spans="1:23" x14ac:dyDescent="0.2">
      <c r="A21" s="47" t="s">
        <v>242</v>
      </c>
      <c r="B21">
        <v>0.18353576248313083</v>
      </c>
      <c r="E21">
        <v>0.60936356986100948</v>
      </c>
      <c r="F21">
        <v>0.75328947368421051</v>
      </c>
      <c r="G21">
        <v>0.17082738944365189</v>
      </c>
      <c r="H21">
        <v>8.0348499515972921E-2</v>
      </c>
      <c r="I21">
        <v>0.15980230642504115</v>
      </c>
      <c r="J21">
        <v>0.35637565408978233</v>
      </c>
      <c r="K21">
        <v>0.23985572587917031</v>
      </c>
      <c r="L21" s="108">
        <f>$AA$2- COUNTIF(acumulado_porcentaje[[#This Row],[ene-24]:[oct-24]],"")</f>
        <v>8</v>
      </c>
      <c r="M21" s="69" t="e">
        <f>IF(acumulado_porcentaje[[#This Row],[contar]]&gt;=$AA$3,SUM(SMALL(#REF!,1),SMALL(#REF!,2),SMALL(#REF!,3),SMALL(#REF!,4),SMALL(#REF!,5),SMALL(#REF!,6),SMALL(#REF!,7)),"#N/A")</f>
        <v>#REF!</v>
      </c>
      <c r="N21" t="str">
        <f>acumulado_porcentaje[[#This Row],[Nombre ]]&amp;" ("&amp;acumulado_porcentaje[[#This Row],[contar]]&amp;")"</f>
        <v>Javier Espelta (8)</v>
      </c>
      <c r="P21" s="72"/>
      <c r="Q21" s="72"/>
      <c r="R21" s="45"/>
      <c r="S21" s="45"/>
      <c r="T21" s="45"/>
      <c r="V21"/>
      <c r="W21"/>
    </row>
    <row r="22" spans="1:23" x14ac:dyDescent="0.2">
      <c r="A22" s="47" t="s">
        <v>381</v>
      </c>
      <c r="B22">
        <v>3.2388663967611413E-2</v>
      </c>
      <c r="C22">
        <v>0.50050000000000006</v>
      </c>
      <c r="F22">
        <v>9.3092105263157837E-2</v>
      </c>
      <c r="G22">
        <v>5.5813124108416469E-2</v>
      </c>
      <c r="H22">
        <v>2.2541833771262555E-2</v>
      </c>
      <c r="I22">
        <v>0.17583745194947822</v>
      </c>
      <c r="J22">
        <v>0.23836408702836687</v>
      </c>
      <c r="K22">
        <v>0.11346558461076039</v>
      </c>
      <c r="L22" s="108">
        <f>$AA$2- COUNTIF(acumulado_porcentaje[[#This Row],[ene-24]:[oct-24]],"")</f>
        <v>8</v>
      </c>
      <c r="M22" s="69" t="e">
        <f>IF(acumulado_porcentaje[[#This Row],[contar]]&gt;=$AA$3,SUM(SMALL(#REF!,1),SMALL(#REF!,2),SMALL(#REF!,3),SMALL(#REF!,4),SMALL(#REF!,5),SMALL(#REF!,6),SMALL(#REF!,7)),"#N/A")</f>
        <v>#REF!</v>
      </c>
      <c r="N22" t="str">
        <f>acumulado_porcentaje[[#This Row],[Nombre ]]&amp;" ("&amp;acumulado_porcentaje[[#This Row],[contar]]&amp;")"</f>
        <v>Roberto Cavero García (8)</v>
      </c>
      <c r="P22" s="72"/>
      <c r="Q22" s="72"/>
      <c r="R22" s="45"/>
      <c r="S22" s="45"/>
      <c r="T22" s="45"/>
      <c r="V22"/>
      <c r="W22"/>
    </row>
    <row r="23" spans="1:23" x14ac:dyDescent="0.2">
      <c r="A23" s="47" t="s">
        <v>403</v>
      </c>
      <c r="B23">
        <v>0.1943319838056681</v>
      </c>
      <c r="E23">
        <v>1.944403803950256</v>
      </c>
      <c r="F23">
        <v>9.8684210526316027E-3</v>
      </c>
      <c r="G23">
        <v>7.168330955777466E-2</v>
      </c>
      <c r="H23">
        <v>9.7635181855898243E-2</v>
      </c>
      <c r="I23">
        <v>0.20263591433278422</v>
      </c>
      <c r="J23">
        <v>0.17736160837234913</v>
      </c>
      <c r="L23" s="108">
        <f>$AA$2- COUNTIF(acumulado_porcentaje[[#This Row],[ene-24]:[oct-24]],"")</f>
        <v>7</v>
      </c>
      <c r="M23" s="69" t="str">
        <f>IF(acumulado_porcentaje[[#This Row],[contar]]&gt;=$AA$3,SUM(SMALL(#REF!,1),SMALL(#REF!,2),SMALL(#REF!,3),SMALL(#REF!,4),SMALL(#REF!,5),SMALL(#REF!,6),SMALL(#REF!,7)),"#N/A")</f>
        <v>#N/A</v>
      </c>
      <c r="N23" t="str">
        <f>acumulado_porcentaje[[#This Row],[Nombre ]]&amp;" ("&amp;acumulado_porcentaje[[#This Row],[contar]]&amp;")"</f>
        <v>Luis Angel Garzon Velasco (7)</v>
      </c>
      <c r="P23" s="72"/>
      <c r="Q23" s="72"/>
      <c r="R23" s="45"/>
      <c r="S23" s="45"/>
      <c r="T23" s="45"/>
      <c r="V23"/>
      <c r="W23"/>
    </row>
    <row r="24" spans="1:23" x14ac:dyDescent="0.2">
      <c r="A24" s="47" t="s">
        <v>292</v>
      </c>
      <c r="C24">
        <v>0.50250000000000006</v>
      </c>
      <c r="D24">
        <v>0.44970414201183417</v>
      </c>
      <c r="E24">
        <v>0.7483540599853693</v>
      </c>
      <c r="G24">
        <v>0.21843794579172612</v>
      </c>
      <c r="H24">
        <v>6.7210620937629639E-2</v>
      </c>
      <c r="I24">
        <v>0.27666117517847333</v>
      </c>
      <c r="J24">
        <v>0.10011016248967221</v>
      </c>
      <c r="L24" s="108">
        <f>$AA$2- COUNTIF(acumulado_porcentaje[[#This Row],[ene-24]:[oct-24]],"")</f>
        <v>7</v>
      </c>
      <c r="M24" s="69" t="str">
        <f>IF(acumulado_porcentaje[[#This Row],[contar]]&gt;=$AA$3,SUM(SMALL(#REF!,1),SMALL(#REF!,2),SMALL(#REF!,3),SMALL(#REF!,4),SMALL(#REF!,5),SMALL(#REF!,6),SMALL(#REF!,7)),"#N/A")</f>
        <v>#N/A</v>
      </c>
      <c r="N24" t="str">
        <f>acumulado_porcentaje[[#This Row],[Nombre ]]&amp;" ("&amp;acumulado_porcentaje[[#This Row],[contar]]&amp;")"</f>
        <v>Oscar Mulas Crespo (7)</v>
      </c>
      <c r="P24" s="72"/>
      <c r="Q24" s="72"/>
      <c r="R24" s="45"/>
      <c r="S24" s="45"/>
      <c r="T24" s="45"/>
      <c r="V24"/>
      <c r="W24"/>
    </row>
    <row r="25" spans="1:23" x14ac:dyDescent="0.2">
      <c r="A25" s="47" t="s">
        <v>542</v>
      </c>
      <c r="E25">
        <v>0.45647403072421361</v>
      </c>
      <c r="F25">
        <v>0.12434210526315782</v>
      </c>
      <c r="G25">
        <v>0.20738231098430807</v>
      </c>
      <c r="H25">
        <v>1.4659106624256703E-2</v>
      </c>
      <c r="I25">
        <v>9.6320702910488706E-2</v>
      </c>
      <c r="J25">
        <v>0.31561553291104377</v>
      </c>
      <c r="K25">
        <v>5.3050796513375215E-2</v>
      </c>
      <c r="L25" s="108">
        <f>$AA$2- COUNTIF(acumulado_porcentaje[[#This Row],[ene-24]:[oct-24]],"")</f>
        <v>7</v>
      </c>
      <c r="M25" s="69" t="str">
        <f>IF(acumulado_porcentaje[[#This Row],[contar]]&gt;=$AA$3,SUM(SMALL(#REF!,1),SMALL(#REF!,2),SMALL(#REF!,3),SMALL(#REF!,4),SMALL(#REF!,5),SMALL(#REF!,6),SMALL(#REF!,7)),"#N/A")</f>
        <v>#N/A</v>
      </c>
      <c r="N25" t="str">
        <f>acumulado_porcentaje[[#This Row],[Nombre ]]&amp;" ("&amp;acumulado_porcentaje[[#This Row],[contar]]&amp;")"</f>
        <v>Sergio Alfonso (7)</v>
      </c>
      <c r="P25" s="72"/>
      <c r="Q25" s="72"/>
      <c r="R25" s="45"/>
      <c r="S25" s="45"/>
      <c r="T25" s="45"/>
      <c r="V25"/>
      <c r="W25"/>
    </row>
    <row r="26" spans="1:23" x14ac:dyDescent="0.2">
      <c r="A26" s="47" t="s">
        <v>413</v>
      </c>
      <c r="C26">
        <v>0.80500000000000005</v>
      </c>
      <c r="F26">
        <v>9.6710526315789636E-2</v>
      </c>
      <c r="H26">
        <v>7.5508228460793719E-2</v>
      </c>
      <c r="I26">
        <v>0.19461834157056562</v>
      </c>
      <c r="J26">
        <v>0.19608923161663444</v>
      </c>
      <c r="K26">
        <v>3.2161106101593034E-2</v>
      </c>
      <c r="L26" s="108">
        <f>$AA$2- COUNTIF(acumulado_porcentaje[[#This Row],[ene-24]:[oct-24]],"")</f>
        <v>6</v>
      </c>
      <c r="M26" s="69" t="str">
        <f>IF(acumulado_porcentaje[[#This Row],[contar]]&gt;=$AA$3,SUM(SMALL(#REF!,1),SMALL(#REF!,2),SMALL(#REF!,3),SMALL(#REF!,4),SMALL(#REF!,5),SMALL(#REF!,6),SMALL(#REF!,7)),"#N/A")</f>
        <v>#N/A</v>
      </c>
      <c r="N26" t="str">
        <f>acumulado_porcentaje[[#This Row],[Nombre ]]&amp;" ("&amp;acumulado_porcentaje[[#This Row],[contar]]&amp;")"</f>
        <v>Beatriz Muñoz Rioboo (6)</v>
      </c>
      <c r="P26" s="72"/>
      <c r="Q26" s="72"/>
      <c r="R26" s="45"/>
      <c r="S26" s="45"/>
      <c r="T26" s="45"/>
      <c r="V26"/>
      <c r="W26"/>
    </row>
    <row r="27" spans="1:23" x14ac:dyDescent="0.2">
      <c r="A27" s="47" t="s">
        <v>652</v>
      </c>
      <c r="F27">
        <v>0.13388157894736843</v>
      </c>
      <c r="G27">
        <v>8.1847360912981393E-2</v>
      </c>
      <c r="H27">
        <v>5.033881897386254E-2</v>
      </c>
      <c r="I27">
        <v>0.2898407468423943</v>
      </c>
      <c r="J27">
        <v>0.13522445607270714</v>
      </c>
      <c r="K27">
        <v>7.8148482116020254E-2</v>
      </c>
      <c r="L27" s="108">
        <f>$AA$2- COUNTIF(acumulado_porcentaje[[#This Row],[ene-24]:[oct-24]],"")</f>
        <v>6</v>
      </c>
      <c r="M27" s="69" t="str">
        <f>IF(acumulado_porcentaje[[#This Row],[contar]]&gt;=$AA$3,SUM(SMALL(#REF!,1),SMALL(#REF!,2),SMALL(#REF!,3),SMALL(#REF!,4),SMALL(#REF!,5),SMALL(#REF!,6),SMALL(#REF!,7)),"#N/A")</f>
        <v>#N/A</v>
      </c>
      <c r="N27" t="str">
        <f>acumulado_porcentaje[[#This Row],[Nombre ]]&amp;" ("&amp;acumulado_porcentaje[[#This Row],[contar]]&amp;")"</f>
        <v>Carlos Martin (6)</v>
      </c>
      <c r="P27" s="72"/>
      <c r="Q27" s="72"/>
      <c r="R27" s="45"/>
      <c r="S27" s="45"/>
      <c r="T27" s="45"/>
      <c r="V27"/>
      <c r="W27"/>
    </row>
    <row r="28" spans="1:23" x14ac:dyDescent="0.2">
      <c r="A28" s="47" t="s">
        <v>364</v>
      </c>
      <c r="C28">
        <v>0.77525000000000011</v>
      </c>
      <c r="D28">
        <v>1.3505917159763312</v>
      </c>
      <c r="E28">
        <v>0.80760790051207032</v>
      </c>
      <c r="F28">
        <v>4.8684210526315809E-2</v>
      </c>
      <c r="G28">
        <v>0.14390156918687591</v>
      </c>
      <c r="I28">
        <v>0.19692476661175171</v>
      </c>
      <c r="L28" s="108">
        <f>$AA$2- COUNTIF(acumulado_porcentaje[[#This Row],[ene-24]:[oct-24]],"")</f>
        <v>6</v>
      </c>
      <c r="M28" s="69" t="str">
        <f>IF(acumulado_porcentaje[[#This Row],[contar]]&gt;=$AA$3,SUM(SMALL(#REF!,1),SMALL(#REF!,2),SMALL(#REF!,3),SMALL(#REF!,4),SMALL(#REF!,5),SMALL(#REF!,6),SMALL(#REF!,7)),"#N/A")</f>
        <v>#N/A</v>
      </c>
      <c r="N28" t="str">
        <f>acumulado_porcentaje[[#This Row],[Nombre ]]&amp;" ("&amp;acumulado_porcentaje[[#This Row],[contar]]&amp;")"</f>
        <v>Marcos Fortea Escolano (6)</v>
      </c>
      <c r="P28" s="72"/>
      <c r="Q28" s="72"/>
      <c r="R28" s="45"/>
      <c r="S28" s="45"/>
      <c r="T28" s="45"/>
      <c r="V28"/>
      <c r="W28"/>
    </row>
    <row r="29" spans="1:23" x14ac:dyDescent="0.2">
      <c r="A29" s="47" t="s">
        <v>543</v>
      </c>
      <c r="C29">
        <v>0.68</v>
      </c>
      <c r="D29">
        <v>0.34319526627218921</v>
      </c>
      <c r="E29">
        <v>0.39502560351133875</v>
      </c>
      <c r="F29">
        <v>5.8552631578947294E-2</v>
      </c>
      <c r="G29">
        <v>0.12107703281027103</v>
      </c>
      <c r="H29">
        <v>7.8135804176462528E-2</v>
      </c>
      <c r="L29" s="108">
        <f>$AA$2- COUNTIF(acumulado_porcentaje[[#This Row],[ene-24]:[oct-24]],"")</f>
        <v>6</v>
      </c>
      <c r="M29" s="69" t="str">
        <f>IF(acumulado_porcentaje[[#This Row],[contar]]&gt;=$AA$3,SUM(SMALL(#REF!,1),SMALL(#REF!,2),SMALL(#REF!,3),SMALL(#REF!,4),SMALL(#REF!,5),SMALL(#REF!,6),SMALL(#REF!,7)),"#N/A")</f>
        <v>#N/A</v>
      </c>
      <c r="N29" t="str">
        <f>acumulado_porcentaje[[#This Row],[Nombre ]]&amp;" ("&amp;acumulado_porcentaje[[#This Row],[contar]]&amp;")"</f>
        <v>Roberto Parro Cortés (6)</v>
      </c>
      <c r="P29" s="72"/>
      <c r="Q29" s="72"/>
      <c r="R29" s="45"/>
      <c r="S29" s="45"/>
      <c r="T29" s="45"/>
      <c r="V29"/>
      <c r="W29"/>
    </row>
    <row r="30" spans="1:23" x14ac:dyDescent="0.2">
      <c r="A30" s="47" t="s">
        <v>226</v>
      </c>
      <c r="B30">
        <v>1.6869095816464237E-2</v>
      </c>
      <c r="C30">
        <v>0.5625</v>
      </c>
      <c r="D30">
        <v>0.22287968441814593</v>
      </c>
      <c r="E30">
        <v>0.64667154352596945</v>
      </c>
      <c r="F30">
        <v>0.19769736842105257</v>
      </c>
      <c r="L30" s="108">
        <f>$AA$2- COUNTIF(acumulado_porcentaje[[#This Row],[ene-24]:[oct-24]],"")</f>
        <v>5</v>
      </c>
      <c r="M30" s="69" t="str">
        <f>IF(acumulado_porcentaje[[#This Row],[contar]]&gt;=$AA$3,SUM(SMALL(#REF!,1),SMALL(#REF!,2),SMALL(#REF!,3),SMALL(#REF!,4),SMALL(#REF!,5),SMALL(#REF!,6),SMALL(#REF!,7)),"#N/A")</f>
        <v>#N/A</v>
      </c>
      <c r="N30" t="str">
        <f>acumulado_porcentaje[[#This Row],[Nombre ]]&amp;" ("&amp;acumulado_porcentaje[[#This Row],[contar]]&amp;")"</f>
        <v>Alejandro A. Díaz González (5)</v>
      </c>
      <c r="P30" s="72"/>
      <c r="Q30" s="72"/>
      <c r="R30" s="45"/>
      <c r="S30" s="45"/>
      <c r="T30" s="45"/>
      <c r="V30"/>
      <c r="W30"/>
    </row>
    <row r="31" spans="1:23" x14ac:dyDescent="0.2">
      <c r="A31" s="47" t="s">
        <v>335</v>
      </c>
      <c r="B31">
        <v>7.0175438596491266E-2</v>
      </c>
      <c r="C31">
        <v>0.7024999999999999</v>
      </c>
      <c r="F31">
        <v>0.12532894736842112</v>
      </c>
      <c r="G31">
        <v>5.117689015691864E-2</v>
      </c>
      <c r="H31">
        <v>0.10510302862674607</v>
      </c>
      <c r="L31" s="108">
        <f>$AA$2- COUNTIF(acumulado_porcentaje[[#This Row],[ene-24]:[oct-24]],"")</f>
        <v>5</v>
      </c>
      <c r="M31" s="69" t="str">
        <f>IF(acumulado_porcentaje[[#This Row],[contar]]&gt;=$AA$3,SUM(SMALL(#REF!,1),SMALL(#REF!,2),SMALL(#REF!,3),SMALL(#REF!,4),SMALL(#REF!,5),SMALL(#REF!,6),SMALL(#REF!,7)),"#N/A")</f>
        <v>#N/A</v>
      </c>
      <c r="N31" t="str">
        <f>acumulado_porcentaje[[#This Row],[Nombre ]]&amp;" ("&amp;acumulado_porcentaje[[#This Row],[contar]]&amp;")"</f>
        <v>Carlos Callejón (5)</v>
      </c>
      <c r="P31" s="72"/>
      <c r="Q31" s="72"/>
      <c r="R31" s="45"/>
      <c r="S31" s="45"/>
      <c r="T31" s="45"/>
      <c r="V31"/>
      <c r="W31"/>
    </row>
    <row r="32" spans="1:23" x14ac:dyDescent="0.2">
      <c r="A32" s="47" t="s">
        <v>792</v>
      </c>
      <c r="G32">
        <v>1.3908701854493602E-2</v>
      </c>
      <c r="H32">
        <v>3.7339233854238145E-3</v>
      </c>
      <c r="I32">
        <v>0.22570016474464577</v>
      </c>
      <c r="J32">
        <v>0.26370145965298802</v>
      </c>
      <c r="K32">
        <v>0.25864141869552137</v>
      </c>
      <c r="L32" s="108">
        <f>$AA$2- COUNTIF(acumulado_porcentaje[[#This Row],[ene-24]:[oct-24]],"")</f>
        <v>5</v>
      </c>
      <c r="M32" s="69" t="str">
        <f>IF(acumulado_porcentaje[[#This Row],[contar]]&gt;=$AA$3,SUM(SMALL(#REF!,1),SMALL(#REF!,2),SMALL(#REF!,3),SMALL(#REF!,4),SMALL(#REF!,5),SMALL(#REF!,6),SMALL(#REF!,7)),"#N/A")</f>
        <v>#N/A</v>
      </c>
      <c r="N32" t="str">
        <f>acumulado_porcentaje[[#This Row],[Nombre ]]&amp;" ("&amp;acumulado_porcentaje[[#This Row],[contar]]&amp;")"</f>
        <v>Gorka Arratibel Pastor (5)</v>
      </c>
      <c r="P32" s="72"/>
      <c r="Q32" s="72"/>
      <c r="R32" s="45"/>
      <c r="S32" s="45"/>
      <c r="T32" s="45"/>
      <c r="V32"/>
      <c r="W32"/>
    </row>
    <row r="33" spans="1:23" x14ac:dyDescent="0.2">
      <c r="A33" s="47" t="s">
        <v>786</v>
      </c>
      <c r="G33">
        <v>0.78227532097004293</v>
      </c>
      <c r="H33">
        <v>9.8188355690775747E-2</v>
      </c>
      <c r="I33">
        <v>0.13662822624931353</v>
      </c>
      <c r="J33">
        <v>0.12544753511429357</v>
      </c>
      <c r="K33">
        <v>0.26345055605650713</v>
      </c>
      <c r="L33" s="108">
        <f>$AA$2- COUNTIF(acumulado_porcentaje[[#This Row],[ene-24]:[oct-24]],"")</f>
        <v>5</v>
      </c>
      <c r="M33" s="69" t="str">
        <f>IF(acumulado_porcentaje[[#This Row],[contar]]&gt;=$AA$3,SUM(SMALL(#REF!,1),SMALL(#REF!,2),SMALL(#REF!,3),SMALL(#REF!,4),SMALL(#REF!,5),SMALL(#REF!,6),SMALL(#REF!,7)),"#N/A")</f>
        <v>#N/A</v>
      </c>
      <c r="N33" t="str">
        <f>acumulado_porcentaje[[#This Row],[Nombre ]]&amp;" ("&amp;acumulado_porcentaje[[#This Row],[contar]]&amp;")"</f>
        <v>Jesús Aceituno López (5)</v>
      </c>
      <c r="P33" s="72"/>
      <c r="Q33" s="72"/>
      <c r="R33" s="45"/>
      <c r="S33" s="45"/>
      <c r="T33" s="45"/>
      <c r="V33"/>
      <c r="W33"/>
    </row>
    <row r="34" spans="1:23" x14ac:dyDescent="0.2">
      <c r="A34" s="47" t="s">
        <v>803</v>
      </c>
      <c r="G34">
        <v>0.12660485021398005</v>
      </c>
      <c r="H34">
        <v>9.3209791176877457E-2</v>
      </c>
      <c r="I34">
        <v>0.23591433278418455</v>
      </c>
      <c r="J34">
        <v>6.0313963095566088E-2</v>
      </c>
      <c r="K34">
        <v>0.11496844003606839</v>
      </c>
      <c r="L34" s="108">
        <f>$AA$2- COUNTIF(acumulado_porcentaje[[#This Row],[ene-24]:[oct-24]],"")</f>
        <v>5</v>
      </c>
      <c r="M34" s="69" t="str">
        <f>IF(acumulado_porcentaje[[#This Row],[contar]]&gt;=$AA$3,SUM(SMALL(#REF!,1),SMALL(#REF!,2),SMALL(#REF!,3),SMALL(#REF!,4),SMALL(#REF!,5),SMALL(#REF!,6),SMALL(#REF!,7)),"#N/A")</f>
        <v>#N/A</v>
      </c>
      <c r="N34" t="str">
        <f>acumulado_porcentaje[[#This Row],[Nombre ]]&amp;" ("&amp;acumulado_porcentaje[[#This Row],[contar]]&amp;")"</f>
        <v>Jorge González Arconada (5)</v>
      </c>
      <c r="V34"/>
      <c r="W34"/>
    </row>
    <row r="35" spans="1:23" x14ac:dyDescent="0.2">
      <c r="A35" s="47" t="s">
        <v>784</v>
      </c>
      <c r="G35">
        <v>7.5427960057061413E-2</v>
      </c>
      <c r="H35">
        <v>9.4177845387913184E-2</v>
      </c>
      <c r="I35">
        <v>0.23163097199341026</v>
      </c>
      <c r="J35">
        <v>0.12172955108785442</v>
      </c>
      <c r="K35">
        <v>0.13014727983168012</v>
      </c>
      <c r="L35" s="108">
        <f>$AA$2- COUNTIF(acumulado_porcentaje[[#This Row],[ene-24]:[oct-24]],"")</f>
        <v>5</v>
      </c>
      <c r="M35" s="69" t="str">
        <f>IF(acumulado_porcentaje[[#This Row],[contar]]&gt;=$AA$3,SUM(SMALL(#REF!,1),SMALL(#REF!,2),SMALL(#REF!,3),SMALL(#REF!,4),SMALL(#REF!,5),SMALL(#REF!,6),SMALL(#REF!,7)),"#N/A")</f>
        <v>#N/A</v>
      </c>
      <c r="N35" t="str">
        <f>acumulado_porcentaje[[#This Row],[Nombre ]]&amp;" ("&amp;acumulado_porcentaje[[#This Row],[contar]]&amp;")"</f>
        <v>Paco Cuadrado (5)</v>
      </c>
      <c r="V35"/>
      <c r="W35"/>
    </row>
    <row r="36" spans="1:23" x14ac:dyDescent="0.2">
      <c r="A36" s="47" t="s">
        <v>1028</v>
      </c>
      <c r="G36">
        <v>1.3552068473609095E-2</v>
      </c>
      <c r="H36">
        <v>5.6976904992393919E-2</v>
      </c>
      <c r="I36">
        <v>0.16177924217462938</v>
      </c>
      <c r="J36">
        <v>0.22872486918204349</v>
      </c>
      <c r="K36">
        <v>1.9687406071535952E-2</v>
      </c>
      <c r="L36" s="108">
        <f>$AA$2- COUNTIF(acumulado_porcentaje[[#This Row],[ene-24]:[oct-24]],"")</f>
        <v>5</v>
      </c>
      <c r="M36" s="69" t="str">
        <f>IF(acumulado_porcentaje[[#This Row],[contar]]&gt;=$AA$3,SUM(SMALL(#REF!,1),SMALL(#REF!,2),SMALL(#REF!,3),SMALL(#REF!,4),SMALL(#REF!,5),SMALL(#REF!,6),SMALL(#REF!,7)),"#N/A")</f>
        <v>#N/A</v>
      </c>
      <c r="N36" t="str">
        <f>acumulado_porcentaje[[#This Row],[Nombre ]]&amp;" ("&amp;acumulado_porcentaje[[#This Row],[contar]]&amp;")"</f>
        <v>Ricardo Estévez Solís (5)</v>
      </c>
      <c r="V36"/>
      <c r="W36"/>
    </row>
    <row r="37" spans="1:23" x14ac:dyDescent="0.2">
      <c r="A37" s="47" t="s">
        <v>407</v>
      </c>
      <c r="B37">
        <v>2.091767881241581E-2</v>
      </c>
      <c r="C37">
        <v>0.75549999999999995</v>
      </c>
      <c r="D37">
        <v>1.3530571992110452</v>
      </c>
      <c r="G37">
        <v>0.16797432239657636</v>
      </c>
      <c r="H37">
        <v>0.33204259438528566</v>
      </c>
      <c r="L37" s="108">
        <f>$AA$2- COUNTIF(acumulado_porcentaje[[#This Row],[ene-24]:[oct-24]],"")</f>
        <v>5</v>
      </c>
      <c r="M37" s="69" t="str">
        <f>IF(acumulado_porcentaje[[#This Row],[contar]]&gt;=$AA$3,SUM(SMALL(#REF!,1),SMALL(#REF!,2),SMALL(#REF!,3),SMALL(#REF!,4),SMALL(#REF!,5),SMALL(#REF!,6),SMALL(#REF!,7)),"#N/A")</f>
        <v>#N/A</v>
      </c>
      <c r="N37" t="str">
        <f>acumulado_porcentaje[[#This Row],[Nombre ]]&amp;" ("&amp;acumulado_porcentaje[[#This Row],[contar]]&amp;")"</f>
        <v>Vicente Fayos Gavila (5)</v>
      </c>
      <c r="V37"/>
      <c r="W37"/>
    </row>
    <row r="38" spans="1:23" x14ac:dyDescent="0.2">
      <c r="A38" s="47" t="s">
        <v>785</v>
      </c>
      <c r="G38">
        <v>0.13355920114122685</v>
      </c>
      <c r="H38">
        <v>8.7678052828101274E-2</v>
      </c>
      <c r="I38">
        <v>0.11422295442064791</v>
      </c>
      <c r="J38">
        <v>0.336408702836684</v>
      </c>
      <c r="K38">
        <v>4.23805229936879E-2</v>
      </c>
      <c r="L38" s="108">
        <f>$AA$2- COUNTIF(acumulado_porcentaje[[#This Row],[ene-24]:[oct-24]],"")</f>
        <v>5</v>
      </c>
      <c r="M38" s="69" t="str">
        <f>IF(acumulado_porcentaje[[#This Row],[contar]]&gt;=$AA$3,SUM(SMALL(#REF!,1),SMALL(#REF!,2),SMALL(#REF!,3),SMALL(#REF!,4),SMALL(#REF!,5),SMALL(#REF!,6),SMALL(#REF!,7)),"#N/A")</f>
        <v>#N/A</v>
      </c>
      <c r="N38" t="str">
        <f>acumulado_porcentaje[[#This Row],[Nombre ]]&amp;" ("&amp;acumulado_porcentaje[[#This Row],[contar]]&amp;")"</f>
        <v>Víctor Baeschlin Sánchez (5)</v>
      </c>
      <c r="V38"/>
      <c r="W38"/>
    </row>
    <row r="39" spans="1:23" x14ac:dyDescent="0.2">
      <c r="A39" s="47" t="s">
        <v>337</v>
      </c>
      <c r="C39">
        <v>0.50150000000000006</v>
      </c>
      <c r="E39">
        <v>1.438917337234821</v>
      </c>
      <c r="F39">
        <v>0.16875000000000009</v>
      </c>
      <c r="G39">
        <v>0.20756062767475036</v>
      </c>
      <c r="L39" s="108">
        <f>$AA$2- COUNTIF(acumulado_porcentaje[[#This Row],[ene-24]:[oct-24]],"")</f>
        <v>4</v>
      </c>
      <c r="M39" s="69" t="str">
        <f>IF(acumulado_porcentaje[[#This Row],[contar]]&gt;=$AA$3,SUM(SMALL(#REF!,1),SMALL(#REF!,2),SMALL(#REF!,3),SMALL(#REF!,4),SMALL(#REF!,5),SMALL(#REF!,6),SMALL(#REF!,7)),"#N/A")</f>
        <v>#N/A</v>
      </c>
      <c r="N39" t="str">
        <f>acumulado_porcentaje[[#This Row],[Nombre ]]&amp;" ("&amp;acumulado_porcentaje[[#This Row],[contar]]&amp;")"</f>
        <v>Francisco Valverde Sánchez (4)</v>
      </c>
      <c r="V39"/>
      <c r="W39"/>
    </row>
    <row r="40" spans="1:23" x14ac:dyDescent="0.2">
      <c r="A40" s="47" t="s">
        <v>411</v>
      </c>
      <c r="B40">
        <v>0.38704453441295561</v>
      </c>
      <c r="E40">
        <v>0.74762253108997812</v>
      </c>
      <c r="F40">
        <v>0.2756578947368421</v>
      </c>
      <c r="G40">
        <v>0.47485734664764623</v>
      </c>
      <c r="L40" s="108">
        <f>$AA$2- COUNTIF(acumulado_porcentaje[[#This Row],[ene-24]:[oct-24]],"")</f>
        <v>4</v>
      </c>
      <c r="M40" s="69" t="str">
        <f>IF(acumulado_porcentaje[[#This Row],[contar]]&gt;=$AA$3,SUM(SMALL(#REF!,1),SMALL(#REF!,2),SMALL(#REF!,3),SMALL(#REF!,4),SMALL(#REF!,5),SMALL(#REF!,6),SMALL(#REF!,7)),"#N/A")</f>
        <v>#N/A</v>
      </c>
      <c r="N40" t="str">
        <f>acumulado_porcentaje[[#This Row],[Nombre ]]&amp;" ("&amp;acumulado_porcentaje[[#This Row],[contar]]&amp;")"</f>
        <v>Jonathan Pazmiño Espinoza (4)</v>
      </c>
      <c r="V40"/>
      <c r="W40"/>
    </row>
    <row r="41" spans="1:23" x14ac:dyDescent="0.2">
      <c r="A41" s="47" t="s">
        <v>645</v>
      </c>
      <c r="F41">
        <v>0.25460526315789483</v>
      </c>
      <c r="G41">
        <v>0.22057774607703276</v>
      </c>
      <c r="I41">
        <v>3.5914332784184475E-2</v>
      </c>
      <c r="J41">
        <v>0.19030570090884044</v>
      </c>
      <c r="L41" s="108">
        <f>$AA$2- COUNTIF(acumulado_porcentaje[[#This Row],[ene-24]:[oct-24]],"")</f>
        <v>4</v>
      </c>
      <c r="M41" s="69" t="str">
        <f>IF(acumulado_porcentaje[[#This Row],[contar]]&gt;=$AA$3,SUM(SMALL(#REF!,1),SMALL(#REF!,2),SMALL(#REF!,3),SMALL(#REF!,4),SMALL(#REF!,5),SMALL(#REF!,6),SMALL(#REF!,7)),"#N/A")</f>
        <v>#N/A</v>
      </c>
      <c r="N41" t="str">
        <f>acumulado_porcentaje[[#This Row],[Nombre ]]&amp;" ("&amp;acumulado_porcentaje[[#This Row],[contar]]&amp;")"</f>
        <v>Jose Antonio Quidiello Antuña (4)</v>
      </c>
      <c r="V41"/>
      <c r="W41"/>
    </row>
    <row r="42" spans="1:23" x14ac:dyDescent="0.2">
      <c r="A42" s="47" t="s">
        <v>404</v>
      </c>
      <c r="B42">
        <v>2.4291497975709423E-3</v>
      </c>
      <c r="C42">
        <v>0.33849999999999997</v>
      </c>
      <c r="F42">
        <v>3.2894736842105734E-3</v>
      </c>
      <c r="G42">
        <v>6.8473609129814483E-2</v>
      </c>
      <c r="L42" s="108">
        <f>$AA$2- COUNTIF(acumulado_porcentaje[[#This Row],[ene-24]:[oct-24]],"")</f>
        <v>4</v>
      </c>
      <c r="M42" s="69" t="str">
        <f>IF(acumulado_porcentaje[[#This Row],[contar]]&gt;=$AA$3,SUM(SMALL(#REF!,1),SMALL(#REF!,2),SMALL(#REF!,3),SMALL(#REF!,4),SMALL(#REF!,5),SMALL(#REF!,6),SMALL(#REF!,7)),"#N/A")</f>
        <v>#N/A</v>
      </c>
      <c r="N42" t="str">
        <f>acumulado_porcentaje[[#This Row],[Nombre ]]&amp;" ("&amp;acumulado_porcentaje[[#This Row],[contar]]&amp;")"</f>
        <v>Juan Luis Jarillo Gómez (4)</v>
      </c>
      <c r="V42"/>
      <c r="W42"/>
    </row>
    <row r="43" spans="1:23" x14ac:dyDescent="0.2">
      <c r="A43" s="47" t="s">
        <v>1027</v>
      </c>
      <c r="H43">
        <v>5.6008850781357998E-2</v>
      </c>
      <c r="I43">
        <v>4.5469522240527194E-2</v>
      </c>
      <c r="J43">
        <v>0.26494078766180107</v>
      </c>
      <c r="K43">
        <v>0.33994589720468871</v>
      </c>
      <c r="L43" s="108">
        <f>$AA$2- COUNTIF(acumulado_porcentaje[[#This Row],[ene-24]:[oct-24]],"")</f>
        <v>4</v>
      </c>
      <c r="M43" s="69" t="str">
        <f>IF(acumulado_porcentaje[[#This Row],[contar]]&gt;=$AA$3,SUM(SMALL(#REF!,1),SMALL(#REF!,2),SMALL(#REF!,3),SMALL(#REF!,4),SMALL(#REF!,5),SMALL(#REF!,6),SMALL(#REF!,7)),"#N/A")</f>
        <v>#N/A</v>
      </c>
      <c r="N43" t="str">
        <f>acumulado_porcentaje[[#This Row],[Nombre ]]&amp;" ("&amp;acumulado_porcentaje[[#This Row],[contar]]&amp;")"</f>
        <v>Rafael Leiva (4)</v>
      </c>
      <c r="V43"/>
      <c r="W43"/>
    </row>
    <row r="44" spans="1:23" x14ac:dyDescent="0.2">
      <c r="A44" s="47" t="s">
        <v>942</v>
      </c>
      <c r="H44">
        <v>9.099709583736687E-2</v>
      </c>
      <c r="I44">
        <v>0.23448654585392636</v>
      </c>
      <c r="J44">
        <v>0.24841641421096106</v>
      </c>
      <c r="K44">
        <v>0.10835587616471284</v>
      </c>
      <c r="L44" s="108">
        <f>$AA$2- COUNTIF(acumulado_porcentaje[[#This Row],[ene-24]:[oct-24]],"")</f>
        <v>4</v>
      </c>
      <c r="M44" s="69" t="str">
        <f>IF(acumulado_porcentaje[[#This Row],[contar]]&gt;=$AA$3,SUM(SMALL(#REF!,1),SMALL(#REF!,2),SMALL(#REF!,3),SMALL(#REF!,4),SMALL(#REF!,5),SMALL(#REF!,6),SMALL(#REF!,7)),"#N/A")</f>
        <v>#N/A</v>
      </c>
      <c r="N44" t="str">
        <f>acumulado_porcentaje[[#This Row],[Nombre ]]&amp;" ("&amp;acumulado_porcentaje[[#This Row],[contar]]&amp;")"</f>
        <v>Rafael Tejada Bonilla (4)</v>
      </c>
      <c r="V44"/>
      <c r="W44"/>
    </row>
    <row r="45" spans="1:23" x14ac:dyDescent="0.2">
      <c r="A45" s="47" t="s">
        <v>399</v>
      </c>
      <c r="B45">
        <v>6.2078272604589469E-3</v>
      </c>
      <c r="C45">
        <v>0.64649999999999996</v>
      </c>
      <c r="F45">
        <v>0.15888157894736837</v>
      </c>
      <c r="G45">
        <v>0.22967189728958623</v>
      </c>
      <c r="L45" s="108">
        <f>$AA$2- COUNTIF(acumulado_porcentaje[[#This Row],[ene-24]:[oct-24]],"")</f>
        <v>4</v>
      </c>
      <c r="M45" s="69" t="str">
        <f>IF(acumulado_porcentaje[[#This Row],[contar]]&gt;=$AA$3,SUM(SMALL(#REF!,1),SMALL(#REF!,2),SMALL(#REF!,3),SMALL(#REF!,4),SMALL(#REF!,5),SMALL(#REF!,6),SMALL(#REF!,7)),"#N/A")</f>
        <v>#N/A</v>
      </c>
      <c r="N45" t="str">
        <f>acumulado_porcentaje[[#This Row],[Nombre ]]&amp;" ("&amp;acumulado_porcentaje[[#This Row],[contar]]&amp;")"</f>
        <v>Sergio Lopez Oliver (4)</v>
      </c>
      <c r="V45"/>
      <c r="W45"/>
    </row>
    <row r="46" spans="1:23" x14ac:dyDescent="0.2">
      <c r="A46" s="47" t="s">
        <v>944</v>
      </c>
      <c r="H46">
        <v>6.9146729359697353E-4</v>
      </c>
      <c r="I46">
        <v>0.1628775398132894</v>
      </c>
      <c r="J46">
        <v>0.43679427155053702</v>
      </c>
      <c r="L46" s="108">
        <f>$AA$2- COUNTIF(acumulado_porcentaje[[#This Row],[ene-24]:[oct-24]],"")</f>
        <v>3</v>
      </c>
      <c r="M46" s="69" t="str">
        <f>IF(acumulado_porcentaje[[#This Row],[contar]]&gt;=$AA$3,SUM(SMALL(#REF!,1),SMALL(#REF!,2),SMALL(#REF!,3),SMALL(#REF!,4),SMALL(#REF!,5),SMALL(#REF!,6),SMALL(#REF!,7)),"#N/A")</f>
        <v>#N/A</v>
      </c>
      <c r="N46" t="str">
        <f>acumulado_porcentaje[[#This Row],[Nombre ]]&amp;" ("&amp;acumulado_porcentaje[[#This Row],[contar]]&amp;")"</f>
        <v>Andrea Zarbano (3)</v>
      </c>
      <c r="V46"/>
      <c r="W46"/>
    </row>
    <row r="47" spans="1:23" x14ac:dyDescent="0.2">
      <c r="A47" s="47" t="s">
        <v>651</v>
      </c>
      <c r="F47">
        <v>0.56907894736842102</v>
      </c>
      <c r="G47">
        <v>0.30634807417974325</v>
      </c>
      <c r="H47">
        <v>3.6371179643202814E-2</v>
      </c>
      <c r="L47" s="108">
        <f>$AA$2- COUNTIF(acumulado_porcentaje[[#This Row],[ene-24]:[oct-24]],"")</f>
        <v>3</v>
      </c>
      <c r="M47" s="69" t="str">
        <f>IF(acumulado_porcentaje[[#This Row],[contar]]&gt;=$AA$3,SUM(SMALL(#REF!,1),SMALL(#REF!,2),SMALL(#REF!,3),SMALL(#REF!,4),SMALL(#REF!,5),SMALL(#REF!,6),SMALL(#REF!,7)),"#N/A")</f>
        <v>#N/A</v>
      </c>
      <c r="N47" t="str">
        <f>acumulado_porcentaje[[#This Row],[Nombre ]]&amp;" ("&amp;acumulado_porcentaje[[#This Row],[contar]]&amp;")"</f>
        <v>Carlos Martínez García (3)</v>
      </c>
      <c r="V47"/>
      <c r="W47"/>
    </row>
    <row r="48" spans="1:23" x14ac:dyDescent="0.2">
      <c r="A48" s="47" t="s">
        <v>541</v>
      </c>
      <c r="E48">
        <v>0.26773957571324053</v>
      </c>
      <c r="F48">
        <v>0.16217105263157894</v>
      </c>
      <c r="G48">
        <v>0.37321683309557774</v>
      </c>
      <c r="L48" s="108">
        <f>$AA$2- COUNTIF(acumulado_porcentaje[[#This Row],[ene-24]:[oct-24]],"")</f>
        <v>3</v>
      </c>
      <c r="M48" s="69" t="str">
        <f>IF(acumulado_porcentaje[[#This Row],[contar]]&gt;=$AA$3,SUM(SMALL(#REF!,1),SMALL(#REF!,2),SMALL(#REF!,3),SMALL(#REF!,4),SMALL(#REF!,5),SMALL(#REF!,6),SMALL(#REF!,7)),"#N/A")</f>
        <v>#N/A</v>
      </c>
      <c r="N48" t="str">
        <f>acumulado_porcentaje[[#This Row],[Nombre ]]&amp;" ("&amp;acumulado_porcentaje[[#This Row],[contar]]&amp;")"</f>
        <v>Daniel Reganon (3)</v>
      </c>
      <c r="V48"/>
      <c r="W48"/>
    </row>
    <row r="49" spans="1:23" x14ac:dyDescent="0.2">
      <c r="A49" s="47" t="s">
        <v>650</v>
      </c>
      <c r="F49">
        <v>0.17105263157894746</v>
      </c>
      <c r="G49">
        <v>0.54172610556348066</v>
      </c>
      <c r="H49">
        <v>0.3458719402572259</v>
      </c>
      <c r="L49" s="108">
        <f>$AA$2- COUNTIF(acumulado_porcentaje[[#This Row],[ene-24]:[oct-24]],"")</f>
        <v>3</v>
      </c>
      <c r="M49" s="69" t="str">
        <f>IF(acumulado_porcentaje[[#This Row],[contar]]&gt;=$AA$3,SUM(SMALL(#REF!,1),SMALL(#REF!,2),SMALL(#REF!,3),SMALL(#REF!,4),SMALL(#REF!,5),SMALL(#REF!,6),SMALL(#REF!,7)),"#N/A")</f>
        <v>#N/A</v>
      </c>
      <c r="N49" t="str">
        <f>acumulado_porcentaje[[#This Row],[Nombre ]]&amp;" ("&amp;acumulado_porcentaje[[#This Row],[contar]]&amp;")"</f>
        <v>Iñaki Moriana García (3)</v>
      </c>
      <c r="V49"/>
      <c r="W49"/>
    </row>
    <row r="50" spans="1:23" x14ac:dyDescent="0.2">
      <c r="A50" s="47" t="s">
        <v>400</v>
      </c>
      <c r="B50">
        <v>0.21052631578947381</v>
      </c>
      <c r="F50">
        <v>0.2434210526315789</v>
      </c>
      <c r="H50">
        <v>3.2360669340340251E-2</v>
      </c>
      <c r="L50" s="108">
        <f>$AA$2- COUNTIF(acumulado_porcentaje[[#This Row],[ene-24]:[oct-24]],"")</f>
        <v>3</v>
      </c>
      <c r="M50" s="69" t="str">
        <f>IF(acumulado_porcentaje[[#This Row],[contar]]&gt;=$AA$3,SUM(SMALL(#REF!,1),SMALL(#REF!,2),SMALL(#REF!,3),SMALL(#REF!,4),SMALL(#REF!,5),SMALL(#REF!,6),SMALL(#REF!,7)),"#N/A")</f>
        <v>#N/A</v>
      </c>
      <c r="N50" t="str">
        <f>acumulado_porcentaje[[#This Row],[Nombre ]]&amp;" ("&amp;acumulado_porcentaje[[#This Row],[contar]]&amp;")"</f>
        <v>Manuel Nogales Guillén (3)</v>
      </c>
      <c r="V50"/>
      <c r="W50"/>
    </row>
    <row r="51" spans="1:23" x14ac:dyDescent="0.2">
      <c r="A51" s="47" t="s">
        <v>1026</v>
      </c>
      <c r="I51">
        <v>3.5145524437122495E-2</v>
      </c>
      <c r="J51">
        <v>0.31120903332415301</v>
      </c>
      <c r="K51">
        <v>0.3294259092275324</v>
      </c>
      <c r="L51" s="108">
        <f>$AA$2- COUNTIF(acumulado_porcentaje[[#This Row],[ene-24]:[oct-24]],"")</f>
        <v>3</v>
      </c>
      <c r="M51" s="69" t="str">
        <f>IF(acumulado_porcentaje[[#This Row],[contar]]&gt;=$AA$3,SUM(SMALL(#REF!,1),SMALL(#REF!,2),SMALL(#REF!,3),SMALL(#REF!,4),SMALL(#REF!,5),SMALL(#REF!,6),SMALL(#REF!,7)),"#N/A")</f>
        <v>#N/A</v>
      </c>
      <c r="N51" t="str">
        <f>acumulado_porcentaje[[#This Row],[Nombre ]]&amp;" ("&amp;acumulado_porcentaje[[#This Row],[contar]]&amp;")"</f>
        <v>Pablo Herrero Del Barrio (3)</v>
      </c>
      <c r="V51"/>
      <c r="W51"/>
    </row>
    <row r="52" spans="1:23" x14ac:dyDescent="0.2">
      <c r="A52" s="47" t="s">
        <v>475</v>
      </c>
      <c r="D52">
        <v>0.7435897435897435</v>
      </c>
      <c r="K52">
        <v>0.25954313195070627</v>
      </c>
      <c r="L52" s="108">
        <f>$AA$2- COUNTIF(acumulado_porcentaje[[#This Row],[ene-24]:[oct-24]],"")</f>
        <v>2</v>
      </c>
      <c r="M52" s="69" t="str">
        <f>IF(acumulado_porcentaje[[#This Row],[contar]]&gt;=$AA$3,SUM(SMALL(#REF!,1),SMALL(#REF!,2),SMALL(#REF!,3),SMALL(#REF!,4),SMALL(#REF!,5),SMALL(#REF!,6),SMALL(#REF!,7)),"#N/A")</f>
        <v>#N/A</v>
      </c>
      <c r="N52" t="str">
        <f>acumulado_porcentaje[[#This Row],[Nombre ]]&amp;" ("&amp;acumulado_porcentaje[[#This Row],[contar]]&amp;")"</f>
        <v>Carlos Alcaide Méndez (2)</v>
      </c>
      <c r="V52"/>
      <c r="W52"/>
    </row>
    <row r="53" spans="1:23" x14ac:dyDescent="0.2">
      <c r="A53" s="47" t="s">
        <v>780</v>
      </c>
      <c r="G53">
        <v>0.31348074179743224</v>
      </c>
      <c r="I53">
        <v>0.21471718835804501</v>
      </c>
      <c r="L53" s="108">
        <f>$AA$2- COUNTIF(acumulado_porcentaje[[#This Row],[ene-24]:[oct-24]],"")</f>
        <v>2</v>
      </c>
      <c r="M53" s="69" t="str">
        <f>IF(acumulado_porcentaje[[#This Row],[contar]]&gt;=$AA$3,SUM(SMALL(#REF!,1),SMALL(#REF!,2),SMALL(#REF!,3),SMALL(#REF!,4),SMALL(#REF!,5),SMALL(#REF!,6),SMALL(#REF!,7)),"#N/A")</f>
        <v>#N/A</v>
      </c>
      <c r="N53" t="str">
        <f>acumulado_porcentaje[[#This Row],[Nombre ]]&amp;" ("&amp;acumulado_porcentaje[[#This Row],[contar]]&amp;")"</f>
        <v>Daniel Pérez Carrasco (2)</v>
      </c>
      <c r="V53"/>
      <c r="W53"/>
    </row>
    <row r="54" spans="1:23" x14ac:dyDescent="0.2">
      <c r="A54" s="47" t="s">
        <v>788</v>
      </c>
      <c r="F54">
        <v>0.22039473684210525</v>
      </c>
      <c r="G54">
        <v>4.7788873038516401E-2</v>
      </c>
      <c r="L54" s="108">
        <f>$AA$2- COUNTIF(acumulado_porcentaje[[#This Row],[ene-24]:[oct-24]],"")</f>
        <v>2</v>
      </c>
      <c r="M54" s="69" t="str">
        <f>IF(acumulado_porcentaje[[#This Row],[contar]]&gt;=$AA$3,SUM(SMALL(#REF!,1),SMALL(#REF!,2),SMALL(#REF!,3),SMALL(#REF!,4),SMALL(#REF!,5),SMALL(#REF!,6),SMALL(#REF!,7)),"#N/A")</f>
        <v>#N/A</v>
      </c>
      <c r="N54" t="str">
        <f>acumulado_porcentaje[[#This Row],[Nombre ]]&amp;" ("&amp;acumulado_porcentaje[[#This Row],[contar]]&amp;")"</f>
        <v>Gabino Jiménez-Castillo (2)</v>
      </c>
      <c r="V54"/>
      <c r="W54"/>
    </row>
    <row r="55" spans="1:23" x14ac:dyDescent="0.2">
      <c r="A55" s="47" t="s">
        <v>224</v>
      </c>
      <c r="B55">
        <v>0.10175438596491218</v>
      </c>
      <c r="C55">
        <v>0.80899999999999994</v>
      </c>
      <c r="L55" s="108">
        <f>$AA$2- COUNTIF(acumulado_porcentaje[[#This Row],[ene-24]:[oct-24]],"")</f>
        <v>2</v>
      </c>
      <c r="M55" s="69" t="str">
        <f>IF(acumulado_porcentaje[[#This Row],[contar]]&gt;=$AA$3,SUM(SMALL(#REF!,1),SMALL(#REF!,2),SMALL(#REF!,3),SMALL(#REF!,4),SMALL(#REF!,5),SMALL(#REF!,6),SMALL(#REF!,7)),"#N/A")</f>
        <v>#N/A</v>
      </c>
      <c r="N55" t="str">
        <f>acumulado_porcentaje[[#This Row],[Nombre ]]&amp;" ("&amp;acumulado_porcentaje[[#This Row],[contar]]&amp;")"</f>
        <v>Jesús López (2)</v>
      </c>
      <c r="V55"/>
      <c r="W55"/>
    </row>
    <row r="56" spans="1:23" x14ac:dyDescent="0.2">
      <c r="A56" s="47" t="s">
        <v>1103</v>
      </c>
      <c r="J56">
        <v>0.25667860093638117</v>
      </c>
      <c r="K56">
        <v>4.3582807333935412E-3</v>
      </c>
      <c r="L56" s="108">
        <f>$AA$2- COUNTIF(acumulado_porcentaje[[#This Row],[ene-24]:[oct-24]],"")</f>
        <v>2</v>
      </c>
      <c r="M56" s="69" t="str">
        <f>IF(acumulado_porcentaje[[#This Row],[contar]]&gt;=$AA$3,SUM(SMALL(#REF!,1),SMALL(#REF!,2),SMALL(#REF!,3),SMALL(#REF!,4),SMALL(#REF!,5),SMALL(#REF!,6),SMALL(#REF!,7)),"#N/A")</f>
        <v>#N/A</v>
      </c>
      <c r="N56" t="str">
        <f>acumulado_porcentaje[[#This Row],[Nombre ]]&amp;" ("&amp;acumulado_porcentaje[[#This Row],[contar]]&amp;")"</f>
        <v>Josep Vidal (2)</v>
      </c>
      <c r="V56"/>
      <c r="W56"/>
    </row>
    <row r="57" spans="1:23" x14ac:dyDescent="0.2">
      <c r="A57" s="47" t="s">
        <v>948</v>
      </c>
      <c r="H57">
        <v>0.19278108145484724</v>
      </c>
      <c r="I57">
        <v>0.23811092806150461</v>
      </c>
      <c r="L57" s="108">
        <f>$AA$2- COUNTIF(acumulado_porcentaje[[#This Row],[ene-24]:[oct-24]],"")</f>
        <v>2</v>
      </c>
      <c r="M57" s="69" t="str">
        <f>IF(acumulado_porcentaje[[#This Row],[contar]]&gt;=$AA$3,SUM(SMALL(#REF!,1),SMALL(#REF!,2),SMALL(#REF!,3),SMALL(#REF!,4),SMALL(#REF!,5),SMALL(#REF!,6),SMALL(#REF!,7)),"#N/A")</f>
        <v>#N/A</v>
      </c>
      <c r="N57" t="str">
        <f>acumulado_porcentaje[[#This Row],[Nombre ]]&amp;" ("&amp;acumulado_porcentaje[[#This Row],[contar]]&amp;")"</f>
        <v>Juan José Cuervo Arias (2)</v>
      </c>
      <c r="V57"/>
      <c r="W57"/>
    </row>
    <row r="58" spans="1:23" x14ac:dyDescent="0.2">
      <c r="A58" s="47" t="s">
        <v>405</v>
      </c>
      <c r="B58">
        <v>0.11106612685560041</v>
      </c>
      <c r="H58">
        <v>0.16083529249066522</v>
      </c>
      <c r="L58" s="108">
        <f>$AA$2- COUNTIF(acumulado_porcentaje[[#This Row],[ene-24]:[oct-24]],"")</f>
        <v>2</v>
      </c>
      <c r="M58" s="69" t="str">
        <f>IF(acumulado_porcentaje[[#This Row],[contar]]&gt;=$AA$3,SUM(SMALL(#REF!,1),SMALL(#REF!,2),SMALL(#REF!,3),SMALL(#REF!,4),SMALL(#REF!,5),SMALL(#REF!,6),SMALL(#REF!,7)),"#N/A")</f>
        <v>#N/A</v>
      </c>
      <c r="N58" t="str">
        <f>acumulado_porcentaje[[#This Row],[Nombre ]]&amp;" ("&amp;acumulado_porcentaje[[#This Row],[contar]]&amp;")"</f>
        <v>Marc Soler Collell (2)</v>
      </c>
      <c r="V58"/>
      <c r="W58"/>
    </row>
    <row r="59" spans="1:23" x14ac:dyDescent="0.2">
      <c r="A59" s="47" t="s">
        <v>791</v>
      </c>
      <c r="G59">
        <v>2.1398002853067859E-3</v>
      </c>
      <c r="H59">
        <v>0.23800304245609183</v>
      </c>
      <c r="L59" s="108">
        <f>$AA$2- COUNTIF(acumulado_porcentaje[[#This Row],[ene-24]:[oct-24]],"")</f>
        <v>2</v>
      </c>
      <c r="M59" s="69" t="str">
        <f>IF(acumulado_porcentaje[[#This Row],[contar]]&gt;=$AA$3,SUM(SMALL(#REF!,1),SMALL(#REF!,2),SMALL(#REF!,3),SMALL(#REF!,4),SMALL(#REF!,5),SMALL(#REF!,6),SMALL(#REF!,7)),"#N/A")</f>
        <v>#N/A</v>
      </c>
      <c r="N59" t="str">
        <f>acumulado_porcentaje[[#This Row],[Nombre ]]&amp;" ("&amp;acumulado_porcentaje[[#This Row],[contar]]&amp;")"</f>
        <v>Paco Luis Pérez Zarco (2)</v>
      </c>
      <c r="V59"/>
      <c r="W59"/>
    </row>
    <row r="60" spans="1:23" x14ac:dyDescent="0.2">
      <c r="A60" s="47" t="s">
        <v>1106</v>
      </c>
      <c r="J60">
        <v>0.17364362434591019</v>
      </c>
      <c r="K60">
        <v>1.7733694018635508E-2</v>
      </c>
      <c r="L60" s="108">
        <f>$AA$2- COUNTIF(acumulado_porcentaje[[#This Row],[ene-24]:[oct-24]],"")</f>
        <v>2</v>
      </c>
      <c r="M60" s="69" t="str">
        <f>IF(acumulado_porcentaje[[#This Row],[contar]]&gt;=$AA$3,SUM(SMALL(#REF!,1),SMALL(#REF!,2),SMALL(#REF!,3),SMALL(#REF!,4),SMALL(#REF!,5),SMALL(#REF!,6),SMALL(#REF!,7)),"#N/A")</f>
        <v>#N/A</v>
      </c>
      <c r="N60" t="str">
        <f>acumulado_porcentaje[[#This Row],[Nombre ]]&amp;" ("&amp;acumulado_porcentaje[[#This Row],[contar]]&amp;")"</f>
        <v>Ruben Sanjuan Escribano (2)</v>
      </c>
      <c r="V60"/>
      <c r="W60"/>
    </row>
    <row r="61" spans="1:23" x14ac:dyDescent="0.2">
      <c r="A61" s="47" t="s">
        <v>653</v>
      </c>
      <c r="F61">
        <v>0.38289473684210518</v>
      </c>
      <c r="G61">
        <v>1.3373751783166904E-2</v>
      </c>
      <c r="L61" s="108">
        <f>$AA$2- COUNTIF(acumulado_porcentaje[[#This Row],[ene-24]:[oct-24]],"")</f>
        <v>2</v>
      </c>
      <c r="M61" s="69" t="str">
        <f>IF(acumulado_porcentaje[[#This Row],[contar]]&gt;=$AA$3,SUM(SMALL(#REF!,1),SMALL(#REF!,2),SMALL(#REF!,3),SMALL(#REF!,4),SMALL(#REF!,5),SMALL(#REF!,6),SMALL(#REF!,7)),"#N/A")</f>
        <v>#N/A</v>
      </c>
      <c r="N61" t="str">
        <f>acumulado_porcentaje[[#This Row],[Nombre ]]&amp;" ("&amp;acumulado_porcentaje[[#This Row],[contar]]&amp;")"</f>
        <v>Sergio Gallego Bolaños (2)</v>
      </c>
      <c r="V61"/>
      <c r="W61"/>
    </row>
    <row r="62" spans="1:23" x14ac:dyDescent="0.2">
      <c r="A62" s="47" t="s">
        <v>338</v>
      </c>
      <c r="C62">
        <v>1.2309999999999999</v>
      </c>
      <c r="L62" s="108">
        <f>$AA$2- COUNTIF(acumulado_porcentaje[[#This Row],[ene-24]:[oct-24]],"")</f>
        <v>1</v>
      </c>
      <c r="M62" s="69" t="str">
        <f>IF(acumulado_porcentaje[[#This Row],[contar]]&gt;=$AA$3,SUM(SMALL(#REF!,1),SMALL(#REF!,2),SMALL(#REF!,3),SMALL(#REF!,4),SMALL(#REF!,5),SMALL(#REF!,6),SMALL(#REF!,7)),"#N/A")</f>
        <v>#N/A</v>
      </c>
      <c r="N62" t="str">
        <f>acumulado_porcentaje[[#This Row],[Nombre ]]&amp;" ("&amp;acumulado_porcentaje[[#This Row],[contar]]&amp;")"</f>
        <v>Alejandro Ld (1)</v>
      </c>
      <c r="V62"/>
      <c r="W62"/>
    </row>
    <row r="63" spans="1:23" x14ac:dyDescent="0.2">
      <c r="A63" s="47" t="s">
        <v>787</v>
      </c>
      <c r="G63">
        <v>4.7610556348074214E-2</v>
      </c>
      <c r="L63" s="108">
        <f>$AA$2- COUNTIF(acumulado_porcentaje[[#This Row],[ene-24]:[oct-24]],"")</f>
        <v>1</v>
      </c>
      <c r="M63" s="69" t="str">
        <f>IF(acumulado_porcentaje[[#This Row],[contar]]&gt;=$AA$3,SUM(SMALL(#REF!,1),SMALL(#REF!,2),SMALL(#REF!,3),SMALL(#REF!,4),SMALL(#REF!,5),SMALL(#REF!,6),SMALL(#REF!,7)),"#N/A")</f>
        <v>#N/A</v>
      </c>
      <c r="N63" t="str">
        <f>acumulado_porcentaje[[#This Row],[Nombre ]]&amp;" ("&amp;acumulado_porcentaje[[#This Row],[contar]]&amp;")"</f>
        <v>Alejandro Lopez Fernandez (1)</v>
      </c>
      <c r="V63"/>
      <c r="W63"/>
    </row>
    <row r="64" spans="1:23" x14ac:dyDescent="0.2">
      <c r="A64" s="47" t="s">
        <v>402</v>
      </c>
      <c r="B64">
        <v>2.6180836707152658E-2</v>
      </c>
      <c r="L64" s="108">
        <f>$AA$2- COUNTIF(acumulado_porcentaje[[#This Row],[ene-24]:[oct-24]],"")</f>
        <v>1</v>
      </c>
      <c r="M64" s="69" t="str">
        <f>IF(acumulado_porcentaje[[#This Row],[contar]]&gt;=$AA$3,SUM(SMALL(#REF!,1),SMALL(#REF!,2),SMALL(#REF!,3),SMALL(#REF!,4),SMALL(#REF!,5),SMALL(#REF!,6),SMALL(#REF!,7)),"#N/A")</f>
        <v>#N/A</v>
      </c>
      <c r="N64" t="str">
        <f>acumulado_porcentaje[[#This Row],[Nombre ]]&amp;" ("&amp;acumulado_porcentaje[[#This Row],[contar]]&amp;")"</f>
        <v>Alfredo Cotrina Martínez (1)</v>
      </c>
      <c r="V64"/>
      <c r="W64"/>
    </row>
    <row r="65" spans="1:23" x14ac:dyDescent="0.2">
      <c r="A65" s="47" t="s">
        <v>1029</v>
      </c>
      <c r="I65">
        <v>0.22624931356397579</v>
      </c>
      <c r="L65" s="108">
        <f>$AA$2- COUNTIF(acumulado_porcentaje[[#This Row],[ene-24]:[oct-24]],"")</f>
        <v>1</v>
      </c>
      <c r="M65" s="69" t="str">
        <f>IF(acumulado_porcentaje[[#This Row],[contar]]&gt;=$AA$3,SUM(SMALL(#REF!,1),SMALL(#REF!,2),SMALL(#REF!,3),SMALL(#REF!,4),SMALL(#REF!,5),SMALL(#REF!,6),SMALL(#REF!,7)),"#N/A")</f>
        <v>#N/A</v>
      </c>
      <c r="N65" t="str">
        <f>acumulado_porcentaje[[#This Row],[Nombre ]]&amp;" ("&amp;acumulado_porcentaje[[#This Row],[contar]]&amp;")"</f>
        <v>Andres Canal (1)</v>
      </c>
      <c r="V65"/>
      <c r="W65"/>
    </row>
    <row r="66" spans="1:23" x14ac:dyDescent="0.2">
      <c r="A66" s="47" t="s">
        <v>415</v>
      </c>
      <c r="C66">
        <v>0.75249999999999984</v>
      </c>
      <c r="L66" s="108">
        <f>$AA$2- COUNTIF(acumulado_porcentaje[[#This Row],[ene-24]:[oct-24]],"")</f>
        <v>1</v>
      </c>
      <c r="M66" s="69" t="str">
        <f>IF(acumulado_porcentaje[[#This Row],[contar]]&gt;=$AA$3,SUM(SMALL(#REF!,1),SMALL(#REF!,2),SMALL(#REF!,3),SMALL(#REF!,4),SMALL(#REF!,5),SMALL(#REF!,6),SMALL(#REF!,7)),"#N/A")</f>
        <v>#N/A</v>
      </c>
      <c r="N66" t="str">
        <f>acumulado_porcentaje[[#This Row],[Nombre ]]&amp;" ("&amp;acumulado_porcentaje[[#This Row],[contar]]&amp;")"</f>
        <v>Antonio López Gómez-Millán (1)</v>
      </c>
      <c r="V66"/>
      <c r="W66"/>
    </row>
    <row r="67" spans="1:23" x14ac:dyDescent="0.2">
      <c r="A67" s="47" t="s">
        <v>216</v>
      </c>
      <c r="B67">
        <v>1.4170040485830114E-2</v>
      </c>
      <c r="L67" s="108">
        <f>$AA$2- COUNTIF(acumulado_porcentaje[[#This Row],[ene-24]:[oct-24]],"")</f>
        <v>1</v>
      </c>
      <c r="M67" s="69" t="str">
        <f>IF(acumulado_porcentaje[[#This Row],[contar]]&gt;=$AA$3,SUM(SMALL(#REF!,1),SMALL(#REF!,2),SMALL(#REF!,3),SMALL(#REF!,4),SMALL(#REF!,5),SMALL(#REF!,6),SMALL(#REF!,7)),"#N/A")</f>
        <v>#N/A</v>
      </c>
      <c r="N67" t="str">
        <f>acumulado_porcentaje[[#This Row],[Nombre ]]&amp;" ("&amp;acumulado_porcentaje[[#This Row],[contar]]&amp;")"</f>
        <v>Brais García (1)</v>
      </c>
      <c r="V67"/>
      <c r="W67"/>
    </row>
    <row r="68" spans="1:23" x14ac:dyDescent="0.2">
      <c r="A68" s="47" t="s">
        <v>340</v>
      </c>
      <c r="C68">
        <v>0.53825000000000001</v>
      </c>
      <c r="L68" s="108">
        <f>$AA$2- COUNTIF(acumulado_porcentaje[[#This Row],[ene-24]:[oct-24]],"")</f>
        <v>1</v>
      </c>
      <c r="M68" s="69" t="str">
        <f>IF(acumulado_porcentaje[[#This Row],[contar]]&gt;=$AA$3,SUM(SMALL(#REF!,1),SMALL(#REF!,2),SMALL(#REF!,3),SMALL(#REF!,4),SMALL(#REF!,5),SMALL(#REF!,6),SMALL(#REF!,7)),"#N/A")</f>
        <v>#N/A</v>
      </c>
      <c r="N68" t="str">
        <f>acumulado_porcentaje[[#This Row],[Nombre ]]&amp;" ("&amp;acumulado_porcentaje[[#This Row],[contar]]&amp;")"</f>
        <v>Cristian Trapero (1)</v>
      </c>
      <c r="V68"/>
      <c r="W68"/>
    </row>
    <row r="69" spans="1:23" x14ac:dyDescent="0.2">
      <c r="A69" s="47" t="s">
        <v>1126</v>
      </c>
      <c r="K69">
        <v>9.0772467688608222E-2</v>
      </c>
      <c r="L69" s="108">
        <f>$AA$2- COUNTIF(acumulado_porcentaje[[#This Row],[ene-24]:[oct-24]],"")</f>
        <v>1</v>
      </c>
      <c r="M69" s="69" t="str">
        <f>IF(acumulado_porcentaje[[#This Row],[contar]]&gt;=$AA$3,SUM(SMALL(#REF!,1),SMALL(#REF!,2),SMALL(#REF!,3),SMALL(#REF!,4),SMALL(#REF!,5),SMALL(#REF!,6),SMALL(#REF!,7)),"#N/A")</f>
        <v>#N/A</v>
      </c>
      <c r="N69" t="str">
        <f>acumulado_porcentaje[[#This Row],[Nombre ]]&amp;" ("&amp;acumulado_porcentaje[[#This Row],[contar]]&amp;")"</f>
        <v>Cristoauditor Monasor Merino (1)</v>
      </c>
      <c r="V69"/>
      <c r="W69"/>
    </row>
    <row r="70" spans="1:23" x14ac:dyDescent="0.2">
      <c r="A70" s="47" t="s">
        <v>1135</v>
      </c>
      <c r="K70">
        <v>6.221821460775484E-2</v>
      </c>
      <c r="L70" s="108">
        <f>$AA$2- COUNTIF(acumulado_porcentaje[[#This Row],[ene-24]:[oct-24]],"")</f>
        <v>1</v>
      </c>
      <c r="M70" s="69" t="str">
        <f>IF(acumulado_porcentaje[[#This Row],[contar]]&gt;=$AA$3,SUM(SMALL(#REF!,1),SMALL(#REF!,2),SMALL(#REF!,3),SMALL(#REF!,4),SMALL(#REF!,5),SMALL(#REF!,6),SMALL(#REF!,7)),"#N/A")</f>
        <v>#N/A</v>
      </c>
      <c r="N70" t="str">
        <f>acumulado_porcentaje[[#This Row],[Nombre ]]&amp;" ("&amp;acumulado_porcentaje[[#This Row],[contar]]&amp;")"</f>
        <v>Diego Montesino (1)</v>
      </c>
      <c r="V70"/>
      <c r="W70"/>
    </row>
    <row r="71" spans="1:23" x14ac:dyDescent="0.2">
      <c r="A71" s="47" t="s">
        <v>472</v>
      </c>
      <c r="D71">
        <v>0.6060157790927021</v>
      </c>
      <c r="L71" s="108">
        <f>$AA$2- COUNTIF(acumulado_porcentaje[[#This Row],[ene-24]:[oct-24]],"")</f>
        <v>1</v>
      </c>
      <c r="M71" s="69" t="str">
        <f>IF(acumulado_porcentaje[[#This Row],[contar]]&gt;=$AA$3,SUM(SMALL(#REF!,1),SMALL(#REF!,2),SMALL(#REF!,3),SMALL(#REF!,4),SMALL(#REF!,5),SMALL(#REF!,6),SMALL(#REF!,7)),"#N/A")</f>
        <v>#N/A</v>
      </c>
      <c r="N71" t="str">
        <f>acumulado_porcentaje[[#This Row],[Nombre ]]&amp;" ("&amp;acumulado_porcentaje[[#This Row],[contar]]&amp;")"</f>
        <v>Eduardo Caro Eduardo Caro (1)</v>
      </c>
      <c r="V71"/>
      <c r="W71"/>
    </row>
    <row r="72" spans="1:23" x14ac:dyDescent="0.2">
      <c r="A72" s="47" t="s">
        <v>951</v>
      </c>
      <c r="H72">
        <v>0.47946342138016873</v>
      </c>
      <c r="L72" s="108">
        <f>$AA$2- COUNTIF(acumulado_porcentaje[[#This Row],[ene-24]:[oct-24]],"")</f>
        <v>1</v>
      </c>
      <c r="M72" s="69" t="str">
        <f>IF(acumulado_porcentaje[[#This Row],[contar]]&gt;=$AA$3,SUM(SMALL(#REF!,1),SMALL(#REF!,2),SMALL(#REF!,3),SMALL(#REF!,4),SMALL(#REF!,5),SMALL(#REF!,6),SMALL(#REF!,7)),"#N/A")</f>
        <v>#N/A</v>
      </c>
      <c r="N72" t="str">
        <f>acumulado_porcentaje[[#This Row],[Nombre ]]&amp;" ("&amp;acumulado_porcentaje[[#This Row],[contar]]&amp;")"</f>
        <v>Gonzalo Cruz Ortega (1)</v>
      </c>
      <c r="V72"/>
      <c r="W72"/>
    </row>
    <row r="73" spans="1:23" x14ac:dyDescent="0.2">
      <c r="A73" s="47" t="s">
        <v>950</v>
      </c>
      <c r="H73">
        <v>0.39980638915779287</v>
      </c>
      <c r="L73" s="108">
        <f>$AA$2- COUNTIF(acumulado_porcentaje[[#This Row],[ene-24]:[oct-24]],"")</f>
        <v>1</v>
      </c>
      <c r="M73" s="69" t="str">
        <f>IF(acumulado_porcentaje[[#This Row],[contar]]&gt;=$AA$3,SUM(SMALL(#REF!,1),SMALL(#REF!,2),SMALL(#REF!,3),SMALL(#REF!,4),SMALL(#REF!,5),SMALL(#REF!,6),SMALL(#REF!,7)),"#N/A")</f>
        <v>#N/A</v>
      </c>
      <c r="N73" t="str">
        <f>acumulado_porcentaje[[#This Row],[Nombre ]]&amp;" ("&amp;acumulado_porcentaje[[#This Row],[contar]]&amp;")"</f>
        <v>Hugo Pimiento (1)</v>
      </c>
      <c r="V73"/>
      <c r="W73"/>
    </row>
    <row r="74" spans="1:23" x14ac:dyDescent="0.2">
      <c r="A74" s="47" t="s">
        <v>783</v>
      </c>
      <c r="G74">
        <v>0.3601997146932952</v>
      </c>
      <c r="L74" s="108">
        <f>$AA$2- COUNTIF(acumulado_porcentaje[[#This Row],[ene-24]:[oct-24]],"")</f>
        <v>1</v>
      </c>
      <c r="M74" s="69" t="str">
        <f>IF(acumulado_porcentaje[[#This Row],[contar]]&gt;=$AA$3,SUM(SMALL(#REF!,1),SMALL(#REF!,2),SMALL(#REF!,3),SMALL(#REF!,4),SMALL(#REF!,5),SMALL(#REF!,6),SMALL(#REF!,7)),"#N/A")</f>
        <v>#N/A</v>
      </c>
      <c r="N74" t="str">
        <f>acumulado_porcentaje[[#This Row],[Nombre ]]&amp;" ("&amp;acumulado_porcentaje[[#This Row],[contar]]&amp;")"</f>
        <v>Ignacio Irigoyen (1)</v>
      </c>
      <c r="V74"/>
      <c r="W74"/>
    </row>
    <row r="75" spans="1:23" x14ac:dyDescent="0.2">
      <c r="A75" s="47" t="s">
        <v>1104</v>
      </c>
      <c r="J75">
        <v>0.23106582208757917</v>
      </c>
      <c r="L75" s="108">
        <f>$AA$2- COUNTIF(acumulado_porcentaje[[#This Row],[ene-24]:[oct-24]],"")</f>
        <v>1</v>
      </c>
      <c r="M75" s="69" t="str">
        <f>IF(acumulado_porcentaje[[#This Row],[contar]]&gt;=$AA$3,SUM(SMALL(#REF!,1),SMALL(#REF!,2),SMALL(#REF!,3),SMALL(#REF!,4),SMALL(#REF!,5),SMALL(#REF!,6),SMALL(#REF!,7)),"#N/A")</f>
        <v>#N/A</v>
      </c>
      <c r="N75" t="str">
        <f>acumulado_porcentaje[[#This Row],[Nombre ]]&amp;" ("&amp;acumulado_porcentaje[[#This Row],[contar]]&amp;")"</f>
        <v>Jagoba Riveiro Zafra (1)</v>
      </c>
      <c r="V75"/>
      <c r="W75"/>
    </row>
    <row r="76" spans="1:23" x14ac:dyDescent="0.2">
      <c r="A76" s="47" t="s">
        <v>223</v>
      </c>
      <c r="B76">
        <v>1.0796221322537075E-2</v>
      </c>
      <c r="L76" s="108">
        <f>$AA$2- COUNTIF(acumulado_porcentaje[[#This Row],[ene-24]:[oct-24]],"")</f>
        <v>1</v>
      </c>
      <c r="M76" s="69" t="str">
        <f>IF(acumulado_porcentaje[[#This Row],[contar]]&gt;=$AA$3,SUM(SMALL(#REF!,1),SMALL(#REF!,2),SMALL(#REF!,3),SMALL(#REF!,4),SMALL(#REF!,5),SMALL(#REF!,6),SMALL(#REF!,7)),"#N/A")</f>
        <v>#N/A</v>
      </c>
      <c r="N76" t="str">
        <f>acumulado_porcentaje[[#This Row],[Nombre ]]&amp;" ("&amp;acumulado_porcentaje[[#This Row],[contar]]&amp;")"</f>
        <v>Javier Cervera (1)</v>
      </c>
      <c r="V76"/>
      <c r="W76"/>
    </row>
    <row r="77" spans="1:23" x14ac:dyDescent="0.2">
      <c r="A77" s="47" t="s">
        <v>779</v>
      </c>
      <c r="G77">
        <v>0.22824536376604845</v>
      </c>
      <c r="L77" s="108">
        <f>$AA$2- COUNTIF(acumulado_porcentaje[[#This Row],[ene-24]:[oct-24]],"")</f>
        <v>1</v>
      </c>
      <c r="M77" s="69" t="str">
        <f>IF(acumulado_porcentaje[[#This Row],[contar]]&gt;=$AA$3,SUM(SMALL(#REF!,1),SMALL(#REF!,2),SMALL(#REF!,3),SMALL(#REF!,4),SMALL(#REF!,5),SMALL(#REF!,6),SMALL(#REF!,7)),"#N/A")</f>
        <v>#N/A</v>
      </c>
      <c r="N77" t="str">
        <f>acumulado_porcentaje[[#This Row],[Nombre ]]&amp;" ("&amp;acumulado_porcentaje[[#This Row],[contar]]&amp;")"</f>
        <v>Javier Fernandez Maza (1)</v>
      </c>
      <c r="V77"/>
      <c r="W77"/>
    </row>
    <row r="78" spans="1:23" x14ac:dyDescent="0.2">
      <c r="A78" s="47" t="s">
        <v>789</v>
      </c>
      <c r="G78">
        <v>3.9229671897289386E-3</v>
      </c>
      <c r="L78" s="108">
        <f>$AA$2- COUNTIF(acumulado_porcentaje[[#This Row],[ene-24]:[oct-24]],"")</f>
        <v>1</v>
      </c>
      <c r="M78" s="69" t="str">
        <f>IF(acumulado_porcentaje[[#This Row],[contar]]&gt;=$AA$3,SUM(SMALL(#REF!,1),SMALL(#REF!,2),SMALL(#REF!,3),SMALL(#REF!,4),SMALL(#REF!,5),SMALL(#REF!,6),SMALL(#REF!,7)),"#N/A")</f>
        <v>#N/A</v>
      </c>
      <c r="N78" t="str">
        <f>acumulado_porcentaje[[#This Row],[Nombre ]]&amp;" ("&amp;acumulado_porcentaje[[#This Row],[contar]]&amp;")"</f>
        <v>Javier Lazaro (1)</v>
      </c>
      <c r="V78"/>
      <c r="W78"/>
    </row>
    <row r="79" spans="1:23" x14ac:dyDescent="0.2">
      <c r="A79" s="47" t="s">
        <v>946</v>
      </c>
      <c r="H79">
        <v>0.10565620246162356</v>
      </c>
      <c r="L79" s="108">
        <f>$AA$2- COUNTIF(acumulado_porcentaje[[#This Row],[ene-24]:[oct-24]],"")</f>
        <v>1</v>
      </c>
      <c r="M79" s="69" t="str">
        <f>IF(acumulado_porcentaje[[#This Row],[contar]]&gt;=$AA$3,SUM(SMALL(#REF!,1),SMALL(#REF!,2),SMALL(#REF!,3),SMALL(#REF!,4),SMALL(#REF!,5),SMALL(#REF!,6),SMALL(#REF!,7)),"#N/A")</f>
        <v>#N/A</v>
      </c>
      <c r="N79" t="str">
        <f>acumulado_porcentaje[[#This Row],[Nombre ]]&amp;" ("&amp;acumulado_porcentaje[[#This Row],[contar]]&amp;")"</f>
        <v>Javier Perez De Eulate (1)</v>
      </c>
      <c r="V79"/>
      <c r="W79"/>
    </row>
    <row r="80" spans="1:23" x14ac:dyDescent="0.2">
      <c r="A80" s="47" t="s">
        <v>1113</v>
      </c>
      <c r="K80">
        <v>1.1283438533213104</v>
      </c>
      <c r="L80" s="108">
        <f>$AA$2- COUNTIF(acumulado_porcentaje[[#This Row],[ene-24]:[oct-24]],"")</f>
        <v>1</v>
      </c>
      <c r="M80" s="69" t="str">
        <f>IF(acumulado_porcentaje[[#This Row],[contar]]&gt;=$AA$3,SUM(SMALL(#REF!,1),SMALL(#REF!,2),SMALL(#REF!,3),SMALL(#REF!,4),SMALL(#REF!,5),SMALL(#REF!,6),SMALL(#REF!,7)),"#N/A")</f>
        <v>#N/A</v>
      </c>
      <c r="N80" t="str">
        <f>acumulado_porcentaje[[#This Row],[Nombre ]]&amp;" ("&amp;acumulado_porcentaje[[#This Row],[contar]]&amp;")"</f>
        <v>Javier Sáez (1)</v>
      </c>
      <c r="V80"/>
      <c r="W80"/>
    </row>
    <row r="81" spans="1:23" x14ac:dyDescent="0.2">
      <c r="A81" s="47" t="s">
        <v>781</v>
      </c>
      <c r="G81">
        <v>0.43206134094151211</v>
      </c>
      <c r="L81" s="108">
        <f>$AA$2- COUNTIF(acumulado_porcentaje[[#This Row],[ene-24]:[oct-24]],"")</f>
        <v>1</v>
      </c>
      <c r="M81" s="69" t="str">
        <f>IF(acumulado_porcentaje[[#This Row],[contar]]&gt;=$AA$3,SUM(SMALL(#REF!,1),SMALL(#REF!,2),SMALL(#REF!,3),SMALL(#REF!,4),SMALL(#REF!,5),SMALL(#REF!,6),SMALL(#REF!,7)),"#N/A")</f>
        <v>#N/A</v>
      </c>
      <c r="N81" t="str">
        <f>acumulado_porcentaje[[#This Row],[Nombre ]]&amp;" ("&amp;acumulado_porcentaje[[#This Row],[contar]]&amp;")"</f>
        <v>Jorge Gonzalez Onieva Johansson (1)</v>
      </c>
      <c r="V81"/>
      <c r="W81"/>
    </row>
    <row r="82" spans="1:23" x14ac:dyDescent="0.2">
      <c r="A82" s="47" t="s">
        <v>947</v>
      </c>
      <c r="H82">
        <v>0.11160282118655797</v>
      </c>
      <c r="L82" s="108">
        <f>$AA$2- COUNTIF(acumulado_porcentaje[[#This Row],[ene-24]:[oct-24]],"")</f>
        <v>1</v>
      </c>
      <c r="M82" s="69" t="str">
        <f>IF(acumulado_porcentaje[[#This Row],[contar]]&gt;=$AA$3,SUM(SMALL(#REF!,1),SMALL(#REF!,2),SMALL(#REF!,3),SMALL(#REF!,4),SMALL(#REF!,5),SMALL(#REF!,6),SMALL(#REF!,7)),"#N/A")</f>
        <v>#N/A</v>
      </c>
      <c r="N82" t="str">
        <f>acumulado_porcentaje[[#This Row],[Nombre ]]&amp;" ("&amp;acumulado_porcentaje[[#This Row],[contar]]&amp;")"</f>
        <v>Jose Carlos Perez (1)</v>
      </c>
      <c r="V82"/>
      <c r="W82"/>
    </row>
    <row r="83" spans="1:23" x14ac:dyDescent="0.2">
      <c r="A83" s="47" t="s">
        <v>932</v>
      </c>
      <c r="H83">
        <v>0.11616650532429823</v>
      </c>
      <c r="L83" s="108">
        <f>$AA$2- COUNTIF(acumulado_porcentaje[[#This Row],[ene-24]:[oct-24]],"")</f>
        <v>1</v>
      </c>
      <c r="M83" s="69" t="str">
        <f>IF(acumulado_porcentaje[[#This Row],[contar]]&gt;=$AA$3,SUM(SMALL(#REF!,1),SMALL(#REF!,2),SMALL(#REF!,3),SMALL(#REF!,4),SMALL(#REF!,5),SMALL(#REF!,6),SMALL(#REF!,7)),"#N/A")</f>
        <v>#N/A</v>
      </c>
      <c r="N83" t="str">
        <f>acumulado_porcentaje[[#This Row],[Nombre ]]&amp;" ("&amp;acumulado_porcentaje[[#This Row],[contar]]&amp;")"</f>
        <v>José Valle (1)</v>
      </c>
      <c r="V83"/>
      <c r="W83"/>
    </row>
    <row r="84" spans="1:23" x14ac:dyDescent="0.2">
      <c r="A84" s="47" t="s">
        <v>945</v>
      </c>
      <c r="H84">
        <v>5.7253491909832671E-2</v>
      </c>
      <c r="L84" s="108">
        <f>$AA$2- COUNTIF(acumulado_porcentaje[[#This Row],[ene-24]:[oct-24]],"")</f>
        <v>1</v>
      </c>
      <c r="M84" s="69" t="str">
        <f>IF(acumulado_porcentaje[[#This Row],[contar]]&gt;=$AA$3,SUM(SMALL(#REF!,1),SMALL(#REF!,2),SMALL(#REF!,3),SMALL(#REF!,4),SMALL(#REF!,5),SMALL(#REF!,6),SMALL(#REF!,7)),"#N/A")</f>
        <v>#N/A</v>
      </c>
      <c r="N84" t="str">
        <f>acumulado_porcentaje[[#This Row],[Nombre ]]&amp;" ("&amp;acumulado_porcentaje[[#This Row],[contar]]&amp;")"</f>
        <v>Juan Redondo Ferrara (1)</v>
      </c>
      <c r="V84"/>
      <c r="W84"/>
    </row>
    <row r="85" spans="1:23" x14ac:dyDescent="0.2">
      <c r="A85" s="47" t="s">
        <v>220</v>
      </c>
      <c r="B85">
        <v>0.14979757085020257</v>
      </c>
      <c r="L85" s="108">
        <f>$AA$2- COUNTIF(acumulado_porcentaje[[#This Row],[ene-24]:[oct-24]],"")</f>
        <v>1</v>
      </c>
      <c r="M85" s="69" t="str">
        <f>IF(acumulado_porcentaje[[#This Row],[contar]]&gt;=$AA$3,SUM(SMALL(#REF!,1),SMALL(#REF!,2),SMALL(#REF!,3),SMALL(#REF!,4),SMALL(#REF!,5),SMALL(#REF!,6),SMALL(#REF!,7)),"#N/A")</f>
        <v>#N/A</v>
      </c>
      <c r="N85" t="str">
        <f>acumulado_porcentaje[[#This Row],[Nombre ]]&amp;" ("&amp;acumulado_porcentaje[[#This Row],[contar]]&amp;")"</f>
        <v>Juan Sanjorge Sanjorge Grandal (1)</v>
      </c>
      <c r="V85"/>
      <c r="W85"/>
    </row>
    <row r="86" spans="1:23" x14ac:dyDescent="0.2">
      <c r="A86" s="47" t="s">
        <v>949</v>
      </c>
      <c r="H86">
        <v>0.30811782602682891</v>
      </c>
      <c r="L86" s="108">
        <f>$AA$2- COUNTIF(acumulado_porcentaje[[#This Row],[ene-24]:[oct-24]],"")</f>
        <v>1</v>
      </c>
      <c r="M86" s="69" t="str">
        <f>IF(acumulado_porcentaje[[#This Row],[contar]]&gt;=$AA$3,SUM(SMALL(#REF!,1),SMALL(#REF!,2),SMALL(#REF!,3),SMALL(#REF!,4),SMALL(#REF!,5),SMALL(#REF!,6),SMALL(#REF!,7)),"#N/A")</f>
        <v>#N/A</v>
      </c>
      <c r="N86" t="str">
        <f>acumulado_porcentaje[[#This Row],[Nombre ]]&amp;" ("&amp;acumulado_porcentaje[[#This Row],[contar]]&amp;")"</f>
        <v>Lucia Garin (1)</v>
      </c>
      <c r="V86"/>
      <c r="W86"/>
    </row>
    <row r="87" spans="1:23" x14ac:dyDescent="0.2">
      <c r="A87" s="47" t="s">
        <v>410</v>
      </c>
      <c r="B87">
        <v>0.23076923076923089</v>
      </c>
      <c r="L87" s="108">
        <f>$AA$2- COUNTIF(acumulado_porcentaje[[#This Row],[ene-24]:[oct-24]],"")</f>
        <v>1</v>
      </c>
      <c r="M87" s="69" t="str">
        <f>IF(acumulado_porcentaje[[#This Row],[contar]]&gt;=$AA$3,SUM(SMALL(#REF!,1),SMALL(#REF!,2),SMALL(#REF!,3),SMALL(#REF!,4),SMALL(#REF!,5),SMALL(#REF!,6),SMALL(#REF!,7)),"#N/A")</f>
        <v>#N/A</v>
      </c>
      <c r="N87" t="str">
        <f>acumulado_porcentaje[[#This Row],[Nombre ]]&amp;" ("&amp;acumulado_porcentaje[[#This Row],[contar]]&amp;")"</f>
        <v>Manuel Bueno Pérez (1)</v>
      </c>
      <c r="V87"/>
      <c r="W87"/>
    </row>
    <row r="88" spans="1:23" x14ac:dyDescent="0.2">
      <c r="A88" s="47" t="s">
        <v>647</v>
      </c>
      <c r="F88">
        <v>9.7368421052631618E-2</v>
      </c>
      <c r="L88" s="108">
        <f>$AA$2- COUNTIF(acumulado_porcentaje[[#This Row],[ene-24]:[oct-24]],"")</f>
        <v>1</v>
      </c>
      <c r="M88" s="69" t="str">
        <f>IF(acumulado_porcentaje[[#This Row],[contar]]&gt;=$AA$3,SUM(SMALL(#REF!,1),SMALL(#REF!,2),SMALL(#REF!,3),SMALL(#REF!,4),SMALL(#REF!,5),SMALL(#REF!,6),SMALL(#REF!,7)),"#N/A")</f>
        <v>#N/A</v>
      </c>
      <c r="N88" t="str">
        <f>acumulado_porcentaje[[#This Row],[Nombre ]]&amp;" ("&amp;acumulado_porcentaje[[#This Row],[contar]]&amp;")"</f>
        <v>Miguel Roa Prieto (1)</v>
      </c>
      <c r="V88"/>
      <c r="W88"/>
    </row>
    <row r="89" spans="1:23" x14ac:dyDescent="0.2">
      <c r="A89" s="47" t="s">
        <v>952</v>
      </c>
      <c r="H89">
        <v>0.5353339787028073</v>
      </c>
      <c r="L89" s="108">
        <f>$AA$2- COUNTIF(acumulado_porcentaje[[#This Row],[ene-24]:[oct-24]],"")</f>
        <v>1</v>
      </c>
      <c r="M89" s="69" t="str">
        <f>IF(acumulado_porcentaje[[#This Row],[contar]]&gt;=$AA$3,SUM(SMALL(#REF!,1),SMALL(#REF!,2),SMALL(#REF!,3),SMALL(#REF!,4),SMALL(#REF!,5),SMALL(#REF!,6),SMALL(#REF!,7)),"#N/A")</f>
        <v>#N/A</v>
      </c>
      <c r="N89" t="str">
        <f>acumulado_porcentaje[[#This Row],[Nombre ]]&amp;" ("&amp;acumulado_porcentaje[[#This Row],[contar]]&amp;")"</f>
        <v>Moisés Labarquilla (1)</v>
      </c>
      <c r="V89"/>
      <c r="W89"/>
    </row>
    <row r="90" spans="1:23" x14ac:dyDescent="0.2">
      <c r="A90" s="47" t="s">
        <v>646</v>
      </c>
      <c r="F90">
        <v>0.10361842105263154</v>
      </c>
      <c r="L90" s="108">
        <f>$AA$2- COUNTIF(acumulado_porcentaje[[#This Row],[ene-24]:[oct-24]],"")</f>
        <v>1</v>
      </c>
      <c r="M90" s="69" t="str">
        <f>IF(acumulado_porcentaje[[#This Row],[contar]]&gt;=$AA$3,SUM(SMALL(#REF!,1),SMALL(#REF!,2),SMALL(#REF!,3),SMALL(#REF!,4),SMALL(#REF!,5),SMALL(#REF!,6),SMALL(#REF!,7)),"#N/A")</f>
        <v>#N/A</v>
      </c>
      <c r="N90" t="str">
        <f>acumulado_porcentaje[[#This Row],[Nombre ]]&amp;" ("&amp;acumulado_porcentaje[[#This Row],[contar]]&amp;")"</f>
        <v>Nelson Hernandez Hernandez (1)</v>
      </c>
      <c r="V90"/>
      <c r="W90"/>
    </row>
    <row r="91" spans="1:23" x14ac:dyDescent="0.2">
      <c r="A91" s="47" t="s">
        <v>227</v>
      </c>
      <c r="B91">
        <v>0.18016194331983817</v>
      </c>
      <c r="L91" s="108">
        <f>$AA$2- COUNTIF(acumulado_porcentaje[[#This Row],[ene-24]:[oct-24]],"")</f>
        <v>1</v>
      </c>
      <c r="M91" s="69" t="str">
        <f>IF(acumulado_porcentaje[[#This Row],[contar]]&gt;=$AA$3,SUM(SMALL(#REF!,1),SMALL(#REF!,2),SMALL(#REF!,3),SMALL(#REF!,4),SMALL(#REF!,5),SMALL(#REF!,6),SMALL(#REF!,7)),"#N/A")</f>
        <v>#N/A</v>
      </c>
      <c r="N91" t="str">
        <f>acumulado_porcentaje[[#This Row],[Nombre ]]&amp;" ("&amp;acumulado_porcentaje[[#This Row],[contar]]&amp;")"</f>
        <v>Olivia Infantes (1)</v>
      </c>
      <c r="V91"/>
      <c r="W91"/>
    </row>
    <row r="92" spans="1:23" x14ac:dyDescent="0.2">
      <c r="A92" s="47" t="s">
        <v>943</v>
      </c>
      <c r="H92">
        <v>5.7944959203429645E-2</v>
      </c>
      <c r="L92" s="108">
        <f>$AA$2- COUNTIF(acumulado_porcentaje[[#This Row],[ene-24]:[oct-24]],"")</f>
        <v>1</v>
      </c>
      <c r="M92" s="69" t="str">
        <f>IF(acumulado_porcentaje[[#This Row],[contar]]&gt;=$AA$3,SUM(SMALL(#REF!,1),SMALL(#REF!,2),SMALL(#REF!,3),SMALL(#REF!,4),SMALL(#REF!,5),SMALL(#REF!,6),SMALL(#REF!,7)),"#N/A")</f>
        <v>#N/A</v>
      </c>
      <c r="N92" s="47" t="str">
        <f>acumulado_porcentaje[[#This Row],[Nombre ]]&amp;" ("&amp;acumulado_porcentaje[[#This Row],[contar]]&amp;")"</f>
        <v>Omip 28-06-2024 (1)</v>
      </c>
      <c r="V92"/>
      <c r="W92"/>
    </row>
    <row r="93" spans="1:23" x14ac:dyDescent="0.2">
      <c r="A93" s="47" t="s">
        <v>473</v>
      </c>
      <c r="D93">
        <v>2.2199211045364886</v>
      </c>
      <c r="L93" s="108">
        <f>$AA$2- COUNTIF(acumulado_porcentaje[[#This Row],[ene-24]:[oct-24]],"")</f>
        <v>1</v>
      </c>
      <c r="M93" s="69" t="str">
        <f>IF(acumulado_porcentaje[[#This Row],[contar]]&gt;=$AA$3,SUM(SMALL(#REF!,1),SMALL(#REF!,2),SMALL(#REF!,3),SMALL(#REF!,4),SMALL(#REF!,5),SMALL(#REF!,6),SMALL(#REF!,7)),"#N/A")</f>
        <v>#N/A</v>
      </c>
      <c r="N93" t="str">
        <f>acumulado_porcentaje[[#This Row],[Nombre ]]&amp;" ("&amp;acumulado_porcentaje[[#This Row],[contar]]&amp;")"</f>
        <v>Pablo Baigorria Kobylinski (1)</v>
      </c>
      <c r="V93"/>
      <c r="W93"/>
    </row>
    <row r="94" spans="1:23" x14ac:dyDescent="0.2">
      <c r="A94" s="47" t="s">
        <v>1118</v>
      </c>
      <c r="K94">
        <v>0.19957920048091352</v>
      </c>
      <c r="L94" s="108">
        <f>$AA$2- COUNTIF(acumulado_porcentaje[[#This Row],[ene-24]:[oct-24]],"")</f>
        <v>1</v>
      </c>
      <c r="M94" s="69" t="str">
        <f>IF(acumulado_porcentaje[[#This Row],[contar]]&gt;=$AA$3,SUM(SMALL(#REF!,1),SMALL(#REF!,2),SMALL(#REF!,3),SMALL(#REF!,4),SMALL(#REF!,5),SMALL(#REF!,6),SMALL(#REF!,7)),"#N/A")</f>
        <v>#N/A</v>
      </c>
      <c r="N94" t="str">
        <f>acumulado_porcentaje[[#This Row],[Nombre ]]&amp;" ("&amp;acumulado_porcentaje[[#This Row],[contar]]&amp;")"</f>
        <v>Pablo Suárez Sebastián (1)</v>
      </c>
      <c r="V94"/>
      <c r="W94"/>
    </row>
    <row r="95" spans="1:23" x14ac:dyDescent="0.2">
      <c r="A95" s="47" t="s">
        <v>416</v>
      </c>
      <c r="C95">
        <v>1.18875</v>
      </c>
      <c r="L95" s="108">
        <f>$AA$2- COUNTIF(acumulado_porcentaje[[#This Row],[ene-24]:[oct-24]],"")</f>
        <v>1</v>
      </c>
      <c r="M95" s="69" t="str">
        <f>IF(acumulado_porcentaje[[#This Row],[contar]]&gt;=$AA$3,SUM(SMALL(#REF!,1),SMALL(#REF!,2),SMALL(#REF!,3),SMALL(#REF!,4),SMALL(#REF!,5),SMALL(#REF!,6),SMALL(#REF!,7)),"#N/A")</f>
        <v>#N/A</v>
      </c>
      <c r="N95" t="str">
        <f>acumulado_porcentaje[[#This Row],[Nombre ]]&amp;" ("&amp;acumulado_porcentaje[[#This Row],[contar]]&amp;")"</f>
        <v>Roberto De Dios García (1)</v>
      </c>
      <c r="V95"/>
      <c r="W95"/>
    </row>
    <row r="96" spans="1:23" x14ac:dyDescent="0.2">
      <c r="A96" s="47" t="s">
        <v>782</v>
      </c>
      <c r="G96">
        <v>0.22022111269614839</v>
      </c>
      <c r="L96" s="108">
        <f>$AA$2- COUNTIF(acumulado_porcentaje[[#This Row],[ene-24]:[oct-24]],"")</f>
        <v>1</v>
      </c>
      <c r="M96" s="69" t="str">
        <f>IF(acumulado_porcentaje[[#This Row],[contar]]&gt;=$AA$3,SUM(SMALL(#REF!,1),SMALL(#REF!,2),SMALL(#REF!,3),SMALL(#REF!,4),SMALL(#REF!,5),SMALL(#REF!,6),SMALL(#REF!,7)),"#N/A")</f>
        <v>#N/A</v>
      </c>
      <c r="N96" t="str">
        <f>acumulado_porcentaje[[#This Row],[Nombre ]]&amp;" ("&amp;acumulado_porcentaje[[#This Row],[contar]]&amp;")"</f>
        <v>Sergio García Sanz (1)</v>
      </c>
      <c r="V96"/>
      <c r="W96"/>
    </row>
    <row r="97" spans="1:23" x14ac:dyDescent="0.2">
      <c r="A97" s="47" t="s">
        <v>648</v>
      </c>
      <c r="F97">
        <v>0.40394736842105256</v>
      </c>
      <c r="L97" s="108">
        <f>$AA$2- COUNTIF(acumulado_porcentaje[[#This Row],[ene-24]:[oct-24]],"")</f>
        <v>1</v>
      </c>
      <c r="M97" s="69" t="str">
        <f>IF(acumulado_porcentaje[[#This Row],[contar]]&gt;=$AA$3,SUM(SMALL(#REF!,1),SMALL(#REF!,2),SMALL(#REF!,3),SMALL(#REF!,4),SMALL(#REF!,5),SMALL(#REF!,6),SMALL(#REF!,7)),"#N/A")</f>
        <v>#N/A</v>
      </c>
      <c r="N97" t="str">
        <f>acumulado_porcentaje[[#This Row],[Nombre ]]&amp;" ("&amp;acumulado_porcentaje[[#This Row],[contar]]&amp;")"</f>
        <v>Sergio Nistal Prieto (1)</v>
      </c>
      <c r="V97"/>
      <c r="W97"/>
    </row>
    <row r="98" spans="1:23" x14ac:dyDescent="0.2">
      <c r="A98" s="47" t="s">
        <v>339</v>
      </c>
      <c r="C98">
        <v>1.155</v>
      </c>
      <c r="L98" s="108">
        <f>$AA$2- COUNTIF(acumulado_porcentaje[[#This Row],[ene-24]:[oct-24]],"")</f>
        <v>1</v>
      </c>
      <c r="M98" s="69" t="str">
        <f>IF(acumulado_porcentaje[[#This Row],[contar]]&gt;=$AA$3,SUM(SMALL(#REF!,1),SMALL(#REF!,2),SMALL(#REF!,3),SMALL(#REF!,4),SMALL(#REF!,5),SMALL(#REF!,6),SMALL(#REF!,7)),"#N/A")</f>
        <v>#N/A</v>
      </c>
      <c r="N98" t="str">
        <f>acumulado_porcentaje[[#This Row],[Nombre ]]&amp;" ("&amp;acumulado_porcentaje[[#This Row],[contar]]&amp;")"</f>
        <v>Sergio Ortega Celares (1)</v>
      </c>
      <c r="V98"/>
      <c r="W98"/>
    </row>
    <row r="99" spans="1:23" x14ac:dyDescent="0.2">
      <c r="A99" s="47" t="s">
        <v>239</v>
      </c>
      <c r="B99">
        <v>0.21592442645074225</v>
      </c>
      <c r="L99" s="108">
        <f>$AA$2- COUNTIF(acumulado_porcentaje[[#This Row],[ene-24]:[oct-24]],"")</f>
        <v>1</v>
      </c>
      <c r="M99" s="69" t="str">
        <f>IF(acumulado_porcentaje[[#This Row],[contar]]&gt;=$AA$3,SUM(SMALL(#REF!,1),SMALL(#REF!,2),SMALL(#REF!,3),SMALL(#REF!,4),SMALL(#REF!,5),SMALL(#REF!,6),SMALL(#REF!,7)),"#N/A")</f>
        <v>#N/A</v>
      </c>
      <c r="N99" t="str">
        <f>acumulado_porcentaje[[#This Row],[Nombre ]]&amp;" ("&amp;acumulado_porcentaje[[#This Row],[contar]]&amp;")"</f>
        <v>Vitor Costa Costa (1)</v>
      </c>
      <c r="V99"/>
      <c r="W99"/>
    </row>
    <row r="100" spans="1:23" x14ac:dyDescent="0.2">
      <c r="A100" s="47" t="s">
        <v>544</v>
      </c>
      <c r="E100">
        <v>0.71909290416971472</v>
      </c>
      <c r="L100" s="108">
        <f>$AA$2- COUNTIF(acumulado_porcentaje[[#This Row],[ene-24]:[oct-24]],"")</f>
        <v>1</v>
      </c>
      <c r="M100" s="69" t="str">
        <f>IF(acumulado_porcentaje[[#This Row],[contar]]&gt;=$AA$3,SUM(SMALL(#REF!,1),SMALL(#REF!,2),SMALL(#REF!,3),SMALL(#REF!,4),SMALL(#REF!,5),SMALL(#REF!,6),SMALL(#REF!,7)),"#N/A")</f>
        <v>#N/A</v>
      </c>
      <c r="N100" t="str">
        <f>acumulado_porcentaje[[#This Row],[Nombre ]]&amp;" ("&amp;acumulado_porcentaje[[#This Row],[contar]]&amp;")"</f>
        <v>Álvaro Barahona San Marcos (1)</v>
      </c>
      <c r="V100"/>
      <c r="W100"/>
    </row>
    <row r="112" spans="1:23" x14ac:dyDescent="0.2">
      <c r="L112" s="109"/>
      <c r="M112" s="45"/>
    </row>
    <row r="113" spans="12:13" x14ac:dyDescent="0.2">
      <c r="L113" s="109"/>
      <c r="M113" s="73" t="s">
        <v>146</v>
      </c>
    </row>
    <row r="114" spans="12:13" x14ac:dyDescent="0.2">
      <c r="L114" s="109" t="s">
        <v>661</v>
      </c>
      <c r="M114" s="72" t="e">
        <f>MATCH(M113,1:1,0)</f>
        <v>#N/A</v>
      </c>
    </row>
    <row r="115" spans="12:13" x14ac:dyDescent="0.2">
      <c r="L115" s="109" t="s">
        <v>662</v>
      </c>
      <c r="M115" s="72" t="e">
        <f>M114-1</f>
        <v>#N/A</v>
      </c>
    </row>
    <row r="116" spans="12:13" x14ac:dyDescent="0.2">
      <c r="L116" s="109"/>
      <c r="M116" s="72" t="e">
        <f>ADDRESS(1,M114)</f>
        <v>#N/A</v>
      </c>
    </row>
    <row r="117" spans="12:13" x14ac:dyDescent="0.2">
      <c r="L117" s="109"/>
      <c r="M117" s="72" t="e">
        <f>MID(M116,2,1)</f>
        <v>#N/A</v>
      </c>
    </row>
    <row r="118" spans="12:13" x14ac:dyDescent="0.2">
      <c r="L118" s="109"/>
      <c r="M118" s="45"/>
    </row>
  </sheetData>
  <phoneticPr fontId="9" type="noConversion"/>
  <conditionalFormatting sqref="A2:A100">
    <cfRule type="duplicateValues" dxfId="33" priority="101"/>
  </conditionalFormatting>
  <dataValidations disablePrompts="1" count="1">
    <dataValidation type="list" allowBlank="1" showInputMessage="1" showErrorMessage="1" sqref="M113" xr:uid="{E842F2BA-4DC3-4A5E-A318-57237D096379}">
      <formula1>#REF!</formula1>
    </dataValidation>
  </dataValidations>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B2" sqref="B2"/>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acum_porc!$AA$2- COUNTIF(acumulado_absoluto[[#This Row],[Ene 2024]:[Ago 2024]],"")</f>
        <v>10</v>
      </c>
      <c r="L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acum_porc!$AA$2- COUNTIF(acumulado_absoluto[[#This Row],[Ene 2024]:[Ago 2024]],"")</f>
        <v>10</v>
      </c>
      <c r="L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acum_porc!$AA$2- COUNTIF(acumulado_absoluto[[#This Row],[Ene 2024]:[Ago 2024]],"")</f>
        <v>10</v>
      </c>
      <c r="L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acum_porc!$AA$2- COUNTIF(acumulado_absoluto[[#This Row],[Ene 2024]:[Ago 2024]],"")</f>
        <v>10</v>
      </c>
      <c r="L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acum_porc!$AA$2- COUNTIF(acumulado_absoluto[[#This Row],[Ene 2024]:[Ago 2024]],"")</f>
        <v>10</v>
      </c>
      <c r="L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acum_porc!$AA$2- COUNTIF(acumulado_absoluto[[#This Row],[Ene 2024]:[Ago 2024]],"")</f>
        <v>8</v>
      </c>
      <c r="L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acum_porc!$AA$2- COUNTIF(acumulado_absoluto[[#This Row],[Ene 2024]:[Ago 2024]],"")</f>
        <v>9</v>
      </c>
      <c r="L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acum_porc!$AA$2- COUNTIF(acumulado_absoluto[[#This Row],[Ene 2024]:[Ago 2024]],"")</f>
        <v>8</v>
      </c>
      <c r="L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acum_porc!$AA$2- COUNTIF(acumulado_absoluto[[#This Row],[Ene 2024]:[Ago 2024]],"")</f>
        <v>10</v>
      </c>
      <c r="L1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acum_porc!$AA$2- COUNTIF(acumulado_absoluto[[#This Row],[Ene 2024]:[Ago 2024]],"")</f>
        <v>9</v>
      </c>
      <c r="L1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acum_porc!$AA$2- COUNTIF(acumulado_absoluto[[#This Row],[Ene 2024]:[Ago 2024]],"")</f>
        <v>10</v>
      </c>
      <c r="L1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acum_porc!$AA$2- COUNTIF(acumulado_absoluto[[#This Row],[Ene 2024]:[Ago 2024]],"")</f>
        <v>10</v>
      </c>
      <c r="L1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acum_porc!$AA$2- COUNTIF(acumulado_absoluto[[#This Row],[Ene 2024]:[Ago 2024]],"")</f>
        <v>8</v>
      </c>
      <c r="L1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acum_porc!$AA$2- COUNTIF(acumulado_absoluto[[#This Row],[Ene 2024]:[Ago 2024]],"")</f>
        <v>10</v>
      </c>
      <c r="L1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acum_porc!$AA$2- COUNTIF(acumulado_absoluto[[#This Row],[Ene 2024]:[Ago 2024]],"")</f>
        <v>9</v>
      </c>
      <c r="L1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acum_porc!$AA$2- COUNTIF(acumulado_absoluto[[#This Row],[Ene 2024]:[Ago 2024]],"")</f>
        <v>8</v>
      </c>
      <c r="L1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acum_porc!$AA$2- COUNTIF(acumulado_absoluto[[#This Row],[Ene 2024]:[Ago 2024]],"")</f>
        <v>9</v>
      </c>
      <c r="L1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acum_porc!$AA$2- COUNTIF(acumulado_absoluto[[#This Row],[Ene 2024]:[Ago 2024]],"")</f>
        <v>8</v>
      </c>
      <c r="L1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acum_porc!$AA$2- COUNTIF(acumulado_absoluto[[#This Row],[Ene 2024]:[Ago 2024]],"")</f>
        <v>10</v>
      </c>
      <c r="L2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acum_porc!$AA$2- COUNTIF(acumulado_absoluto[[#This Row],[Ene 2024]:[Ago 2024]],"")</f>
        <v>10</v>
      </c>
      <c r="L2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acum_porc!$AA$2- COUNTIF(acumulado_absoluto[[#This Row],[Ene 2024]:[Ago 2024]],"")</f>
        <v>8</v>
      </c>
      <c r="L2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acum_porc!$AA$2- COUNTIF(acumulado_absoluto[[#This Row],[Ene 2024]:[Ago 2024]],"")</f>
        <v>10</v>
      </c>
      <c r="L2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acum_porc!$AA$2- COUNTIF(acumulado_absoluto[[#This Row],[Ene 2024]:[Ago 2024]],"")</f>
        <v>10</v>
      </c>
      <c r="L2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acum_porc!$AA$2- COUNTIF(acumulado_absoluto[[#This Row],[Ene 2024]:[Ago 2024]],"")</f>
        <v>7</v>
      </c>
      <c r="L2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acum_porc!$AA$2- COUNTIF(acumulado_absoluto[[#This Row],[Ene 2024]:[Ago 2024]],"")</f>
        <v>3</v>
      </c>
      <c r="L2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acum_porc!$AA$2- COUNTIF(acumulado_absoluto[[#This Row],[Ene 2024]:[Ago 2024]],"")</f>
        <v>3</v>
      </c>
      <c r="L2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acum_porc!$AA$2- COUNTIF(acumulado_absoluto[[#This Row],[Ene 2024]:[Ago 2024]],"")</f>
        <v>3</v>
      </c>
      <c r="L2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acum_porc!$AA$2- COUNTIF(acumulado_absoluto[[#This Row],[Ene 2024]:[Ago 2024]],"")</f>
        <v>4</v>
      </c>
      <c r="L2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acum_porc!$AA$2- COUNTIF(acumulado_absoluto[[#This Row],[Ene 2024]:[Ago 2024]],"")</f>
        <v>3</v>
      </c>
      <c r="L3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acum_porc!$AA$2- COUNTIF(acumulado_absoluto[[#This Row],[Ene 2024]:[Ago 2024]],"")</f>
        <v>3</v>
      </c>
      <c r="L3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acum_porc!$AA$2- COUNTIF(acumulado_absoluto[[#This Row],[Ene 2024]:[Ago 2024]],"")</f>
        <v>6</v>
      </c>
      <c r="L3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acum_porc!$AA$2- COUNTIF(acumulado_absoluto[[#This Row],[Ene 2024]:[Ago 2024]],"")</f>
        <v>3</v>
      </c>
      <c r="L3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acum_porc!$AA$2- COUNTIF(acumulado_absoluto[[#This Row],[Ene 2024]:[Ago 2024]],"")</f>
        <v>3</v>
      </c>
      <c r="L3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acum_porc!$AA$2- COUNTIF(acumulado_absoluto[[#This Row],[Ene 2024]:[Ago 2024]],"")</f>
        <v>7</v>
      </c>
      <c r="L3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acum_porc!$AA$2- COUNTIF(acumulado_absoluto[[#This Row],[Ene 2024]:[Ago 2024]],"")</f>
        <v>6</v>
      </c>
      <c r="L3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acum_porc!$AA$2- COUNTIF(acumulado_absoluto[[#This Row],[Ene 2024]:[Ago 2024]],"")</f>
        <v>5</v>
      </c>
      <c r="L3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acum_porc!$AA$2- COUNTIF(acumulado_absoluto[[#This Row],[Ene 2024]:[Ago 2024]],"")</f>
        <v>3</v>
      </c>
      <c r="L3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acum_porc!$AA$2- COUNTIF(acumulado_absoluto[[#This Row],[Ene 2024]:[Ago 2024]],"")</f>
        <v>4</v>
      </c>
      <c r="L3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acum_porc!$AA$2- COUNTIF(acumulado_absoluto[[#This Row],[Ene 2024]:[Ago 2024]],"")</f>
        <v>5</v>
      </c>
      <c r="L4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acum_porc!$AA$2- COUNTIF(acumulado_absoluto[[#This Row],[Ene 2024]:[Ago 2024]],"")</f>
        <v>3</v>
      </c>
      <c r="L4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acum_porc!$AA$2- COUNTIF(acumulado_absoluto[[#This Row],[Ene 2024]:[Ago 2024]],"")</f>
        <v>6</v>
      </c>
      <c r="L4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acum_porc!$AA$2- COUNTIF(acumulado_absoluto[[#This Row],[Ene 2024]:[Ago 2024]],"")</f>
        <v>4</v>
      </c>
      <c r="L4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acum_porc!$AA$2- COUNTIF(acumulado_absoluto[[#This Row],[Ene 2024]:[Ago 2024]],"")</f>
        <v>3</v>
      </c>
      <c r="L4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acum_porc!$AA$2- COUNTIF(acumulado_absoluto[[#This Row],[Ene 2024]:[Ago 2024]],"")</f>
        <v>5</v>
      </c>
      <c r="L4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acum_porc!$AA$2- COUNTIF(acumulado_absoluto[[#This Row],[Ene 2024]:[Ago 2024]],"")</f>
        <v>3</v>
      </c>
      <c r="L4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acum_porc!$AA$2- COUNTIF(acumulado_absoluto[[#This Row],[Ene 2024]:[Ago 2024]],"")</f>
        <v>3</v>
      </c>
      <c r="L4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acum_porc!$AA$2- COUNTIF(acumulado_absoluto[[#This Row],[Ene 2024]:[Ago 2024]],"")</f>
        <v>5</v>
      </c>
      <c r="L4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1104</v>
      </c>
      <c r="F49"/>
      <c r="G49"/>
      <c r="H49"/>
      <c r="I49"/>
      <c r="J49">
        <v>9.8100000000000023</v>
      </c>
      <c r="K49" s="4">
        <f>acum_porc!$AA$2- COUNTIF(acumulado_absoluto[[#This Row],[Ene 2024]:[Ago 2024]],"")</f>
        <v>2</v>
      </c>
      <c r="L4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acum_porc!$AA$2- COUNTIF(acumulado_absoluto[[#This Row],[Ene 2024]:[Ago 2024]],"")</f>
        <v>3</v>
      </c>
      <c r="L5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acum_porc!$AA$2- COUNTIF(acumulado_absoluto[[#This Row],[Ene 2024]:[Ago 2024]],"")</f>
        <v>3</v>
      </c>
      <c r="L5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acum_porc!$AA$2- COUNTIF(acumulado_absoluto[[#This Row],[Ene 2024]:[Ago 2024]],"")</f>
        <v>3</v>
      </c>
      <c r="L5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acum_porc!$AA$2- COUNTIF(acumulado_absoluto[[#This Row],[Ene 2024]:[Ago 2024]],"")</f>
        <v>3</v>
      </c>
      <c r="L5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acum_porc!$AA$2- COUNTIF(acumulado_absoluto[[#This Row],[Ene 2024]:[Ago 2024]],"")</f>
        <v>5</v>
      </c>
      <c r="L5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acum_porc!$AA$2- COUNTIF(acumulado_absoluto[[#This Row],[Ene 2024]:[Ago 2024]],"")</f>
        <v>4</v>
      </c>
      <c r="L5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acum_porc!$AA$2- COUNTIF(acumulado_absoluto[[#This Row],[Ene 2024]:[Ago 2024]],"")</f>
        <v>6</v>
      </c>
      <c r="L5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acum_porc!$AA$2- COUNTIF(acumulado_absoluto[[#This Row],[Ene 2024]:[Ago 2024]],"")</f>
        <v>3</v>
      </c>
      <c r="L5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acum_porc!$AA$2- COUNTIF(acumulado_absoluto[[#This Row],[Ene 2024]:[Ago 2024]],"")</f>
        <v>5</v>
      </c>
      <c r="L5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acum_porc!$AA$2- COUNTIF(acumulado_absoluto[[#This Row],[Ene 2024]:[Ago 2024]],"")</f>
        <v>5</v>
      </c>
      <c r="L5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acum_porc!$AA$2- COUNTIF(acumulado_absoluto[[#This Row],[Ene 2024]:[Ago 2024]],"")</f>
        <v>3</v>
      </c>
      <c r="L6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1103</v>
      </c>
      <c r="F61"/>
      <c r="G61"/>
      <c r="H61"/>
      <c r="I61"/>
      <c r="J61">
        <v>11.670000000000002</v>
      </c>
      <c r="K61" s="4">
        <f>acum_porc!$AA$2- COUNTIF(acumulado_absoluto[[#This Row],[Ene 2024]:[Ago 2024]],"")</f>
        <v>2</v>
      </c>
      <c r="L6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acum_porc!$AA$2- COUNTIF(acumulado_absoluto[[#This Row],[Ene 2024]:[Ago 2024]],"")</f>
        <v>3</v>
      </c>
      <c r="L6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acum_porc!$AA$2- COUNTIF(acumulado_absoluto[[#This Row],[Ene 2024]:[Ago 2024]],"")</f>
        <v>4</v>
      </c>
      <c r="L6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acum_porc!$AA$2- COUNTIF(acumulado_absoluto[[#This Row],[Ene 2024]:[Ago 2024]],"")</f>
        <v>6</v>
      </c>
      <c r="L6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acum_porc!$AA$2- COUNTIF(acumulado_absoluto[[#This Row],[Ene 2024]:[Ago 2024]],"")</f>
        <v>3</v>
      </c>
      <c r="L6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acum_porc!$AA$2- COUNTIF(acumulado_absoluto[[#This Row],[Ene 2024]:[Ago 2024]],"")</f>
        <v>3</v>
      </c>
      <c r="L6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acum_porc!$AA$2- COUNTIF(acumulado_absoluto[[#This Row],[Ene 2024]:[Ago 2024]],"")</f>
        <v>3</v>
      </c>
      <c r="L6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acum_porc!$AA$2- COUNTIF(acumulado_absoluto[[#This Row],[Ene 2024]:[Ago 2024]],"")</f>
        <v>3</v>
      </c>
      <c r="L6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acum_porc!$AA$2- COUNTIF(acumulado_absoluto[[#This Row],[Ene 2024]:[Ago 2024]],"")</f>
        <v>5</v>
      </c>
      <c r="L6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acum_porc!$AA$2- COUNTIF(acumulado_absoluto[[#This Row],[Ene 2024]:[Ago 2024]],"")</f>
        <v>4</v>
      </c>
      <c r="L7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acum_porc!$AA$2- COUNTIF(acumulado_absoluto[[#This Row],[Ene 2024]:[Ago 2024]],"")</f>
        <v>3</v>
      </c>
      <c r="L7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acum_porc!$AA$2- COUNTIF(acumulado_absoluto[[#This Row],[Ene 2024]:[Ago 2024]],"")</f>
        <v>3</v>
      </c>
      <c r="L7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acum_porc!$AA$2- COUNTIF(acumulado_absoluto[[#This Row],[Ene 2024]:[Ago 2024]],"")</f>
        <v>3</v>
      </c>
      <c r="L7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acum_porc!$AA$2- COUNTIF(acumulado_absoluto[[#This Row],[Ene 2024]:[Ago 2024]],"")</f>
        <v>3</v>
      </c>
      <c r="L7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acum_porc!$AA$2- COUNTIF(acumulado_absoluto[[#This Row],[Ene 2024]:[Ago 2024]],"")</f>
        <v>3</v>
      </c>
      <c r="L7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acum_porc!$AA$2- COUNTIF(acumulado_absoluto[[#This Row],[Ene 2024]:[Ago 2024]],"")</f>
        <v>3</v>
      </c>
      <c r="L7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acum_porc!$AA$2- COUNTIF(acumulado_absoluto[[#This Row],[Ene 2024]:[Ago 2024]],"")</f>
        <v>3</v>
      </c>
      <c r="L7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acum_porc!$AA$2- COUNTIF(acumulado_absoluto[[#This Row],[Ene 2024]:[Ago 2024]],"")</f>
        <v>5</v>
      </c>
      <c r="L7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acum_porc!$AA$2- COUNTIF(acumulado_absoluto[[#This Row],[Ene 2024]:[Ago 2024]],"")</f>
        <v>4</v>
      </c>
      <c r="L7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acum_porc!$AA$2- COUNTIF(acumulado_absoluto[[#This Row],[Ene 2024]:[Ago 2024]],"")</f>
        <v>4</v>
      </c>
      <c r="L8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acum_porc!$AA$2- COUNTIF(acumulado_absoluto[[#This Row],[Ene 2024]:[Ago 2024]],"")</f>
        <v>4</v>
      </c>
      <c r="L8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acum_porc!$AA$2- COUNTIF(acumulado_absoluto[[#This Row],[Ene 2024]:[Ago 2024]],"")</f>
        <v>5</v>
      </c>
      <c r="L8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acum_porc!$AA$2- COUNTIF(acumulado_absoluto[[#This Row],[Ene 2024]:[Ago 2024]],"")</f>
        <v>3</v>
      </c>
      <c r="L8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1106</v>
      </c>
      <c r="F84"/>
      <c r="G84"/>
      <c r="H84"/>
      <c r="I84"/>
      <c r="J84">
        <v>5.6400000000000006</v>
      </c>
      <c r="K84" s="4">
        <f>acum_porc!$AA$2- COUNTIF(acumulado_absoluto[[#This Row],[Ene 2024]:[Ago 2024]],"")</f>
        <v>2</v>
      </c>
      <c r="L8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acum_porc!$AA$2- COUNTIF(acumulado_absoluto[[#This Row],[Ene 2024]:[Ago 2024]],"")</f>
        <v>7</v>
      </c>
      <c r="L8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acum_porc!$AA$2- COUNTIF(acumulado_absoluto[[#This Row],[Ene 2024]:[Ago 2024]],"")</f>
        <v>4</v>
      </c>
      <c r="L8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acum_porc!$AA$2- COUNTIF(acumulado_absoluto[[#This Row],[Ene 2024]:[Ago 2024]],"")</f>
        <v>3</v>
      </c>
      <c r="L8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acum_porc!$AA$2- COUNTIF(acumulado_absoluto[[#This Row],[Ene 2024]:[Ago 2024]],"")</f>
        <v>6</v>
      </c>
      <c r="L8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acum_porc!$AA$2- COUNTIF(acumulado_absoluto[[#This Row],[Ene 2024]:[Ago 2024]],"")</f>
        <v>3</v>
      </c>
      <c r="L8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acum_porc!$AA$2- COUNTIF(acumulado_absoluto[[#This Row],[Ene 2024]:[Ago 2024]],"")</f>
        <v>3</v>
      </c>
      <c r="L9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acum_porc!$AA$2- COUNTIF(acumulado_absoluto[[#This Row],[Ene 2024]:[Ago 2024]],"")</f>
        <v>7</v>
      </c>
      <c r="L9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acum_porc!$AA$2- COUNTIF(acumulado_absoluto[[#This Row],[Ene 2024]:[Ago 2024]],"")</f>
        <v>3</v>
      </c>
      <c r="L9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acum_porc!$AA$2- COUNTIF(acumulado_absoluto[[#This Row],[Ene 2024]:[Ago 2024]],"")</f>
        <v>5</v>
      </c>
      <c r="L9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acum_porc!$AA$2- COUNTIF(acumulado_absoluto[[#This Row],[Ene 2024]:[Ago 2024]],"")</f>
        <v>3</v>
      </c>
      <c r="L9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acum_porc!$AA$2- COUNTIF(acumulado_absoluto[[#This Row],[Ene 2024]:[Ago 2024]],"")</f>
        <v>8</v>
      </c>
      <c r="L95"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acum_porc!$AA$2- COUNTIF(acumulado_absoluto[[#This Row],[Ene 2024]:[Ago 2024]],"")</f>
        <v>8</v>
      </c>
      <c r="L96"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5" t="s">
        <v>556</v>
      </c>
      <c r="L23" s="115"/>
      <c r="M23" s="115"/>
      <c r="N23" s="115"/>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92"/>
  <sheetViews>
    <sheetView topLeftCell="A34" zoomScale="175" zoomScaleNormal="175" workbookViewId="0">
      <selection activeCell="B42" sqref="B42"/>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301</v>
      </c>
      <c r="B4" t="s">
        <v>747</v>
      </c>
      <c r="C4" t="s">
        <v>203</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993</v>
      </c>
    </row>
    <row r="15" spans="1:3" x14ac:dyDescent="0.2">
      <c r="A15" t="s">
        <v>160</v>
      </c>
      <c r="B15" t="s">
        <v>332</v>
      </c>
      <c r="C15" t="s">
        <v>758</v>
      </c>
    </row>
    <row r="16" spans="1:3" x14ac:dyDescent="0.2">
      <c r="A16" t="s">
        <v>160</v>
      </c>
      <c r="B16" t="s">
        <v>260</v>
      </c>
      <c r="C16" t="s">
        <v>263</v>
      </c>
    </row>
    <row r="17" spans="1:3" x14ac:dyDescent="0.2">
      <c r="A17" t="s">
        <v>160</v>
      </c>
      <c r="B17" t="s">
        <v>447</v>
      </c>
      <c r="C17" t="s">
        <v>449</v>
      </c>
    </row>
    <row r="18" spans="1:3" x14ac:dyDescent="0.2">
      <c r="A18" t="s">
        <v>160</v>
      </c>
      <c r="B18" t="s">
        <v>630</v>
      </c>
      <c r="C18" t="s">
        <v>633</v>
      </c>
    </row>
    <row r="19" spans="1:3" x14ac:dyDescent="0.2">
      <c r="A19" t="s">
        <v>160</v>
      </c>
      <c r="B19" t="s">
        <v>635</v>
      </c>
      <c r="C19" t="s">
        <v>637</v>
      </c>
    </row>
    <row r="20" spans="1:3" x14ac:dyDescent="0.2">
      <c r="A20" t="s">
        <v>264</v>
      </c>
      <c r="B20" t="s">
        <v>265</v>
      </c>
      <c r="C20" t="s">
        <v>264</v>
      </c>
    </row>
    <row r="21" spans="1:3" x14ac:dyDescent="0.2">
      <c r="A21" t="s">
        <v>1141</v>
      </c>
      <c r="B21" t="s">
        <v>1142</v>
      </c>
      <c r="C21" t="s">
        <v>1128</v>
      </c>
    </row>
    <row r="22" spans="1:3" x14ac:dyDescent="0.2">
      <c r="A22" t="s">
        <v>525</v>
      </c>
      <c r="B22" t="s">
        <v>526</v>
      </c>
      <c r="C22" t="s">
        <v>525</v>
      </c>
    </row>
    <row r="23" spans="1:3" x14ac:dyDescent="0.2">
      <c r="A23" t="s">
        <v>525</v>
      </c>
      <c r="B23" t="s">
        <v>690</v>
      </c>
      <c r="C23" t="s">
        <v>999</v>
      </c>
    </row>
    <row r="24" spans="1:3" x14ac:dyDescent="0.2">
      <c r="A24" t="s">
        <v>1143</v>
      </c>
      <c r="B24" t="s">
        <v>1144</v>
      </c>
      <c r="C24" t="s">
        <v>1136</v>
      </c>
    </row>
    <row r="25" spans="1:3" x14ac:dyDescent="0.2">
      <c r="A25" t="s">
        <v>424</v>
      </c>
      <c r="B25" t="s">
        <v>424</v>
      </c>
      <c r="C25" t="s">
        <v>424</v>
      </c>
    </row>
    <row r="26" spans="1:3" x14ac:dyDescent="0.2">
      <c r="A26" t="s">
        <v>195</v>
      </c>
      <c r="B26" t="s">
        <v>196</v>
      </c>
      <c r="C26" t="s">
        <v>199</v>
      </c>
    </row>
    <row r="27" spans="1:3" x14ac:dyDescent="0.2">
      <c r="A27" t="s">
        <v>120</v>
      </c>
      <c r="B27" t="s">
        <v>121</v>
      </c>
      <c r="C27" t="s">
        <v>123</v>
      </c>
    </row>
    <row r="28" spans="1:3" x14ac:dyDescent="0.2">
      <c r="A28" t="s">
        <v>305</v>
      </c>
      <c r="B28" t="s">
        <v>306</v>
      </c>
      <c r="C28" t="s">
        <v>309</v>
      </c>
    </row>
    <row r="29" spans="1:3" x14ac:dyDescent="0.2">
      <c r="A29" t="s">
        <v>748</v>
      </c>
      <c r="B29" t="s">
        <v>622</v>
      </c>
      <c r="C29" t="s">
        <v>748</v>
      </c>
    </row>
    <row r="30" spans="1:3" x14ac:dyDescent="0.2">
      <c r="A30" t="s">
        <v>130</v>
      </c>
      <c r="B30" t="s">
        <v>86</v>
      </c>
      <c r="C30" t="s">
        <v>462</v>
      </c>
    </row>
    <row r="31" spans="1:3" x14ac:dyDescent="0.2">
      <c r="A31" t="s">
        <v>664</v>
      </c>
      <c r="B31" t="s">
        <v>665</v>
      </c>
      <c r="C31" t="s">
        <v>664</v>
      </c>
    </row>
    <row r="32" spans="1:3" x14ac:dyDescent="0.2">
      <c r="A32" t="s">
        <v>716</v>
      </c>
      <c r="B32" t="s">
        <v>717</v>
      </c>
      <c r="C32" t="s">
        <v>719</v>
      </c>
    </row>
    <row r="33" spans="1:3" x14ac:dyDescent="0.2">
      <c r="A33" t="s">
        <v>342</v>
      </c>
      <c r="B33" t="s">
        <v>211</v>
      </c>
      <c r="C33" t="s">
        <v>213</v>
      </c>
    </row>
    <row r="34" spans="1:3" x14ac:dyDescent="0.2">
      <c r="A34" t="s">
        <v>625</v>
      </c>
      <c r="B34" t="s">
        <v>626</v>
      </c>
      <c r="C34" t="s">
        <v>760</v>
      </c>
    </row>
    <row r="35" spans="1:3" x14ac:dyDescent="0.2">
      <c r="A35" t="s">
        <v>1037</v>
      </c>
      <c r="B35" t="s">
        <v>1038</v>
      </c>
      <c r="C35" t="s">
        <v>1041</v>
      </c>
    </row>
    <row r="36" spans="1:3" x14ac:dyDescent="0.2">
      <c r="A36" t="s">
        <v>138</v>
      </c>
      <c r="B36" t="s">
        <v>139</v>
      </c>
      <c r="C36" t="s">
        <v>451</v>
      </c>
    </row>
    <row r="37" spans="1:3" x14ac:dyDescent="0.2">
      <c r="A37" t="s">
        <v>28</v>
      </c>
      <c r="B37" t="s">
        <v>441</v>
      </c>
      <c r="C37" t="s">
        <v>535</v>
      </c>
    </row>
    <row r="38" spans="1:3" x14ac:dyDescent="0.2">
      <c r="A38" t="s">
        <v>28</v>
      </c>
      <c r="B38" t="s">
        <v>390</v>
      </c>
      <c r="C38" t="s">
        <v>242</v>
      </c>
    </row>
    <row r="39" spans="1:3" x14ac:dyDescent="0.2">
      <c r="A39" t="s">
        <v>28</v>
      </c>
      <c r="B39" t="s">
        <v>751</v>
      </c>
      <c r="C39" t="s">
        <v>753</v>
      </c>
    </row>
    <row r="40" spans="1:3" x14ac:dyDescent="0.2">
      <c r="A40" t="s">
        <v>28</v>
      </c>
      <c r="B40" t="s">
        <v>685</v>
      </c>
      <c r="C40" t="s">
        <v>688</v>
      </c>
    </row>
    <row r="41" spans="1:3" x14ac:dyDescent="0.2">
      <c r="A41" t="s">
        <v>28</v>
      </c>
      <c r="B41" t="s">
        <v>29</v>
      </c>
      <c r="C41" t="s">
        <v>471</v>
      </c>
    </row>
    <row r="42" spans="1:3" x14ac:dyDescent="0.2">
      <c r="A42" t="s">
        <v>28</v>
      </c>
      <c r="B42" t="s">
        <v>1145</v>
      </c>
      <c r="C42" t="s">
        <v>1115</v>
      </c>
    </row>
    <row r="43" spans="1:3" x14ac:dyDescent="0.2">
      <c r="A43" t="s">
        <v>28</v>
      </c>
      <c r="B43" t="s">
        <v>323</v>
      </c>
      <c r="C43" t="s">
        <v>2</v>
      </c>
    </row>
    <row r="44" spans="1:3" x14ac:dyDescent="0.2">
      <c r="A44" t="s">
        <v>28</v>
      </c>
      <c r="B44" t="s">
        <v>185</v>
      </c>
      <c r="C44" t="s">
        <v>187</v>
      </c>
    </row>
    <row r="45" spans="1:3" x14ac:dyDescent="0.2">
      <c r="A45" t="s">
        <v>188</v>
      </c>
      <c r="B45" t="s">
        <v>736</v>
      </c>
      <c r="C45" t="s">
        <v>1092</v>
      </c>
    </row>
    <row r="46" spans="1:3" x14ac:dyDescent="0.2">
      <c r="A46" t="s">
        <v>188</v>
      </c>
      <c r="B46" t="s">
        <v>189</v>
      </c>
      <c r="C46" t="s">
        <v>188</v>
      </c>
    </row>
    <row r="47" spans="1:3" x14ac:dyDescent="0.2">
      <c r="A47" t="s">
        <v>112</v>
      </c>
      <c r="B47" t="s">
        <v>395</v>
      </c>
      <c r="C47" t="s">
        <v>697</v>
      </c>
    </row>
    <row r="48" spans="1:3" x14ac:dyDescent="0.2">
      <c r="A48" t="s">
        <v>282</v>
      </c>
      <c r="B48" t="s">
        <v>703</v>
      </c>
      <c r="C48" t="s">
        <v>706</v>
      </c>
    </row>
    <row r="49" spans="1:3" x14ac:dyDescent="0.2">
      <c r="A49" t="s">
        <v>282</v>
      </c>
      <c r="B49" t="s">
        <v>815</v>
      </c>
      <c r="C49" t="s">
        <v>1123</v>
      </c>
    </row>
    <row r="50" spans="1:3" x14ac:dyDescent="0.2">
      <c r="A50" t="s">
        <v>131</v>
      </c>
      <c r="B50" t="s">
        <v>132</v>
      </c>
      <c r="C50" t="s">
        <v>1025</v>
      </c>
    </row>
    <row r="51" spans="1:3" x14ac:dyDescent="0.2">
      <c r="A51" t="s">
        <v>577</v>
      </c>
      <c r="B51" t="s">
        <v>578</v>
      </c>
      <c r="C51" t="s">
        <v>581</v>
      </c>
    </row>
    <row r="52" spans="1:3" x14ac:dyDescent="0.2">
      <c r="A52" t="s">
        <v>175</v>
      </c>
      <c r="B52" t="s">
        <v>23</v>
      </c>
      <c r="C52" t="s">
        <v>178</v>
      </c>
    </row>
    <row r="53" spans="1:3" x14ac:dyDescent="0.2">
      <c r="A53" t="s">
        <v>385</v>
      </c>
      <c r="B53" t="s">
        <v>379</v>
      </c>
      <c r="C53" t="s">
        <v>1096</v>
      </c>
    </row>
    <row r="54" spans="1:3" x14ac:dyDescent="0.2">
      <c r="A54" t="s">
        <v>1075</v>
      </c>
      <c r="B54" t="s">
        <v>23</v>
      </c>
      <c r="C54" t="s">
        <v>1103</v>
      </c>
    </row>
    <row r="55" spans="1:3" x14ac:dyDescent="0.2">
      <c r="A55" t="s">
        <v>863</v>
      </c>
      <c r="B55" t="s">
        <v>864</v>
      </c>
      <c r="C55" t="s">
        <v>1015</v>
      </c>
    </row>
    <row r="56" spans="1:3" x14ac:dyDescent="0.2">
      <c r="A56" t="s">
        <v>145</v>
      </c>
      <c r="B56" t="s">
        <v>380</v>
      </c>
      <c r="C56" t="s">
        <v>802</v>
      </c>
    </row>
    <row r="57" spans="1:3" x14ac:dyDescent="0.2">
      <c r="A57" t="s">
        <v>382</v>
      </c>
      <c r="B57" t="s">
        <v>182</v>
      </c>
      <c r="C57" t="s">
        <v>331</v>
      </c>
    </row>
    <row r="58" spans="1:3" x14ac:dyDescent="0.2">
      <c r="A58" t="s">
        <v>8</v>
      </c>
      <c r="B58" t="s">
        <v>152</v>
      </c>
      <c r="C58" t="s">
        <v>8</v>
      </c>
    </row>
    <row r="59" spans="1:3" x14ac:dyDescent="0.2">
      <c r="A59" t="s">
        <v>135</v>
      </c>
      <c r="B59" t="s">
        <v>389</v>
      </c>
      <c r="C59" t="s">
        <v>456</v>
      </c>
    </row>
    <row r="60" spans="1:3" x14ac:dyDescent="0.2">
      <c r="A60" t="s">
        <v>67</v>
      </c>
      <c r="B60" t="s">
        <v>68</v>
      </c>
      <c r="C60" t="s">
        <v>67</v>
      </c>
    </row>
    <row r="61" spans="1:3" x14ac:dyDescent="0.2">
      <c r="A61" t="s">
        <v>298</v>
      </c>
      <c r="B61" t="s">
        <v>386</v>
      </c>
      <c r="C61" t="s">
        <v>300</v>
      </c>
    </row>
    <row r="62" spans="1:3" x14ac:dyDescent="0.2">
      <c r="A62" t="s">
        <v>115</v>
      </c>
      <c r="B62" t="s">
        <v>394</v>
      </c>
      <c r="C62" t="s">
        <v>117</v>
      </c>
    </row>
    <row r="63" spans="1:3" x14ac:dyDescent="0.2">
      <c r="A63" t="s">
        <v>115</v>
      </c>
      <c r="B63" t="s">
        <v>391</v>
      </c>
      <c r="C63" t="s">
        <v>194</v>
      </c>
    </row>
    <row r="64" spans="1:3" x14ac:dyDescent="0.2">
      <c r="A64" t="s">
        <v>46</v>
      </c>
      <c r="B64" t="s">
        <v>47</v>
      </c>
      <c r="C64" t="s">
        <v>159</v>
      </c>
    </row>
    <row r="65" spans="1:3" x14ac:dyDescent="0.2">
      <c r="A65" t="s">
        <v>357</v>
      </c>
      <c r="B65" t="s">
        <v>358</v>
      </c>
      <c r="C65" t="s">
        <v>357</v>
      </c>
    </row>
    <row r="66" spans="1:3" x14ac:dyDescent="0.2">
      <c r="A66" t="s">
        <v>605</v>
      </c>
      <c r="B66" t="s">
        <v>606</v>
      </c>
      <c r="C66" t="s">
        <v>608</v>
      </c>
    </row>
    <row r="67" spans="1:3" x14ac:dyDescent="0.2">
      <c r="A67" t="s">
        <v>599</v>
      </c>
      <c r="B67" t="s">
        <v>600</v>
      </c>
      <c r="C67" t="s">
        <v>599</v>
      </c>
    </row>
    <row r="68" spans="1:3" x14ac:dyDescent="0.2">
      <c r="A68" t="s">
        <v>207</v>
      </c>
      <c r="B68" t="s">
        <v>208</v>
      </c>
      <c r="C68" t="s">
        <v>207</v>
      </c>
    </row>
    <row r="69" spans="1:3" x14ac:dyDescent="0.2">
      <c r="A69" t="s">
        <v>531</v>
      </c>
      <c r="B69" t="s">
        <v>293</v>
      </c>
      <c r="C69" t="s">
        <v>531</v>
      </c>
    </row>
    <row r="70" spans="1:3" x14ac:dyDescent="0.2">
      <c r="A70" t="s">
        <v>435</v>
      </c>
      <c r="B70" t="s">
        <v>970</v>
      </c>
      <c r="C70" t="s">
        <v>973</v>
      </c>
    </row>
    <row r="71" spans="1:3" x14ac:dyDescent="0.2">
      <c r="A71" s="47" t="s">
        <v>435</v>
      </c>
      <c r="B71" s="47" t="s">
        <v>436</v>
      </c>
      <c r="C71" s="47" t="s">
        <v>435</v>
      </c>
    </row>
    <row r="72" spans="1:3" x14ac:dyDescent="0.2">
      <c r="A72" t="s">
        <v>435</v>
      </c>
      <c r="B72" t="s">
        <v>1146</v>
      </c>
      <c r="C72" t="s">
        <v>1119</v>
      </c>
    </row>
    <row r="73" spans="1:3" x14ac:dyDescent="0.2">
      <c r="A73" t="s">
        <v>33</v>
      </c>
      <c r="B73" t="s">
        <v>724</v>
      </c>
      <c r="C73" t="s">
        <v>784</v>
      </c>
    </row>
    <row r="74" spans="1:3" x14ac:dyDescent="0.2">
      <c r="A74" t="s">
        <v>772</v>
      </c>
      <c r="B74" t="s">
        <v>773</v>
      </c>
      <c r="C74" t="s">
        <v>775</v>
      </c>
    </row>
    <row r="75" spans="1:3" x14ac:dyDescent="0.2">
      <c r="A75" t="s">
        <v>897</v>
      </c>
      <c r="B75" t="s">
        <v>1008</v>
      </c>
      <c r="C75" t="s">
        <v>935</v>
      </c>
    </row>
    <row r="76" spans="1:3" x14ac:dyDescent="0.2">
      <c r="A76" t="s">
        <v>897</v>
      </c>
      <c r="B76" t="s">
        <v>898</v>
      </c>
      <c r="C76" t="s">
        <v>901</v>
      </c>
    </row>
    <row r="77" spans="1:3" x14ac:dyDescent="0.2">
      <c r="A77" s="47" t="s">
        <v>768</v>
      </c>
      <c r="B77" s="47" t="s">
        <v>1017</v>
      </c>
      <c r="C77" s="47" t="s">
        <v>1098</v>
      </c>
    </row>
    <row r="78" spans="1:3" x14ac:dyDescent="0.2">
      <c r="A78" t="s">
        <v>204</v>
      </c>
      <c r="B78" t="s">
        <v>515</v>
      </c>
      <c r="C78" t="s">
        <v>351</v>
      </c>
    </row>
    <row r="79" spans="1:3" x14ac:dyDescent="0.2">
      <c r="A79" t="s">
        <v>204</v>
      </c>
      <c r="B79" t="s">
        <v>378</v>
      </c>
      <c r="C79" t="s">
        <v>37</v>
      </c>
    </row>
    <row r="80" spans="1:3" x14ac:dyDescent="0.2">
      <c r="A80" t="s">
        <v>204</v>
      </c>
      <c r="B80" t="s">
        <v>286</v>
      </c>
      <c r="C80" t="s">
        <v>289</v>
      </c>
    </row>
    <row r="81" spans="1:3" x14ac:dyDescent="0.2">
      <c r="A81" t="s">
        <v>76</v>
      </c>
      <c r="B81" t="s">
        <v>77</v>
      </c>
      <c r="C81" t="s">
        <v>76</v>
      </c>
    </row>
    <row r="82" spans="1:3" x14ac:dyDescent="0.2">
      <c r="A82" t="s">
        <v>1083</v>
      </c>
      <c r="B82" t="s">
        <v>1084</v>
      </c>
      <c r="C82" t="s">
        <v>1087</v>
      </c>
    </row>
    <row r="83" spans="1:3" x14ac:dyDescent="0.2">
      <c r="A83" t="s">
        <v>72</v>
      </c>
      <c r="B83" t="s">
        <v>124</v>
      </c>
      <c r="C83" t="s">
        <v>542</v>
      </c>
    </row>
    <row r="84" spans="1:3" x14ac:dyDescent="0.2">
      <c r="A84" t="s">
        <v>72</v>
      </c>
      <c r="B84" t="s">
        <v>562</v>
      </c>
      <c r="C84" t="s">
        <v>566</v>
      </c>
    </row>
    <row r="85" spans="1:3" x14ac:dyDescent="0.2">
      <c r="A85" t="s">
        <v>72</v>
      </c>
      <c r="B85" t="s">
        <v>614</v>
      </c>
      <c r="C85" t="s">
        <v>617</v>
      </c>
    </row>
    <row r="86" spans="1:3" x14ac:dyDescent="0.2">
      <c r="A86" t="s">
        <v>72</v>
      </c>
      <c r="B86" t="s">
        <v>552</v>
      </c>
      <c r="C86" t="s">
        <v>700</v>
      </c>
    </row>
    <row r="87" spans="1:3" x14ac:dyDescent="0.2">
      <c r="A87" t="s">
        <v>72</v>
      </c>
      <c r="B87" t="s">
        <v>73</v>
      </c>
      <c r="C87" t="s">
        <v>278</v>
      </c>
    </row>
    <row r="88" spans="1:3" x14ac:dyDescent="0.2">
      <c r="A88" t="s">
        <v>72</v>
      </c>
      <c r="B88" t="s">
        <v>707</v>
      </c>
      <c r="C88" t="s">
        <v>709</v>
      </c>
    </row>
    <row r="89" spans="1:3" x14ac:dyDescent="0.2">
      <c r="A89" t="s">
        <v>388</v>
      </c>
      <c r="B89" t="s">
        <v>148</v>
      </c>
      <c r="C89" t="s">
        <v>151</v>
      </c>
    </row>
    <row r="90" spans="1:3" x14ac:dyDescent="0.2">
      <c r="A90" t="s">
        <v>256</v>
      </c>
      <c r="B90" t="s">
        <v>257</v>
      </c>
      <c r="C90" t="s">
        <v>240</v>
      </c>
    </row>
    <row r="91" spans="1:3" x14ac:dyDescent="0.2">
      <c r="A91" t="s">
        <v>729</v>
      </c>
      <c r="B91" t="s">
        <v>730</v>
      </c>
      <c r="C91" t="s">
        <v>733</v>
      </c>
    </row>
    <row r="92" spans="1:3" x14ac:dyDescent="0.2">
      <c r="A92" t="s">
        <v>521</v>
      </c>
      <c r="B92" t="s">
        <v>522</v>
      </c>
      <c r="C92" t="s">
        <v>523</v>
      </c>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EE43-1824-48A1-82B5-AF218F60A483}">
  <dimension ref="A1:C392"/>
  <sheetViews>
    <sheetView topLeftCell="A322" workbookViewId="0">
      <selection activeCell="G338" sqref="G338"/>
    </sheetView>
  </sheetViews>
  <sheetFormatPr baseColWidth="10" defaultRowHeight="12" x14ac:dyDescent="0.2"/>
  <cols>
    <col min="1" max="1" width="6.85546875" bestFit="1" customWidth="1"/>
    <col min="2" max="2" width="28.5703125" bestFit="1" customWidth="1"/>
    <col min="3" max="3" width="9.7109375" bestFit="1" customWidth="1"/>
  </cols>
  <sheetData>
    <row r="1" spans="1:3" x14ac:dyDescent="0.2">
      <c r="A1" t="s">
        <v>674</v>
      </c>
      <c r="B1" t="s">
        <v>0</v>
      </c>
      <c r="C1" t="s">
        <v>669</v>
      </c>
    </row>
    <row r="2" spans="1:3" x14ac:dyDescent="0.2">
      <c r="A2" t="s">
        <v>1147</v>
      </c>
      <c r="B2" t="s">
        <v>411</v>
      </c>
      <c r="C2">
        <v>102.78</v>
      </c>
    </row>
    <row r="3" spans="1:3" x14ac:dyDescent="0.2">
      <c r="A3" t="s">
        <v>1147</v>
      </c>
      <c r="B3" t="s">
        <v>410</v>
      </c>
      <c r="C3">
        <v>91.2</v>
      </c>
    </row>
    <row r="4" spans="1:3" x14ac:dyDescent="0.2">
      <c r="A4" t="s">
        <v>1147</v>
      </c>
      <c r="B4" t="s">
        <v>239</v>
      </c>
      <c r="C4">
        <v>90.1</v>
      </c>
    </row>
    <row r="5" spans="1:3" x14ac:dyDescent="0.2">
      <c r="A5" t="s">
        <v>1147</v>
      </c>
      <c r="B5" t="s">
        <v>400</v>
      </c>
      <c r="C5">
        <v>89.7</v>
      </c>
    </row>
    <row r="6" spans="1:3" x14ac:dyDescent="0.2">
      <c r="A6" t="s">
        <v>1147</v>
      </c>
      <c r="B6" t="s">
        <v>403</v>
      </c>
      <c r="C6">
        <v>88.5</v>
      </c>
    </row>
    <row r="7" spans="1:3" x14ac:dyDescent="0.2">
      <c r="A7" t="s">
        <v>1147</v>
      </c>
      <c r="B7" t="s">
        <v>219</v>
      </c>
      <c r="C7">
        <v>88.08</v>
      </c>
    </row>
    <row r="8" spans="1:3" x14ac:dyDescent="0.2">
      <c r="A8" t="s">
        <v>1147</v>
      </c>
      <c r="B8" t="s">
        <v>227</v>
      </c>
      <c r="C8">
        <v>87.45</v>
      </c>
    </row>
    <row r="9" spans="1:3" x14ac:dyDescent="0.2">
      <c r="A9" t="s">
        <v>1147</v>
      </c>
      <c r="B9" t="s">
        <v>401</v>
      </c>
      <c r="C9">
        <v>87.1</v>
      </c>
    </row>
    <row r="10" spans="1:3" x14ac:dyDescent="0.2">
      <c r="A10" t="s">
        <v>1147</v>
      </c>
      <c r="B10" t="s">
        <v>218</v>
      </c>
      <c r="C10">
        <v>85.4</v>
      </c>
    </row>
    <row r="11" spans="1:3" x14ac:dyDescent="0.2">
      <c r="A11" t="s">
        <v>1147</v>
      </c>
      <c r="B11" t="s">
        <v>225</v>
      </c>
      <c r="C11">
        <v>85.32</v>
      </c>
    </row>
    <row r="12" spans="1:3" x14ac:dyDescent="0.2">
      <c r="A12" t="s">
        <v>1147</v>
      </c>
      <c r="B12" t="s">
        <v>220</v>
      </c>
      <c r="C12">
        <v>85.2</v>
      </c>
    </row>
    <row r="13" spans="1:3" x14ac:dyDescent="0.2">
      <c r="A13" t="s">
        <v>1147</v>
      </c>
      <c r="B13" t="s">
        <v>409</v>
      </c>
      <c r="C13">
        <v>81.69</v>
      </c>
    </row>
    <row r="14" spans="1:3" x14ac:dyDescent="0.2">
      <c r="A14" t="s">
        <v>1147</v>
      </c>
      <c r="B14" t="s">
        <v>412</v>
      </c>
      <c r="C14">
        <v>81.08</v>
      </c>
    </row>
    <row r="15" spans="1:3" x14ac:dyDescent="0.2">
      <c r="A15" t="s">
        <v>1147</v>
      </c>
      <c r="B15" t="s">
        <v>9</v>
      </c>
      <c r="C15">
        <v>80</v>
      </c>
    </row>
    <row r="16" spans="1:3" x14ac:dyDescent="0.2">
      <c r="A16" t="s">
        <v>1147</v>
      </c>
      <c r="B16" t="s">
        <v>335</v>
      </c>
      <c r="C16">
        <v>79.3</v>
      </c>
    </row>
    <row r="17" spans="1:3" x14ac:dyDescent="0.2">
      <c r="A17" t="s">
        <v>1147</v>
      </c>
      <c r="B17" t="s">
        <v>221</v>
      </c>
      <c r="C17">
        <v>78.28</v>
      </c>
    </row>
    <row r="18" spans="1:3" x14ac:dyDescent="0.2">
      <c r="A18" t="s">
        <v>1147</v>
      </c>
      <c r="B18" t="s">
        <v>215</v>
      </c>
      <c r="C18">
        <v>77.7</v>
      </c>
    </row>
    <row r="19" spans="1:3" x14ac:dyDescent="0.2">
      <c r="A19" t="s">
        <v>1147</v>
      </c>
      <c r="B19" t="s">
        <v>381</v>
      </c>
      <c r="C19">
        <v>76.5</v>
      </c>
    </row>
    <row r="20" spans="1:3" x14ac:dyDescent="0.2">
      <c r="A20" t="s">
        <v>1147</v>
      </c>
      <c r="B20" t="s">
        <v>402</v>
      </c>
      <c r="C20">
        <v>76.040000000000006</v>
      </c>
    </row>
    <row r="21" spans="1:3" x14ac:dyDescent="0.2">
      <c r="A21" t="s">
        <v>1147</v>
      </c>
      <c r="B21" t="s">
        <v>407</v>
      </c>
      <c r="C21">
        <v>75.650000000000006</v>
      </c>
    </row>
    <row r="22" spans="1:3" x14ac:dyDescent="0.2">
      <c r="A22" t="s">
        <v>1147</v>
      </c>
      <c r="B22" t="s">
        <v>226</v>
      </c>
      <c r="C22">
        <v>75.349999999999994</v>
      </c>
    </row>
    <row r="23" spans="1:3" x14ac:dyDescent="0.2">
      <c r="A23" t="s">
        <v>1147</v>
      </c>
      <c r="B23" t="s">
        <v>216</v>
      </c>
      <c r="C23">
        <v>75.150000000000006</v>
      </c>
    </row>
    <row r="24" spans="1:3" x14ac:dyDescent="0.2">
      <c r="A24" t="s">
        <v>1147</v>
      </c>
      <c r="B24" t="s">
        <v>406</v>
      </c>
      <c r="C24">
        <v>75</v>
      </c>
    </row>
    <row r="25" spans="1:3" x14ac:dyDescent="0.2">
      <c r="A25" t="s">
        <v>1147</v>
      </c>
      <c r="B25" t="s">
        <v>399</v>
      </c>
      <c r="C25">
        <v>74.56</v>
      </c>
    </row>
    <row r="26" spans="1:3" x14ac:dyDescent="0.2">
      <c r="A26" t="s">
        <v>1147</v>
      </c>
      <c r="B26" t="s">
        <v>362</v>
      </c>
      <c r="C26">
        <v>74.3</v>
      </c>
    </row>
    <row r="27" spans="1:3" x14ac:dyDescent="0.2">
      <c r="A27" t="s">
        <v>1147</v>
      </c>
      <c r="B27" t="s">
        <v>404</v>
      </c>
      <c r="C27">
        <v>74.28</v>
      </c>
    </row>
    <row r="28" spans="1:3" x14ac:dyDescent="0.2">
      <c r="A28" t="s">
        <v>1147</v>
      </c>
      <c r="B28" t="s">
        <v>222</v>
      </c>
      <c r="C28">
        <v>73.45</v>
      </c>
    </row>
    <row r="29" spans="1:3" x14ac:dyDescent="0.2">
      <c r="A29" t="s">
        <v>1147</v>
      </c>
      <c r="B29" t="s">
        <v>223</v>
      </c>
      <c r="C29">
        <v>73.3</v>
      </c>
    </row>
    <row r="30" spans="1:3" x14ac:dyDescent="0.2">
      <c r="A30" t="s">
        <v>1147</v>
      </c>
      <c r="B30" t="s">
        <v>336</v>
      </c>
      <c r="C30">
        <v>71.7</v>
      </c>
    </row>
    <row r="31" spans="1:3" x14ac:dyDescent="0.2">
      <c r="A31" t="s">
        <v>1147</v>
      </c>
      <c r="B31" t="s">
        <v>408</v>
      </c>
      <c r="C31">
        <v>71.23</v>
      </c>
    </row>
    <row r="32" spans="1:3" x14ac:dyDescent="0.2">
      <c r="A32" t="s">
        <v>1147</v>
      </c>
      <c r="B32" t="s">
        <v>363</v>
      </c>
      <c r="C32">
        <v>70.8</v>
      </c>
    </row>
    <row r="33" spans="1:3" x14ac:dyDescent="0.2">
      <c r="A33" t="s">
        <v>1147</v>
      </c>
      <c r="B33" t="s">
        <v>224</v>
      </c>
      <c r="C33">
        <v>66.56</v>
      </c>
    </row>
    <row r="34" spans="1:3" x14ac:dyDescent="0.2">
      <c r="A34" t="s">
        <v>1147</v>
      </c>
      <c r="B34" t="s">
        <v>405</v>
      </c>
      <c r="C34">
        <v>65.87</v>
      </c>
    </row>
    <row r="35" spans="1:3" x14ac:dyDescent="0.2">
      <c r="A35" t="s">
        <v>1147</v>
      </c>
      <c r="B35" t="s">
        <v>242</v>
      </c>
      <c r="C35">
        <v>60.5</v>
      </c>
    </row>
    <row r="36" spans="1:3" x14ac:dyDescent="0.2">
      <c r="A36" t="s">
        <v>1147</v>
      </c>
      <c r="B36" t="s">
        <v>217</v>
      </c>
      <c r="C36">
        <v>59.5</v>
      </c>
    </row>
    <row r="37" spans="1:3" x14ac:dyDescent="0.2">
      <c r="A37" t="s">
        <v>1148</v>
      </c>
      <c r="B37" t="s">
        <v>338</v>
      </c>
      <c r="C37">
        <v>89.24</v>
      </c>
    </row>
    <row r="38" spans="1:3" x14ac:dyDescent="0.2">
      <c r="A38" t="s">
        <v>1148</v>
      </c>
      <c r="B38" t="s">
        <v>416</v>
      </c>
      <c r="C38">
        <v>87.55</v>
      </c>
    </row>
    <row r="39" spans="1:3" x14ac:dyDescent="0.2">
      <c r="A39" t="s">
        <v>1148</v>
      </c>
      <c r="B39" t="s">
        <v>339</v>
      </c>
      <c r="C39">
        <v>86.2</v>
      </c>
    </row>
    <row r="40" spans="1:3" x14ac:dyDescent="0.2">
      <c r="A40" t="s">
        <v>1148</v>
      </c>
      <c r="B40" t="s">
        <v>412</v>
      </c>
      <c r="C40">
        <v>79.8</v>
      </c>
    </row>
    <row r="41" spans="1:3" x14ac:dyDescent="0.2">
      <c r="A41" t="s">
        <v>1148</v>
      </c>
      <c r="B41" t="s">
        <v>408</v>
      </c>
      <c r="C41">
        <v>75.73</v>
      </c>
    </row>
    <row r="42" spans="1:3" x14ac:dyDescent="0.2">
      <c r="A42" t="s">
        <v>1148</v>
      </c>
      <c r="B42" t="s">
        <v>401</v>
      </c>
      <c r="C42">
        <v>75</v>
      </c>
    </row>
    <row r="43" spans="1:3" x14ac:dyDescent="0.2">
      <c r="A43" t="s">
        <v>1148</v>
      </c>
      <c r="B43" t="s">
        <v>222</v>
      </c>
      <c r="C43">
        <v>73.88</v>
      </c>
    </row>
    <row r="44" spans="1:3" x14ac:dyDescent="0.2">
      <c r="A44" t="s">
        <v>1148</v>
      </c>
      <c r="B44" t="s">
        <v>224</v>
      </c>
      <c r="C44">
        <v>72.36</v>
      </c>
    </row>
    <row r="45" spans="1:3" x14ac:dyDescent="0.2">
      <c r="A45" t="s">
        <v>1148</v>
      </c>
      <c r="B45" t="s">
        <v>225</v>
      </c>
      <c r="C45">
        <v>72.25</v>
      </c>
    </row>
    <row r="46" spans="1:3" x14ac:dyDescent="0.2">
      <c r="A46" t="s">
        <v>1148</v>
      </c>
      <c r="B46" t="s">
        <v>413</v>
      </c>
      <c r="C46">
        <v>72.2</v>
      </c>
    </row>
    <row r="47" spans="1:3" x14ac:dyDescent="0.2">
      <c r="A47" t="s">
        <v>1148</v>
      </c>
      <c r="B47" t="s">
        <v>364</v>
      </c>
      <c r="C47">
        <v>71.010000000000005</v>
      </c>
    </row>
    <row r="48" spans="1:3" x14ac:dyDescent="0.2">
      <c r="A48" t="s">
        <v>1148</v>
      </c>
      <c r="B48" t="s">
        <v>407</v>
      </c>
      <c r="C48">
        <v>70.22</v>
      </c>
    </row>
    <row r="49" spans="1:3" x14ac:dyDescent="0.2">
      <c r="A49" t="s">
        <v>1148</v>
      </c>
      <c r="B49" t="s">
        <v>415</v>
      </c>
      <c r="C49">
        <v>70.099999999999994</v>
      </c>
    </row>
    <row r="50" spans="1:3" x14ac:dyDescent="0.2">
      <c r="A50" t="s">
        <v>1148</v>
      </c>
      <c r="B50" t="s">
        <v>217</v>
      </c>
      <c r="C50">
        <v>69.959999999999994</v>
      </c>
    </row>
    <row r="51" spans="1:3" x14ac:dyDescent="0.2">
      <c r="A51" t="s">
        <v>1148</v>
      </c>
      <c r="B51" t="s">
        <v>362</v>
      </c>
      <c r="C51">
        <v>69.849999999999994</v>
      </c>
    </row>
    <row r="52" spans="1:3" x14ac:dyDescent="0.2">
      <c r="A52" t="s">
        <v>1148</v>
      </c>
      <c r="B52" t="s">
        <v>219</v>
      </c>
      <c r="C52">
        <v>69.69</v>
      </c>
    </row>
    <row r="53" spans="1:3" x14ac:dyDescent="0.2">
      <c r="A53" t="s">
        <v>1148</v>
      </c>
      <c r="B53" t="s">
        <v>409</v>
      </c>
      <c r="C53">
        <v>69.62</v>
      </c>
    </row>
    <row r="54" spans="1:3" x14ac:dyDescent="0.2">
      <c r="A54" t="s">
        <v>1148</v>
      </c>
      <c r="B54" t="s">
        <v>336</v>
      </c>
      <c r="C54">
        <v>69.2</v>
      </c>
    </row>
    <row r="55" spans="1:3" x14ac:dyDescent="0.2">
      <c r="A55" t="s">
        <v>1148</v>
      </c>
      <c r="B55" t="s">
        <v>215</v>
      </c>
      <c r="C55">
        <v>68.95</v>
      </c>
    </row>
    <row r="56" spans="1:3" x14ac:dyDescent="0.2">
      <c r="A56" t="s">
        <v>1148</v>
      </c>
      <c r="B56" t="s">
        <v>335</v>
      </c>
      <c r="C56">
        <v>68.099999999999994</v>
      </c>
    </row>
    <row r="57" spans="1:3" x14ac:dyDescent="0.2">
      <c r="A57" t="s">
        <v>1148</v>
      </c>
      <c r="B57" t="s">
        <v>9</v>
      </c>
      <c r="C57">
        <v>68</v>
      </c>
    </row>
    <row r="58" spans="1:3" x14ac:dyDescent="0.2">
      <c r="A58" t="s">
        <v>1148</v>
      </c>
      <c r="B58" t="s">
        <v>543</v>
      </c>
      <c r="C58">
        <v>67.2</v>
      </c>
    </row>
    <row r="59" spans="1:3" x14ac:dyDescent="0.2">
      <c r="A59" t="s">
        <v>1148</v>
      </c>
      <c r="B59" t="s">
        <v>399</v>
      </c>
      <c r="C59">
        <v>65.86</v>
      </c>
    </row>
    <row r="60" spans="1:3" x14ac:dyDescent="0.2">
      <c r="A60" t="s">
        <v>1148</v>
      </c>
      <c r="B60" t="s">
        <v>363</v>
      </c>
      <c r="C60">
        <v>65.400000000000006</v>
      </c>
    </row>
    <row r="61" spans="1:3" x14ac:dyDescent="0.2">
      <c r="A61" t="s">
        <v>1148</v>
      </c>
      <c r="B61" t="s">
        <v>328</v>
      </c>
      <c r="C61">
        <v>65.2</v>
      </c>
    </row>
    <row r="62" spans="1:3" x14ac:dyDescent="0.2">
      <c r="A62" t="s">
        <v>1148</v>
      </c>
      <c r="B62" t="s">
        <v>406</v>
      </c>
      <c r="C62">
        <v>65</v>
      </c>
    </row>
    <row r="63" spans="1:3" x14ac:dyDescent="0.2">
      <c r="A63" t="s">
        <v>1148</v>
      </c>
      <c r="B63" t="s">
        <v>218</v>
      </c>
      <c r="C63">
        <v>64.459999999999994</v>
      </c>
    </row>
    <row r="64" spans="1:3" x14ac:dyDescent="0.2">
      <c r="A64" t="s">
        <v>1148</v>
      </c>
      <c r="B64" t="s">
        <v>414</v>
      </c>
      <c r="C64">
        <v>64.349999999999994</v>
      </c>
    </row>
    <row r="65" spans="1:3" x14ac:dyDescent="0.2">
      <c r="A65" t="s">
        <v>1148</v>
      </c>
      <c r="B65" t="s">
        <v>226</v>
      </c>
      <c r="C65">
        <v>62.5</v>
      </c>
    </row>
    <row r="66" spans="1:3" x14ac:dyDescent="0.2">
      <c r="A66" t="s">
        <v>1148</v>
      </c>
      <c r="B66" t="s">
        <v>340</v>
      </c>
      <c r="C66">
        <v>61.53</v>
      </c>
    </row>
    <row r="67" spans="1:3" x14ac:dyDescent="0.2">
      <c r="A67" t="s">
        <v>1148</v>
      </c>
      <c r="B67" t="s">
        <v>292</v>
      </c>
      <c r="C67">
        <v>60.1</v>
      </c>
    </row>
    <row r="68" spans="1:3" x14ac:dyDescent="0.2">
      <c r="A68" t="s">
        <v>1148</v>
      </c>
      <c r="B68" t="s">
        <v>337</v>
      </c>
      <c r="C68">
        <v>60.06</v>
      </c>
    </row>
    <row r="69" spans="1:3" x14ac:dyDescent="0.2">
      <c r="A69" t="s">
        <v>1148</v>
      </c>
      <c r="B69" t="s">
        <v>381</v>
      </c>
      <c r="C69">
        <v>60.02</v>
      </c>
    </row>
    <row r="70" spans="1:3" x14ac:dyDescent="0.2">
      <c r="A70" t="s">
        <v>1148</v>
      </c>
      <c r="B70" t="s">
        <v>221</v>
      </c>
      <c r="C70">
        <v>59.3</v>
      </c>
    </row>
    <row r="71" spans="1:3" x14ac:dyDescent="0.2">
      <c r="A71" t="s">
        <v>1148</v>
      </c>
      <c r="B71" t="s">
        <v>404</v>
      </c>
      <c r="C71">
        <v>53.54</v>
      </c>
    </row>
    <row r="72" spans="1:3" x14ac:dyDescent="0.2">
      <c r="A72" t="s">
        <v>1149</v>
      </c>
      <c r="B72" t="s">
        <v>473</v>
      </c>
      <c r="C72">
        <v>65.3</v>
      </c>
    </row>
    <row r="73" spans="1:3" x14ac:dyDescent="0.2">
      <c r="A73" t="s">
        <v>1149</v>
      </c>
      <c r="B73" t="s">
        <v>412</v>
      </c>
      <c r="C73">
        <v>61.68</v>
      </c>
    </row>
    <row r="74" spans="1:3" x14ac:dyDescent="0.2">
      <c r="A74" t="s">
        <v>1149</v>
      </c>
      <c r="B74" t="s">
        <v>409</v>
      </c>
      <c r="C74">
        <v>55.69</v>
      </c>
    </row>
    <row r="75" spans="1:3" x14ac:dyDescent="0.2">
      <c r="A75" t="s">
        <v>1149</v>
      </c>
      <c r="B75" t="s">
        <v>401</v>
      </c>
      <c r="C75">
        <v>55</v>
      </c>
    </row>
    <row r="76" spans="1:3" x14ac:dyDescent="0.2">
      <c r="A76" t="s">
        <v>1149</v>
      </c>
      <c r="B76" t="s">
        <v>407</v>
      </c>
      <c r="C76">
        <v>47.72</v>
      </c>
    </row>
    <row r="77" spans="1:3" x14ac:dyDescent="0.2">
      <c r="A77" t="s">
        <v>1149</v>
      </c>
      <c r="B77" t="s">
        <v>364</v>
      </c>
      <c r="C77">
        <v>47.67</v>
      </c>
    </row>
    <row r="78" spans="1:3" x14ac:dyDescent="0.2">
      <c r="A78" t="s">
        <v>1149</v>
      </c>
      <c r="B78" t="s">
        <v>225</v>
      </c>
      <c r="C78">
        <v>46.23</v>
      </c>
    </row>
    <row r="79" spans="1:3" x14ac:dyDescent="0.2">
      <c r="A79" t="s">
        <v>1149</v>
      </c>
      <c r="B79" t="s">
        <v>217</v>
      </c>
      <c r="C79">
        <v>45.01</v>
      </c>
    </row>
    <row r="80" spans="1:3" x14ac:dyDescent="0.2">
      <c r="A80" t="s">
        <v>1149</v>
      </c>
      <c r="B80" t="s">
        <v>9</v>
      </c>
      <c r="C80">
        <v>45</v>
      </c>
    </row>
    <row r="81" spans="1:3" x14ac:dyDescent="0.2">
      <c r="A81" t="s">
        <v>1149</v>
      </c>
      <c r="B81" t="s">
        <v>219</v>
      </c>
      <c r="C81">
        <v>36.659999999999997</v>
      </c>
    </row>
    <row r="82" spans="1:3" x14ac:dyDescent="0.2">
      <c r="A82" t="s">
        <v>1149</v>
      </c>
      <c r="B82" t="s">
        <v>362</v>
      </c>
      <c r="C82">
        <v>35.6</v>
      </c>
    </row>
    <row r="83" spans="1:3" x14ac:dyDescent="0.2">
      <c r="A83" t="s">
        <v>1149</v>
      </c>
      <c r="B83" t="s">
        <v>475</v>
      </c>
      <c r="C83">
        <v>35.36</v>
      </c>
    </row>
    <row r="84" spans="1:3" x14ac:dyDescent="0.2">
      <c r="A84" t="s">
        <v>1149</v>
      </c>
      <c r="B84" t="s">
        <v>414</v>
      </c>
      <c r="C84">
        <v>35.33</v>
      </c>
    </row>
    <row r="85" spans="1:3" x14ac:dyDescent="0.2">
      <c r="A85" t="s">
        <v>1149</v>
      </c>
      <c r="B85" t="s">
        <v>408</v>
      </c>
      <c r="C85">
        <v>33.31</v>
      </c>
    </row>
    <row r="86" spans="1:3" x14ac:dyDescent="0.2">
      <c r="A86" t="s">
        <v>1149</v>
      </c>
      <c r="B86" t="s">
        <v>472</v>
      </c>
      <c r="C86">
        <v>32.57</v>
      </c>
    </row>
    <row r="87" spans="1:3" x14ac:dyDescent="0.2">
      <c r="A87" t="s">
        <v>1149</v>
      </c>
      <c r="B87" t="s">
        <v>406</v>
      </c>
      <c r="C87">
        <v>32</v>
      </c>
    </row>
    <row r="88" spans="1:3" x14ac:dyDescent="0.2">
      <c r="A88" t="s">
        <v>1149</v>
      </c>
      <c r="B88" t="s">
        <v>222</v>
      </c>
      <c r="C88">
        <v>30.5</v>
      </c>
    </row>
    <row r="89" spans="1:3" x14ac:dyDescent="0.2">
      <c r="A89" t="s">
        <v>1149</v>
      </c>
      <c r="B89" t="s">
        <v>363</v>
      </c>
      <c r="C89">
        <v>29.8</v>
      </c>
    </row>
    <row r="90" spans="1:3" x14ac:dyDescent="0.2">
      <c r="A90" t="s">
        <v>1149</v>
      </c>
      <c r="B90" t="s">
        <v>292</v>
      </c>
      <c r="C90">
        <v>29.4</v>
      </c>
    </row>
    <row r="91" spans="1:3" x14ac:dyDescent="0.2">
      <c r="A91" t="s">
        <v>1149</v>
      </c>
      <c r="B91" t="s">
        <v>543</v>
      </c>
      <c r="C91">
        <v>27.24</v>
      </c>
    </row>
    <row r="92" spans="1:3" x14ac:dyDescent="0.2">
      <c r="A92" t="s">
        <v>1149</v>
      </c>
      <c r="B92" t="s">
        <v>218</v>
      </c>
      <c r="C92">
        <v>26.5</v>
      </c>
    </row>
    <row r="93" spans="1:3" x14ac:dyDescent="0.2">
      <c r="A93" t="s">
        <v>1149</v>
      </c>
      <c r="B93" t="s">
        <v>226</v>
      </c>
      <c r="C93">
        <v>24.8</v>
      </c>
    </row>
    <row r="94" spans="1:3" x14ac:dyDescent="0.2">
      <c r="A94" t="s">
        <v>1149</v>
      </c>
      <c r="B94" t="s">
        <v>336</v>
      </c>
      <c r="C94">
        <v>23.7</v>
      </c>
    </row>
    <row r="95" spans="1:3" x14ac:dyDescent="0.2">
      <c r="A95" t="s">
        <v>1149</v>
      </c>
      <c r="B95" t="s">
        <v>221</v>
      </c>
      <c r="C95">
        <v>23.49</v>
      </c>
    </row>
    <row r="96" spans="1:3" x14ac:dyDescent="0.2">
      <c r="A96" t="s">
        <v>1149</v>
      </c>
      <c r="B96" t="s">
        <v>474</v>
      </c>
      <c r="C96">
        <v>20.399999999999999</v>
      </c>
    </row>
    <row r="97" spans="1:3" x14ac:dyDescent="0.2">
      <c r="A97" t="s">
        <v>1150</v>
      </c>
      <c r="B97" t="s">
        <v>412</v>
      </c>
      <c r="C97">
        <v>88.9</v>
      </c>
    </row>
    <row r="98" spans="1:3" x14ac:dyDescent="0.2">
      <c r="A98" t="s">
        <v>1150</v>
      </c>
      <c r="B98" t="s">
        <v>401</v>
      </c>
      <c r="C98">
        <v>47.45</v>
      </c>
    </row>
    <row r="99" spans="1:3" x14ac:dyDescent="0.2">
      <c r="A99" t="s">
        <v>1150</v>
      </c>
      <c r="B99" t="s">
        <v>215</v>
      </c>
      <c r="C99">
        <v>44.5</v>
      </c>
    </row>
    <row r="100" spans="1:3" x14ac:dyDescent="0.2">
      <c r="A100" t="s">
        <v>1150</v>
      </c>
      <c r="B100" t="s">
        <v>403</v>
      </c>
      <c r="C100">
        <v>40.25</v>
      </c>
    </row>
    <row r="101" spans="1:3" x14ac:dyDescent="0.2">
      <c r="A101" t="s">
        <v>1150</v>
      </c>
      <c r="B101" t="s">
        <v>9</v>
      </c>
      <c r="C101">
        <v>40</v>
      </c>
    </row>
    <row r="102" spans="1:3" x14ac:dyDescent="0.2">
      <c r="A102" t="s">
        <v>1150</v>
      </c>
      <c r="B102" t="s">
        <v>409</v>
      </c>
      <c r="C102">
        <v>37.549999999999997</v>
      </c>
    </row>
    <row r="103" spans="1:3" x14ac:dyDescent="0.2">
      <c r="A103" t="s">
        <v>1150</v>
      </c>
      <c r="B103" t="s">
        <v>337</v>
      </c>
      <c r="C103">
        <v>33.340000000000003</v>
      </c>
    </row>
    <row r="104" spans="1:3" x14ac:dyDescent="0.2">
      <c r="A104" t="s">
        <v>1150</v>
      </c>
      <c r="B104" t="s">
        <v>217</v>
      </c>
      <c r="C104">
        <v>33.33</v>
      </c>
    </row>
    <row r="105" spans="1:3" x14ac:dyDescent="0.2">
      <c r="A105" t="s">
        <v>1150</v>
      </c>
      <c r="B105" t="s">
        <v>406</v>
      </c>
      <c r="C105">
        <v>28.5</v>
      </c>
    </row>
    <row r="106" spans="1:3" x14ac:dyDescent="0.2">
      <c r="A106" t="s">
        <v>1150</v>
      </c>
      <c r="B106" t="s">
        <v>328</v>
      </c>
      <c r="C106">
        <v>27.6</v>
      </c>
    </row>
    <row r="107" spans="1:3" x14ac:dyDescent="0.2">
      <c r="A107" t="s">
        <v>1150</v>
      </c>
      <c r="B107" t="s">
        <v>218</v>
      </c>
      <c r="C107">
        <v>25.9</v>
      </c>
    </row>
    <row r="108" spans="1:3" x14ac:dyDescent="0.2">
      <c r="A108" t="s">
        <v>1150</v>
      </c>
      <c r="B108" t="s">
        <v>364</v>
      </c>
      <c r="C108">
        <v>24.71</v>
      </c>
    </row>
    <row r="109" spans="1:3" x14ac:dyDescent="0.2">
      <c r="A109" t="s">
        <v>1150</v>
      </c>
      <c r="B109" t="s">
        <v>408</v>
      </c>
      <c r="C109">
        <v>24.23</v>
      </c>
    </row>
    <row r="110" spans="1:3" x14ac:dyDescent="0.2">
      <c r="A110" t="s">
        <v>1150</v>
      </c>
      <c r="B110" t="s">
        <v>362</v>
      </c>
      <c r="C110">
        <v>24.2</v>
      </c>
    </row>
    <row r="111" spans="1:3" x14ac:dyDescent="0.2">
      <c r="A111" t="s">
        <v>1150</v>
      </c>
      <c r="B111" t="s">
        <v>292</v>
      </c>
      <c r="C111">
        <v>23.9</v>
      </c>
    </row>
    <row r="112" spans="1:3" x14ac:dyDescent="0.2">
      <c r="A112" t="s">
        <v>1150</v>
      </c>
      <c r="B112" t="s">
        <v>411</v>
      </c>
      <c r="C112">
        <v>23.89</v>
      </c>
    </row>
    <row r="113" spans="1:3" x14ac:dyDescent="0.2">
      <c r="A113" t="s">
        <v>1150</v>
      </c>
      <c r="B113" t="s">
        <v>414</v>
      </c>
      <c r="C113">
        <v>23.51</v>
      </c>
    </row>
    <row r="114" spans="1:3" x14ac:dyDescent="0.2">
      <c r="A114" t="s">
        <v>1150</v>
      </c>
      <c r="B114" t="s">
        <v>544</v>
      </c>
      <c r="C114">
        <v>23.5</v>
      </c>
    </row>
    <row r="115" spans="1:3" x14ac:dyDescent="0.2">
      <c r="A115" t="s">
        <v>1150</v>
      </c>
      <c r="B115" t="s">
        <v>225</v>
      </c>
      <c r="C115">
        <v>23.32</v>
      </c>
    </row>
    <row r="116" spans="1:3" x14ac:dyDescent="0.2">
      <c r="A116" t="s">
        <v>1150</v>
      </c>
      <c r="B116" t="s">
        <v>363</v>
      </c>
      <c r="C116">
        <v>22.8</v>
      </c>
    </row>
    <row r="117" spans="1:3" x14ac:dyDescent="0.2">
      <c r="A117" t="s">
        <v>1150</v>
      </c>
      <c r="B117" t="s">
        <v>226</v>
      </c>
      <c r="C117">
        <v>22.51</v>
      </c>
    </row>
    <row r="118" spans="1:3" x14ac:dyDescent="0.2">
      <c r="A118" t="s">
        <v>1150</v>
      </c>
      <c r="B118" t="s">
        <v>474</v>
      </c>
      <c r="C118">
        <v>22.5</v>
      </c>
    </row>
    <row r="119" spans="1:3" x14ac:dyDescent="0.2">
      <c r="A119" t="s">
        <v>1150</v>
      </c>
      <c r="B119" t="s">
        <v>242</v>
      </c>
      <c r="C119">
        <v>22</v>
      </c>
    </row>
    <row r="120" spans="1:3" x14ac:dyDescent="0.2">
      <c r="A120" t="s">
        <v>1150</v>
      </c>
      <c r="B120" t="s">
        <v>336</v>
      </c>
      <c r="C120">
        <v>20.5</v>
      </c>
    </row>
    <row r="121" spans="1:3" x14ac:dyDescent="0.2">
      <c r="A121" t="s">
        <v>1150</v>
      </c>
      <c r="B121" t="s">
        <v>542</v>
      </c>
      <c r="C121">
        <v>19.91</v>
      </c>
    </row>
    <row r="122" spans="1:3" x14ac:dyDescent="0.2">
      <c r="A122" t="s">
        <v>1150</v>
      </c>
      <c r="B122" t="s">
        <v>221</v>
      </c>
      <c r="C122">
        <v>19.5</v>
      </c>
    </row>
    <row r="123" spans="1:3" x14ac:dyDescent="0.2">
      <c r="A123" t="s">
        <v>1150</v>
      </c>
      <c r="B123" t="s">
        <v>222</v>
      </c>
      <c r="C123">
        <v>18.5</v>
      </c>
    </row>
    <row r="124" spans="1:3" x14ac:dyDescent="0.2">
      <c r="A124" t="s">
        <v>1150</v>
      </c>
      <c r="B124" t="s">
        <v>541</v>
      </c>
      <c r="C124">
        <v>17.329999999999998</v>
      </c>
    </row>
    <row r="125" spans="1:3" x14ac:dyDescent="0.2">
      <c r="A125" t="s">
        <v>1150</v>
      </c>
      <c r="B125" t="s">
        <v>543</v>
      </c>
      <c r="C125">
        <v>8.27</v>
      </c>
    </row>
    <row r="126" spans="1:3" x14ac:dyDescent="0.2">
      <c r="A126" t="s">
        <v>1151</v>
      </c>
      <c r="B126" t="s">
        <v>328</v>
      </c>
      <c r="C126">
        <v>30</v>
      </c>
    </row>
    <row r="127" spans="1:3" x14ac:dyDescent="0.2">
      <c r="A127" t="s">
        <v>1151</v>
      </c>
      <c r="B127" t="s">
        <v>226</v>
      </c>
      <c r="C127">
        <v>24.39</v>
      </c>
    </row>
    <row r="128" spans="1:3" x14ac:dyDescent="0.2">
      <c r="A128" t="s">
        <v>1151</v>
      </c>
      <c r="B128" t="s">
        <v>221</v>
      </c>
      <c r="C128">
        <v>24.93</v>
      </c>
    </row>
    <row r="129" spans="1:3" x14ac:dyDescent="0.2">
      <c r="A129" t="s">
        <v>1151</v>
      </c>
      <c r="B129" t="s">
        <v>9</v>
      </c>
      <c r="C129">
        <v>35</v>
      </c>
    </row>
    <row r="130" spans="1:3" x14ac:dyDescent="0.2">
      <c r="A130" t="s">
        <v>1151</v>
      </c>
      <c r="B130" t="s">
        <v>413</v>
      </c>
      <c r="C130">
        <v>33.340000000000003</v>
      </c>
    </row>
    <row r="131" spans="1:3" x14ac:dyDescent="0.2">
      <c r="A131" t="s">
        <v>1151</v>
      </c>
      <c r="B131" t="s">
        <v>215</v>
      </c>
      <c r="C131">
        <v>41.1</v>
      </c>
    </row>
    <row r="132" spans="1:3" x14ac:dyDescent="0.2">
      <c r="A132" t="s">
        <v>1151</v>
      </c>
      <c r="B132" t="s">
        <v>335</v>
      </c>
      <c r="C132">
        <v>34.21</v>
      </c>
    </row>
    <row r="133" spans="1:3" x14ac:dyDescent="0.2">
      <c r="A133" t="s">
        <v>1151</v>
      </c>
      <c r="B133" t="s">
        <v>652</v>
      </c>
      <c r="C133">
        <v>34.47</v>
      </c>
    </row>
    <row r="134" spans="1:3" x14ac:dyDescent="0.2">
      <c r="A134" t="s">
        <v>1151</v>
      </c>
      <c r="B134" t="s">
        <v>651</v>
      </c>
      <c r="C134">
        <v>13.1</v>
      </c>
    </row>
    <row r="135" spans="1:3" x14ac:dyDescent="0.2">
      <c r="A135" t="s">
        <v>1151</v>
      </c>
      <c r="B135" t="s">
        <v>541</v>
      </c>
      <c r="C135">
        <v>35.33</v>
      </c>
    </row>
    <row r="136" spans="1:3" x14ac:dyDescent="0.2">
      <c r="A136" t="s">
        <v>1151</v>
      </c>
      <c r="B136" t="s">
        <v>225</v>
      </c>
      <c r="C136">
        <v>11.11</v>
      </c>
    </row>
    <row r="137" spans="1:3" x14ac:dyDescent="0.2">
      <c r="A137" t="s">
        <v>1151</v>
      </c>
      <c r="B137" t="s">
        <v>217</v>
      </c>
      <c r="C137">
        <v>33.33</v>
      </c>
    </row>
    <row r="138" spans="1:3" x14ac:dyDescent="0.2">
      <c r="A138" t="s">
        <v>1151</v>
      </c>
      <c r="B138" t="s">
        <v>337</v>
      </c>
      <c r="C138">
        <v>35.53</v>
      </c>
    </row>
    <row r="139" spans="1:3" x14ac:dyDescent="0.2">
      <c r="A139" t="s">
        <v>1151</v>
      </c>
      <c r="B139" t="s">
        <v>788</v>
      </c>
      <c r="C139">
        <v>23.7</v>
      </c>
    </row>
    <row r="140" spans="1:3" x14ac:dyDescent="0.2">
      <c r="A140" t="s">
        <v>1151</v>
      </c>
      <c r="B140" t="s">
        <v>409</v>
      </c>
      <c r="C140">
        <v>29.69</v>
      </c>
    </row>
    <row r="141" spans="1:3" x14ac:dyDescent="0.2">
      <c r="A141" t="s">
        <v>1151</v>
      </c>
      <c r="B141" t="s">
        <v>362</v>
      </c>
      <c r="C141">
        <v>28.3</v>
      </c>
    </row>
    <row r="142" spans="1:3" x14ac:dyDescent="0.2">
      <c r="A142" t="s">
        <v>1151</v>
      </c>
      <c r="B142" t="s">
        <v>650</v>
      </c>
      <c r="C142">
        <v>35.6</v>
      </c>
    </row>
    <row r="143" spans="1:3" x14ac:dyDescent="0.2">
      <c r="A143" t="s">
        <v>1151</v>
      </c>
      <c r="B143" t="s">
        <v>219</v>
      </c>
      <c r="C143">
        <v>33.35</v>
      </c>
    </row>
    <row r="144" spans="1:3" x14ac:dyDescent="0.2">
      <c r="A144" t="s">
        <v>1151</v>
      </c>
      <c r="B144" t="s">
        <v>474</v>
      </c>
      <c r="C144">
        <v>35.1</v>
      </c>
    </row>
    <row r="145" spans="1:3" x14ac:dyDescent="0.2">
      <c r="A145" t="s">
        <v>1151</v>
      </c>
      <c r="B145" t="s">
        <v>242</v>
      </c>
      <c r="C145">
        <v>7.5</v>
      </c>
    </row>
    <row r="146" spans="1:3" x14ac:dyDescent="0.2">
      <c r="A146" t="s">
        <v>1151</v>
      </c>
      <c r="B146" t="s">
        <v>406</v>
      </c>
      <c r="C146">
        <v>25</v>
      </c>
    </row>
    <row r="147" spans="1:3" x14ac:dyDescent="0.2">
      <c r="A147" t="s">
        <v>1151</v>
      </c>
      <c r="B147" t="s">
        <v>336</v>
      </c>
      <c r="C147">
        <v>30.01</v>
      </c>
    </row>
    <row r="148" spans="1:3" x14ac:dyDescent="0.2">
      <c r="A148" t="s">
        <v>1151</v>
      </c>
      <c r="B148" t="s">
        <v>411</v>
      </c>
      <c r="C148">
        <v>22.02</v>
      </c>
    </row>
    <row r="149" spans="1:3" x14ac:dyDescent="0.2">
      <c r="A149" t="s">
        <v>1151</v>
      </c>
      <c r="B149" t="s">
        <v>218</v>
      </c>
      <c r="C149">
        <v>15.5</v>
      </c>
    </row>
    <row r="150" spans="1:3" x14ac:dyDescent="0.2">
      <c r="A150" t="s">
        <v>1151</v>
      </c>
      <c r="B150" t="s">
        <v>645</v>
      </c>
      <c r="C150">
        <v>38.14</v>
      </c>
    </row>
    <row r="151" spans="1:3" x14ac:dyDescent="0.2">
      <c r="A151" t="s">
        <v>1151</v>
      </c>
      <c r="B151" t="s">
        <v>222</v>
      </c>
      <c r="C151">
        <v>26.15</v>
      </c>
    </row>
    <row r="152" spans="1:3" x14ac:dyDescent="0.2">
      <c r="A152" t="s">
        <v>1151</v>
      </c>
      <c r="B152" t="s">
        <v>412</v>
      </c>
      <c r="C152">
        <v>48.6</v>
      </c>
    </row>
    <row r="153" spans="1:3" x14ac:dyDescent="0.2">
      <c r="A153" t="s">
        <v>1151</v>
      </c>
      <c r="B153" t="s">
        <v>404</v>
      </c>
      <c r="C153">
        <v>30.5</v>
      </c>
    </row>
    <row r="154" spans="1:3" x14ac:dyDescent="0.2">
      <c r="A154" t="s">
        <v>1151</v>
      </c>
      <c r="B154" t="s">
        <v>401</v>
      </c>
      <c r="C154">
        <v>8.8800000000000008</v>
      </c>
    </row>
    <row r="155" spans="1:3" x14ac:dyDescent="0.2">
      <c r="A155" t="s">
        <v>1151</v>
      </c>
      <c r="B155" t="s">
        <v>408</v>
      </c>
      <c r="C155">
        <v>29.6</v>
      </c>
    </row>
    <row r="156" spans="1:3" x14ac:dyDescent="0.2">
      <c r="A156" t="s">
        <v>1151</v>
      </c>
      <c r="B156" t="s">
        <v>414</v>
      </c>
      <c r="C156">
        <v>28.1</v>
      </c>
    </row>
    <row r="157" spans="1:3" x14ac:dyDescent="0.2">
      <c r="A157" t="s">
        <v>1151</v>
      </c>
      <c r="B157" t="s">
        <v>403</v>
      </c>
      <c r="C157">
        <v>30.7</v>
      </c>
    </row>
    <row r="158" spans="1:3" x14ac:dyDescent="0.2">
      <c r="A158" t="s">
        <v>1151</v>
      </c>
      <c r="B158" t="s">
        <v>400</v>
      </c>
      <c r="C158">
        <v>37.799999999999997</v>
      </c>
    </row>
    <row r="159" spans="1:3" x14ac:dyDescent="0.2">
      <c r="A159" t="s">
        <v>1151</v>
      </c>
      <c r="B159" t="s">
        <v>364</v>
      </c>
      <c r="C159">
        <v>31.88</v>
      </c>
    </row>
    <row r="160" spans="1:3" x14ac:dyDescent="0.2">
      <c r="A160" t="s">
        <v>1151</v>
      </c>
      <c r="B160" t="s">
        <v>647</v>
      </c>
      <c r="C160">
        <v>33.36</v>
      </c>
    </row>
    <row r="161" spans="1:3" x14ac:dyDescent="0.2">
      <c r="A161" t="s">
        <v>1151</v>
      </c>
      <c r="B161" t="s">
        <v>646</v>
      </c>
      <c r="C161">
        <v>27.25</v>
      </c>
    </row>
    <row r="162" spans="1:3" x14ac:dyDescent="0.2">
      <c r="A162" t="s">
        <v>1151</v>
      </c>
      <c r="B162" t="s">
        <v>381</v>
      </c>
      <c r="C162">
        <v>27.57</v>
      </c>
    </row>
    <row r="163" spans="1:3" x14ac:dyDescent="0.2">
      <c r="A163" t="s">
        <v>1151</v>
      </c>
      <c r="B163" t="s">
        <v>543</v>
      </c>
      <c r="C163">
        <v>28.62</v>
      </c>
    </row>
    <row r="164" spans="1:3" x14ac:dyDescent="0.2">
      <c r="A164" t="s">
        <v>1151</v>
      </c>
      <c r="B164" t="s">
        <v>363</v>
      </c>
      <c r="C164">
        <v>21.6</v>
      </c>
    </row>
    <row r="165" spans="1:3" x14ac:dyDescent="0.2">
      <c r="A165" t="s">
        <v>1151</v>
      </c>
      <c r="B165" t="s">
        <v>542</v>
      </c>
      <c r="C165">
        <v>26.62</v>
      </c>
    </row>
    <row r="166" spans="1:3" x14ac:dyDescent="0.2">
      <c r="A166" t="s">
        <v>1151</v>
      </c>
      <c r="B166" t="s">
        <v>653</v>
      </c>
      <c r="C166">
        <v>18.760000000000002</v>
      </c>
    </row>
    <row r="167" spans="1:3" x14ac:dyDescent="0.2">
      <c r="A167" t="s">
        <v>1151</v>
      </c>
      <c r="B167" t="s">
        <v>399</v>
      </c>
      <c r="C167">
        <v>35.229999999999997</v>
      </c>
    </row>
    <row r="168" spans="1:3" x14ac:dyDescent="0.2">
      <c r="A168" t="s">
        <v>1151</v>
      </c>
      <c r="B168" t="s">
        <v>648</v>
      </c>
      <c r="C168">
        <v>18.12</v>
      </c>
    </row>
    <row r="169" spans="1:3" x14ac:dyDescent="0.2">
      <c r="A169" t="s">
        <v>1152</v>
      </c>
      <c r="B169" t="s">
        <v>786</v>
      </c>
      <c r="C169">
        <v>99.95</v>
      </c>
    </row>
    <row r="170" spans="1:3" x14ac:dyDescent="0.2">
      <c r="A170" t="s">
        <v>1152</v>
      </c>
      <c r="B170" t="s">
        <v>650</v>
      </c>
      <c r="C170">
        <v>86.46</v>
      </c>
    </row>
    <row r="171" spans="1:3" x14ac:dyDescent="0.2">
      <c r="A171" t="s">
        <v>1152</v>
      </c>
      <c r="B171" t="s">
        <v>218</v>
      </c>
      <c r="C171">
        <v>69</v>
      </c>
    </row>
    <row r="172" spans="1:3" x14ac:dyDescent="0.2">
      <c r="A172" t="s">
        <v>1152</v>
      </c>
      <c r="B172" t="s">
        <v>785</v>
      </c>
      <c r="C172">
        <v>63.57</v>
      </c>
    </row>
    <row r="173" spans="1:3" x14ac:dyDescent="0.2">
      <c r="A173" t="s">
        <v>1152</v>
      </c>
      <c r="B173" t="s">
        <v>803</v>
      </c>
      <c r="C173">
        <v>63.18</v>
      </c>
    </row>
    <row r="174" spans="1:3" x14ac:dyDescent="0.2">
      <c r="A174" t="s">
        <v>1152</v>
      </c>
      <c r="B174" t="s">
        <v>784</v>
      </c>
      <c r="C174">
        <v>60.31</v>
      </c>
    </row>
    <row r="175" spans="1:3" x14ac:dyDescent="0.2">
      <c r="A175" t="s">
        <v>1152</v>
      </c>
      <c r="B175" t="s">
        <v>403</v>
      </c>
      <c r="C175">
        <v>60.1</v>
      </c>
    </row>
    <row r="176" spans="1:3" x14ac:dyDescent="0.2">
      <c r="A176" t="s">
        <v>1152</v>
      </c>
      <c r="B176" t="s">
        <v>328</v>
      </c>
      <c r="C176">
        <v>59</v>
      </c>
    </row>
    <row r="177" spans="1:3" x14ac:dyDescent="0.2">
      <c r="A177" t="s">
        <v>1152</v>
      </c>
      <c r="B177" t="s">
        <v>219</v>
      </c>
      <c r="C177">
        <v>58.88</v>
      </c>
    </row>
    <row r="178" spans="1:3" x14ac:dyDescent="0.2">
      <c r="A178" t="s">
        <v>1152</v>
      </c>
      <c r="B178" t="s">
        <v>789</v>
      </c>
      <c r="C178">
        <v>56.3</v>
      </c>
    </row>
    <row r="179" spans="1:3" x14ac:dyDescent="0.2">
      <c r="A179" t="s">
        <v>1152</v>
      </c>
      <c r="B179" t="s">
        <v>791</v>
      </c>
      <c r="C179">
        <v>56.2</v>
      </c>
    </row>
    <row r="180" spans="1:3" x14ac:dyDescent="0.2">
      <c r="A180" t="s">
        <v>1152</v>
      </c>
      <c r="B180" t="s">
        <v>215</v>
      </c>
      <c r="C180">
        <v>55.55</v>
      </c>
    </row>
    <row r="181" spans="1:3" x14ac:dyDescent="0.2">
      <c r="A181" t="s">
        <v>1152</v>
      </c>
      <c r="B181" t="s">
        <v>653</v>
      </c>
      <c r="C181">
        <v>55.33</v>
      </c>
    </row>
    <row r="182" spans="1:3" x14ac:dyDescent="0.2">
      <c r="A182" t="s">
        <v>1152</v>
      </c>
      <c r="B182" t="s">
        <v>1028</v>
      </c>
      <c r="C182">
        <v>55.32</v>
      </c>
    </row>
    <row r="183" spans="1:3" x14ac:dyDescent="0.2">
      <c r="A183" t="s">
        <v>1152</v>
      </c>
      <c r="B183" t="s">
        <v>792</v>
      </c>
      <c r="C183">
        <v>55.3</v>
      </c>
    </row>
    <row r="184" spans="1:3" x14ac:dyDescent="0.2">
      <c r="A184" t="s">
        <v>1152</v>
      </c>
      <c r="B184" t="s">
        <v>406</v>
      </c>
      <c r="C184">
        <v>55</v>
      </c>
    </row>
    <row r="185" spans="1:3" x14ac:dyDescent="0.2">
      <c r="A185" t="s">
        <v>1152</v>
      </c>
      <c r="B185" t="s">
        <v>401</v>
      </c>
      <c r="C185">
        <v>54.56</v>
      </c>
    </row>
    <row r="186" spans="1:3" x14ac:dyDescent="0.2">
      <c r="A186" t="s">
        <v>1152</v>
      </c>
      <c r="B186" t="s">
        <v>412</v>
      </c>
      <c r="C186">
        <v>54.22</v>
      </c>
    </row>
    <row r="187" spans="1:3" x14ac:dyDescent="0.2">
      <c r="A187" t="s">
        <v>1152</v>
      </c>
      <c r="B187" t="s">
        <v>787</v>
      </c>
      <c r="C187">
        <v>53.41</v>
      </c>
    </row>
    <row r="188" spans="1:3" x14ac:dyDescent="0.2">
      <c r="A188" t="s">
        <v>1152</v>
      </c>
      <c r="B188" t="s">
        <v>788</v>
      </c>
      <c r="C188">
        <v>53.4</v>
      </c>
    </row>
    <row r="189" spans="1:3" x14ac:dyDescent="0.2">
      <c r="A189" t="s">
        <v>1152</v>
      </c>
      <c r="B189" t="s">
        <v>335</v>
      </c>
      <c r="C189">
        <v>53.21</v>
      </c>
    </row>
    <row r="190" spans="1:3" x14ac:dyDescent="0.2">
      <c r="A190" t="s">
        <v>1152</v>
      </c>
      <c r="B190" t="s">
        <v>414</v>
      </c>
      <c r="C190">
        <v>53.2</v>
      </c>
    </row>
    <row r="191" spans="1:3" x14ac:dyDescent="0.2">
      <c r="A191" t="s">
        <v>1152</v>
      </c>
      <c r="B191" t="s">
        <v>381</v>
      </c>
      <c r="C191">
        <v>52.95</v>
      </c>
    </row>
    <row r="192" spans="1:3" x14ac:dyDescent="0.2">
      <c r="A192" t="s">
        <v>1152</v>
      </c>
      <c r="B192" t="s">
        <v>409</v>
      </c>
      <c r="C192">
        <v>52.5</v>
      </c>
    </row>
    <row r="193" spans="1:3" x14ac:dyDescent="0.2">
      <c r="A193" t="s">
        <v>1152</v>
      </c>
      <c r="B193" t="s">
        <v>404</v>
      </c>
      <c r="C193">
        <v>52.24</v>
      </c>
    </row>
    <row r="194" spans="1:3" x14ac:dyDescent="0.2">
      <c r="A194" t="s">
        <v>1152</v>
      </c>
      <c r="B194" t="s">
        <v>652</v>
      </c>
      <c r="C194">
        <v>51.49</v>
      </c>
    </row>
    <row r="195" spans="1:3" x14ac:dyDescent="0.2">
      <c r="A195" t="s">
        <v>1152</v>
      </c>
      <c r="B195" t="s">
        <v>336</v>
      </c>
      <c r="C195">
        <v>51.4</v>
      </c>
    </row>
    <row r="196" spans="1:3" x14ac:dyDescent="0.2">
      <c r="A196" t="s">
        <v>1152</v>
      </c>
      <c r="B196" t="s">
        <v>225</v>
      </c>
      <c r="C196">
        <v>50.8</v>
      </c>
    </row>
    <row r="197" spans="1:3" x14ac:dyDescent="0.2">
      <c r="A197" t="s">
        <v>1152</v>
      </c>
      <c r="B197" t="s">
        <v>543</v>
      </c>
      <c r="C197">
        <v>49.29</v>
      </c>
    </row>
    <row r="198" spans="1:3" x14ac:dyDescent="0.2">
      <c r="A198" t="s">
        <v>1152</v>
      </c>
      <c r="B198" t="s">
        <v>364</v>
      </c>
      <c r="C198">
        <v>48.01</v>
      </c>
    </row>
    <row r="199" spans="1:3" x14ac:dyDescent="0.2">
      <c r="A199" t="s">
        <v>1152</v>
      </c>
      <c r="B199" t="s">
        <v>222</v>
      </c>
      <c r="C199">
        <v>47.82</v>
      </c>
    </row>
    <row r="200" spans="1:3" x14ac:dyDescent="0.2">
      <c r="A200" t="s">
        <v>1152</v>
      </c>
      <c r="B200" t="s">
        <v>407</v>
      </c>
      <c r="C200">
        <v>46.66</v>
      </c>
    </row>
    <row r="201" spans="1:3" x14ac:dyDescent="0.2">
      <c r="A201" t="s">
        <v>1152</v>
      </c>
      <c r="B201" t="s">
        <v>242</v>
      </c>
      <c r="C201">
        <v>46.5</v>
      </c>
    </row>
    <row r="202" spans="1:3" x14ac:dyDescent="0.2">
      <c r="A202" t="s">
        <v>1152</v>
      </c>
      <c r="B202" t="s">
        <v>542</v>
      </c>
      <c r="C202">
        <v>44.45</v>
      </c>
    </row>
    <row r="203" spans="1:3" x14ac:dyDescent="0.2">
      <c r="A203" t="s">
        <v>1152</v>
      </c>
      <c r="B203" t="s">
        <v>337</v>
      </c>
      <c r="C203">
        <v>44.44</v>
      </c>
    </row>
    <row r="204" spans="1:3" x14ac:dyDescent="0.2">
      <c r="A204" t="s">
        <v>1152</v>
      </c>
      <c r="B204" t="s">
        <v>292</v>
      </c>
      <c r="C204">
        <v>43.83</v>
      </c>
    </row>
    <row r="205" spans="1:3" x14ac:dyDescent="0.2">
      <c r="A205" t="s">
        <v>1152</v>
      </c>
      <c r="B205" t="s">
        <v>782</v>
      </c>
      <c r="C205">
        <v>43.73</v>
      </c>
    </row>
    <row r="206" spans="1:3" x14ac:dyDescent="0.2">
      <c r="A206" t="s">
        <v>1152</v>
      </c>
      <c r="B206" t="s">
        <v>645</v>
      </c>
      <c r="C206">
        <v>43.71</v>
      </c>
    </row>
    <row r="207" spans="1:3" x14ac:dyDescent="0.2">
      <c r="A207" t="s">
        <v>1152</v>
      </c>
      <c r="B207" t="s">
        <v>779</v>
      </c>
      <c r="C207">
        <v>43.28</v>
      </c>
    </row>
    <row r="208" spans="1:3" x14ac:dyDescent="0.2">
      <c r="A208" t="s">
        <v>1152</v>
      </c>
      <c r="B208" t="s">
        <v>399</v>
      </c>
      <c r="C208">
        <v>43.2</v>
      </c>
    </row>
    <row r="209" spans="1:3" x14ac:dyDescent="0.2">
      <c r="A209" t="s">
        <v>1152</v>
      </c>
      <c r="B209" t="s">
        <v>474</v>
      </c>
      <c r="C209">
        <v>42.25</v>
      </c>
    </row>
    <row r="210" spans="1:3" x14ac:dyDescent="0.2">
      <c r="A210" t="s">
        <v>1152</v>
      </c>
      <c r="B210" t="s">
        <v>362</v>
      </c>
      <c r="C210">
        <v>42.11</v>
      </c>
    </row>
    <row r="211" spans="1:3" x14ac:dyDescent="0.2">
      <c r="A211" t="s">
        <v>1152</v>
      </c>
      <c r="B211" t="s">
        <v>363</v>
      </c>
      <c r="C211">
        <v>42.1</v>
      </c>
    </row>
    <row r="212" spans="1:3" x14ac:dyDescent="0.2">
      <c r="A212" t="s">
        <v>1152</v>
      </c>
      <c r="B212" t="s">
        <v>408</v>
      </c>
      <c r="C212">
        <v>41.91</v>
      </c>
    </row>
    <row r="213" spans="1:3" x14ac:dyDescent="0.2">
      <c r="A213" t="s">
        <v>1152</v>
      </c>
      <c r="B213" t="s">
        <v>217</v>
      </c>
      <c r="C213">
        <v>39.93</v>
      </c>
    </row>
    <row r="214" spans="1:3" x14ac:dyDescent="0.2">
      <c r="A214" t="s">
        <v>1152</v>
      </c>
      <c r="B214" t="s">
        <v>221</v>
      </c>
      <c r="C214">
        <v>39.590000000000003</v>
      </c>
    </row>
    <row r="215" spans="1:3" x14ac:dyDescent="0.2">
      <c r="A215" t="s">
        <v>1152</v>
      </c>
      <c r="B215" t="s">
        <v>651</v>
      </c>
      <c r="C215">
        <v>38.9</v>
      </c>
    </row>
    <row r="216" spans="1:3" x14ac:dyDescent="0.2">
      <c r="A216" t="s">
        <v>1152</v>
      </c>
      <c r="B216" t="s">
        <v>780</v>
      </c>
      <c r="C216">
        <v>38.5</v>
      </c>
    </row>
    <row r="217" spans="1:3" x14ac:dyDescent="0.2">
      <c r="A217" t="s">
        <v>1152</v>
      </c>
      <c r="B217" t="s">
        <v>783</v>
      </c>
      <c r="C217">
        <v>35.880000000000003</v>
      </c>
    </row>
    <row r="218" spans="1:3" x14ac:dyDescent="0.2">
      <c r="A218" t="s">
        <v>1152</v>
      </c>
      <c r="B218" t="s">
        <v>541</v>
      </c>
      <c r="C218">
        <v>35.15</v>
      </c>
    </row>
    <row r="219" spans="1:3" x14ac:dyDescent="0.2">
      <c r="A219" t="s">
        <v>1152</v>
      </c>
      <c r="B219" t="s">
        <v>9</v>
      </c>
      <c r="C219">
        <v>35</v>
      </c>
    </row>
    <row r="220" spans="1:3" x14ac:dyDescent="0.2">
      <c r="A220" t="s">
        <v>1152</v>
      </c>
      <c r="B220" t="s">
        <v>781</v>
      </c>
      <c r="C220">
        <v>31.85</v>
      </c>
    </row>
    <row r="221" spans="1:3" x14ac:dyDescent="0.2">
      <c r="A221" t="s">
        <v>1152</v>
      </c>
      <c r="B221" t="s">
        <v>411</v>
      </c>
      <c r="C221">
        <v>29.45</v>
      </c>
    </row>
    <row r="222" spans="1:3" x14ac:dyDescent="0.2">
      <c r="A222" t="s">
        <v>1153</v>
      </c>
      <c r="B222" t="s">
        <v>786</v>
      </c>
      <c r="C222">
        <v>79.41</v>
      </c>
    </row>
    <row r="223" spans="1:3" x14ac:dyDescent="0.2">
      <c r="A223" t="s">
        <v>1153</v>
      </c>
      <c r="B223" t="s">
        <v>942</v>
      </c>
      <c r="C223">
        <v>78.89</v>
      </c>
    </row>
    <row r="224" spans="1:3" x14ac:dyDescent="0.2">
      <c r="A224" t="s">
        <v>1153</v>
      </c>
      <c r="B224" t="s">
        <v>785</v>
      </c>
      <c r="C224">
        <v>78.650000000000006</v>
      </c>
    </row>
    <row r="225" spans="1:3" x14ac:dyDescent="0.2">
      <c r="A225" t="s">
        <v>1153</v>
      </c>
      <c r="B225" t="s">
        <v>328</v>
      </c>
      <c r="C225">
        <v>78.52</v>
      </c>
    </row>
    <row r="226" spans="1:3" x14ac:dyDescent="0.2">
      <c r="A226" t="s">
        <v>1153</v>
      </c>
      <c r="B226" t="s">
        <v>413</v>
      </c>
      <c r="C226">
        <v>77.77</v>
      </c>
    </row>
    <row r="227" spans="1:3" x14ac:dyDescent="0.2">
      <c r="A227" t="s">
        <v>1153</v>
      </c>
      <c r="B227" t="s">
        <v>218</v>
      </c>
      <c r="C227">
        <v>77.7</v>
      </c>
    </row>
    <row r="228" spans="1:3" x14ac:dyDescent="0.2">
      <c r="A228" t="s">
        <v>1153</v>
      </c>
      <c r="B228" t="s">
        <v>474</v>
      </c>
      <c r="C228">
        <v>76.87</v>
      </c>
    </row>
    <row r="229" spans="1:3" x14ac:dyDescent="0.2">
      <c r="A229" t="s">
        <v>1153</v>
      </c>
      <c r="B229" t="s">
        <v>943</v>
      </c>
      <c r="C229">
        <v>76.5</v>
      </c>
    </row>
    <row r="230" spans="1:3" x14ac:dyDescent="0.2">
      <c r="A230" t="s">
        <v>1153</v>
      </c>
      <c r="B230" t="s">
        <v>1028</v>
      </c>
      <c r="C230">
        <v>76.430000000000007</v>
      </c>
    </row>
    <row r="231" spans="1:3" x14ac:dyDescent="0.2">
      <c r="A231" t="s">
        <v>1153</v>
      </c>
      <c r="B231" t="s">
        <v>400</v>
      </c>
      <c r="C231">
        <v>74.650000000000006</v>
      </c>
    </row>
    <row r="232" spans="1:3" x14ac:dyDescent="0.2">
      <c r="A232" t="s">
        <v>1153</v>
      </c>
      <c r="B232" t="s">
        <v>412</v>
      </c>
      <c r="C232">
        <v>74.540000000000006</v>
      </c>
    </row>
    <row r="233" spans="1:3" x14ac:dyDescent="0.2">
      <c r="A233" t="s">
        <v>1153</v>
      </c>
      <c r="B233" t="s">
        <v>408</v>
      </c>
      <c r="C233">
        <v>74.47</v>
      </c>
    </row>
    <row r="234" spans="1:3" x14ac:dyDescent="0.2">
      <c r="A234" t="s">
        <v>1153</v>
      </c>
      <c r="B234" t="s">
        <v>381</v>
      </c>
      <c r="C234">
        <v>73.94</v>
      </c>
    </row>
    <row r="235" spans="1:3" x14ac:dyDescent="0.2">
      <c r="A235" t="s">
        <v>1153</v>
      </c>
      <c r="B235" t="s">
        <v>336</v>
      </c>
      <c r="C235">
        <v>73.8</v>
      </c>
    </row>
    <row r="236" spans="1:3" x14ac:dyDescent="0.2">
      <c r="A236" t="s">
        <v>1153</v>
      </c>
      <c r="B236" t="s">
        <v>542</v>
      </c>
      <c r="C236">
        <v>73.37</v>
      </c>
    </row>
    <row r="237" spans="1:3" x14ac:dyDescent="0.2">
      <c r="A237" t="s">
        <v>1153</v>
      </c>
      <c r="B237" t="s">
        <v>792</v>
      </c>
      <c r="C237">
        <v>72.58</v>
      </c>
    </row>
    <row r="238" spans="1:3" x14ac:dyDescent="0.2">
      <c r="A238" t="s">
        <v>1153</v>
      </c>
      <c r="B238" t="s">
        <v>944</v>
      </c>
      <c r="C238">
        <v>72.36</v>
      </c>
    </row>
    <row r="239" spans="1:3" x14ac:dyDescent="0.2">
      <c r="A239" t="s">
        <v>1153</v>
      </c>
      <c r="B239" t="s">
        <v>414</v>
      </c>
      <c r="C239">
        <v>72.3</v>
      </c>
    </row>
    <row r="240" spans="1:3" x14ac:dyDescent="0.2">
      <c r="A240" t="s">
        <v>1153</v>
      </c>
      <c r="B240" t="s">
        <v>225</v>
      </c>
      <c r="C240">
        <v>71.8</v>
      </c>
    </row>
    <row r="241" spans="1:3" x14ac:dyDescent="0.2">
      <c r="A241" t="s">
        <v>1153</v>
      </c>
      <c r="B241" t="s">
        <v>222</v>
      </c>
      <c r="C241">
        <v>70</v>
      </c>
    </row>
    <row r="242" spans="1:3" x14ac:dyDescent="0.2">
      <c r="A242" t="s">
        <v>1153</v>
      </c>
      <c r="B242" t="s">
        <v>651</v>
      </c>
      <c r="C242">
        <v>69.680000000000007</v>
      </c>
    </row>
    <row r="243" spans="1:3" x14ac:dyDescent="0.2">
      <c r="A243" t="s">
        <v>1153</v>
      </c>
      <c r="B243" t="s">
        <v>409</v>
      </c>
      <c r="C243">
        <v>69.55</v>
      </c>
    </row>
    <row r="244" spans="1:3" x14ac:dyDescent="0.2">
      <c r="A244" t="s">
        <v>1153</v>
      </c>
      <c r="B244" t="s">
        <v>363</v>
      </c>
      <c r="C244">
        <v>68.8</v>
      </c>
    </row>
    <row r="245" spans="1:3" x14ac:dyDescent="0.2">
      <c r="A245" t="s">
        <v>1153</v>
      </c>
      <c r="B245" t="s">
        <v>652</v>
      </c>
      <c r="C245">
        <v>68.67</v>
      </c>
    </row>
    <row r="246" spans="1:3" x14ac:dyDescent="0.2">
      <c r="A246" t="s">
        <v>1153</v>
      </c>
      <c r="B246" t="s">
        <v>1027</v>
      </c>
      <c r="C246">
        <v>68.260000000000005</v>
      </c>
    </row>
    <row r="247" spans="1:3" x14ac:dyDescent="0.2">
      <c r="A247" t="s">
        <v>1153</v>
      </c>
      <c r="B247" t="s">
        <v>945</v>
      </c>
      <c r="C247">
        <v>68.17</v>
      </c>
    </row>
    <row r="248" spans="1:3" x14ac:dyDescent="0.2">
      <c r="A248" t="s">
        <v>1153</v>
      </c>
      <c r="B248" t="s">
        <v>401</v>
      </c>
      <c r="C248">
        <v>68.14</v>
      </c>
    </row>
    <row r="249" spans="1:3" x14ac:dyDescent="0.2">
      <c r="A249" t="s">
        <v>1153</v>
      </c>
      <c r="B249" t="s">
        <v>406</v>
      </c>
      <c r="C249">
        <v>68</v>
      </c>
    </row>
    <row r="250" spans="1:3" x14ac:dyDescent="0.2">
      <c r="A250" t="s">
        <v>1153</v>
      </c>
      <c r="B250" t="s">
        <v>217</v>
      </c>
      <c r="C250">
        <v>67.89</v>
      </c>
    </row>
    <row r="251" spans="1:3" x14ac:dyDescent="0.2">
      <c r="A251" t="s">
        <v>1153</v>
      </c>
      <c r="B251" t="s">
        <v>215</v>
      </c>
      <c r="C251">
        <v>67.7</v>
      </c>
    </row>
    <row r="252" spans="1:3" x14ac:dyDescent="0.2">
      <c r="A252" t="s">
        <v>1153</v>
      </c>
      <c r="B252" t="s">
        <v>292</v>
      </c>
      <c r="C252">
        <v>67.45</v>
      </c>
    </row>
    <row r="253" spans="1:3" x14ac:dyDescent="0.2">
      <c r="A253" t="s">
        <v>1153</v>
      </c>
      <c r="B253" t="s">
        <v>219</v>
      </c>
      <c r="C253">
        <v>66.67</v>
      </c>
    </row>
    <row r="254" spans="1:3" x14ac:dyDescent="0.2">
      <c r="A254" t="s">
        <v>1153</v>
      </c>
      <c r="B254" t="s">
        <v>543</v>
      </c>
      <c r="C254">
        <v>66.66</v>
      </c>
    </row>
    <row r="255" spans="1:3" x14ac:dyDescent="0.2">
      <c r="A255" t="s">
        <v>1153</v>
      </c>
      <c r="B255" t="s">
        <v>242</v>
      </c>
      <c r="C255">
        <v>66.5</v>
      </c>
    </row>
    <row r="256" spans="1:3" x14ac:dyDescent="0.2">
      <c r="A256" t="s">
        <v>1153</v>
      </c>
      <c r="B256" t="s">
        <v>803</v>
      </c>
      <c r="C256">
        <v>65.569999999999993</v>
      </c>
    </row>
    <row r="257" spans="1:3" x14ac:dyDescent="0.2">
      <c r="A257" t="s">
        <v>1153</v>
      </c>
      <c r="B257" t="s">
        <v>784</v>
      </c>
      <c r="C257">
        <v>65.5</v>
      </c>
    </row>
    <row r="258" spans="1:3" x14ac:dyDescent="0.2">
      <c r="A258" t="s">
        <v>1153</v>
      </c>
      <c r="B258" t="s">
        <v>362</v>
      </c>
      <c r="C258">
        <v>65.260000000000005</v>
      </c>
    </row>
    <row r="259" spans="1:3" x14ac:dyDescent="0.2">
      <c r="A259" t="s">
        <v>1153</v>
      </c>
      <c r="B259" t="s">
        <v>403</v>
      </c>
      <c r="C259">
        <v>65.25</v>
      </c>
    </row>
    <row r="260" spans="1:3" x14ac:dyDescent="0.2">
      <c r="A260" t="s">
        <v>1153</v>
      </c>
      <c r="B260" t="s">
        <v>335</v>
      </c>
      <c r="C260">
        <v>64.709999999999994</v>
      </c>
    </row>
    <row r="261" spans="1:3" x14ac:dyDescent="0.2">
      <c r="A261" t="s">
        <v>1153</v>
      </c>
      <c r="B261" t="s">
        <v>946</v>
      </c>
      <c r="C261">
        <v>64.67</v>
      </c>
    </row>
    <row r="262" spans="1:3" x14ac:dyDescent="0.2">
      <c r="A262" t="s">
        <v>1153</v>
      </c>
      <c r="B262" t="s">
        <v>947</v>
      </c>
      <c r="C262">
        <v>64.239999999999995</v>
      </c>
    </row>
    <row r="263" spans="1:3" x14ac:dyDescent="0.2">
      <c r="A263" t="s">
        <v>1153</v>
      </c>
      <c r="B263" t="s">
        <v>932</v>
      </c>
      <c r="C263">
        <v>63.91</v>
      </c>
    </row>
    <row r="264" spans="1:3" x14ac:dyDescent="0.2">
      <c r="A264" t="s">
        <v>1153</v>
      </c>
      <c r="B264" t="s">
        <v>405</v>
      </c>
      <c r="C264">
        <v>60.68</v>
      </c>
    </row>
    <row r="265" spans="1:3" x14ac:dyDescent="0.2">
      <c r="A265" t="s">
        <v>1153</v>
      </c>
      <c r="B265" t="s">
        <v>9</v>
      </c>
      <c r="C265">
        <v>60</v>
      </c>
    </row>
    <row r="266" spans="1:3" x14ac:dyDescent="0.2">
      <c r="A266" t="s">
        <v>1153</v>
      </c>
      <c r="B266" t="s">
        <v>948</v>
      </c>
      <c r="C266">
        <v>58.37</v>
      </c>
    </row>
    <row r="267" spans="1:3" x14ac:dyDescent="0.2">
      <c r="A267" t="s">
        <v>1153</v>
      </c>
      <c r="B267" t="s">
        <v>791</v>
      </c>
      <c r="C267">
        <v>55.1</v>
      </c>
    </row>
    <row r="268" spans="1:3" x14ac:dyDescent="0.2">
      <c r="A268" t="s">
        <v>1153</v>
      </c>
      <c r="B268" t="s">
        <v>949</v>
      </c>
      <c r="C268">
        <v>50.03</v>
      </c>
    </row>
    <row r="269" spans="1:3" x14ac:dyDescent="0.2">
      <c r="A269" t="s">
        <v>1153</v>
      </c>
      <c r="B269" t="s">
        <v>407</v>
      </c>
      <c r="C269">
        <v>48.3</v>
      </c>
    </row>
    <row r="270" spans="1:3" x14ac:dyDescent="0.2">
      <c r="A270" t="s">
        <v>1153</v>
      </c>
      <c r="B270" t="s">
        <v>650</v>
      </c>
      <c r="C270">
        <v>47.3</v>
      </c>
    </row>
    <row r="271" spans="1:3" x14ac:dyDescent="0.2">
      <c r="A271" t="s">
        <v>1153</v>
      </c>
      <c r="B271" t="s">
        <v>950</v>
      </c>
      <c r="C271">
        <v>43.4</v>
      </c>
    </row>
    <row r="272" spans="1:3" x14ac:dyDescent="0.2">
      <c r="A272" t="s">
        <v>1153</v>
      </c>
      <c r="B272" t="s">
        <v>951</v>
      </c>
      <c r="C272">
        <v>37.64</v>
      </c>
    </row>
    <row r="273" spans="1:3" x14ac:dyDescent="0.2">
      <c r="A273" t="s">
        <v>1153</v>
      </c>
      <c r="B273" t="s">
        <v>952</v>
      </c>
      <c r="C273">
        <v>33.6</v>
      </c>
    </row>
    <row r="274" spans="1:3" x14ac:dyDescent="0.2">
      <c r="A274" t="s">
        <v>1154</v>
      </c>
      <c r="B274" t="s">
        <v>1026</v>
      </c>
      <c r="C274">
        <v>87.85</v>
      </c>
    </row>
    <row r="275" spans="1:3" x14ac:dyDescent="0.2">
      <c r="A275" t="s">
        <v>1154</v>
      </c>
      <c r="B275" t="s">
        <v>645</v>
      </c>
      <c r="C275">
        <v>87.78</v>
      </c>
    </row>
    <row r="276" spans="1:3" x14ac:dyDescent="0.2">
      <c r="A276" t="s">
        <v>1154</v>
      </c>
      <c r="B276" t="s">
        <v>1027</v>
      </c>
      <c r="C276">
        <v>86.91</v>
      </c>
    </row>
    <row r="277" spans="1:3" x14ac:dyDescent="0.2">
      <c r="A277" t="s">
        <v>1154</v>
      </c>
      <c r="B277" t="s">
        <v>542</v>
      </c>
      <c r="C277">
        <v>82.28</v>
      </c>
    </row>
    <row r="278" spans="1:3" x14ac:dyDescent="0.2">
      <c r="A278" t="s">
        <v>1154</v>
      </c>
      <c r="B278" t="s">
        <v>222</v>
      </c>
      <c r="C278">
        <v>81.599999999999994</v>
      </c>
    </row>
    <row r="279" spans="1:3" x14ac:dyDescent="0.2">
      <c r="A279" t="s">
        <v>1154</v>
      </c>
      <c r="B279" t="s">
        <v>785</v>
      </c>
      <c r="C279">
        <v>80.650000000000006</v>
      </c>
    </row>
    <row r="280" spans="1:3" x14ac:dyDescent="0.2">
      <c r="A280" t="s">
        <v>1154</v>
      </c>
      <c r="B280" t="s">
        <v>219</v>
      </c>
      <c r="C280">
        <v>79.989999999999995</v>
      </c>
    </row>
    <row r="281" spans="1:3" x14ac:dyDescent="0.2">
      <c r="A281" t="s">
        <v>1154</v>
      </c>
      <c r="B281" t="s">
        <v>401</v>
      </c>
      <c r="C281">
        <v>78.989999999999995</v>
      </c>
    </row>
    <row r="282" spans="1:3" x14ac:dyDescent="0.2">
      <c r="A282" t="s">
        <v>1154</v>
      </c>
      <c r="B282" t="s">
        <v>786</v>
      </c>
      <c r="C282">
        <v>78.61</v>
      </c>
    </row>
    <row r="283" spans="1:3" x14ac:dyDescent="0.2">
      <c r="A283" t="s">
        <v>1154</v>
      </c>
      <c r="B283" t="s">
        <v>406</v>
      </c>
      <c r="C283">
        <v>78</v>
      </c>
    </row>
    <row r="284" spans="1:3" x14ac:dyDescent="0.2">
      <c r="A284" t="s">
        <v>1154</v>
      </c>
      <c r="B284" t="s">
        <v>218</v>
      </c>
      <c r="C284">
        <v>77.7</v>
      </c>
    </row>
    <row r="285" spans="1:3" x14ac:dyDescent="0.2">
      <c r="A285" t="s">
        <v>1154</v>
      </c>
      <c r="B285" t="s">
        <v>412</v>
      </c>
      <c r="C285">
        <v>77.599999999999994</v>
      </c>
    </row>
    <row r="286" spans="1:3" x14ac:dyDescent="0.2">
      <c r="A286" t="s">
        <v>1154</v>
      </c>
      <c r="B286" t="s">
        <v>242</v>
      </c>
      <c r="C286">
        <v>76.5</v>
      </c>
    </row>
    <row r="287" spans="1:3" x14ac:dyDescent="0.2">
      <c r="A287" t="s">
        <v>1154</v>
      </c>
      <c r="B287" t="s">
        <v>336</v>
      </c>
      <c r="C287">
        <v>76.400000000000006</v>
      </c>
    </row>
    <row r="288" spans="1:3" x14ac:dyDescent="0.2">
      <c r="A288" t="s">
        <v>1154</v>
      </c>
      <c r="B288" t="s">
        <v>1028</v>
      </c>
      <c r="C288">
        <v>76.319999999999993</v>
      </c>
    </row>
    <row r="289" spans="1:3" x14ac:dyDescent="0.2">
      <c r="A289" t="s">
        <v>1154</v>
      </c>
      <c r="B289" t="s">
        <v>408</v>
      </c>
      <c r="C289">
        <v>76.260000000000005</v>
      </c>
    </row>
    <row r="290" spans="1:3" x14ac:dyDescent="0.2">
      <c r="A290" t="s">
        <v>1154</v>
      </c>
      <c r="B290" t="s">
        <v>944</v>
      </c>
      <c r="C290">
        <v>76.22</v>
      </c>
    </row>
    <row r="291" spans="1:3" x14ac:dyDescent="0.2">
      <c r="A291" t="s">
        <v>1154</v>
      </c>
      <c r="B291" t="s">
        <v>381</v>
      </c>
      <c r="C291">
        <v>75.040000000000006</v>
      </c>
    </row>
    <row r="292" spans="1:3" x14ac:dyDescent="0.2">
      <c r="A292" t="s">
        <v>1154</v>
      </c>
      <c r="B292" t="s">
        <v>362</v>
      </c>
      <c r="C292">
        <v>74.81</v>
      </c>
    </row>
    <row r="293" spans="1:3" x14ac:dyDescent="0.2">
      <c r="A293" t="s">
        <v>1154</v>
      </c>
      <c r="B293" t="s">
        <v>225</v>
      </c>
      <c r="C293">
        <v>74.8</v>
      </c>
    </row>
    <row r="294" spans="1:3" x14ac:dyDescent="0.2">
      <c r="A294" t="s">
        <v>1154</v>
      </c>
      <c r="B294" t="s">
        <v>474</v>
      </c>
      <c r="C294">
        <v>74.77</v>
      </c>
    </row>
    <row r="295" spans="1:3" x14ac:dyDescent="0.2">
      <c r="A295" t="s">
        <v>1154</v>
      </c>
      <c r="B295" t="s">
        <v>414</v>
      </c>
      <c r="C295">
        <v>74.3</v>
      </c>
    </row>
    <row r="296" spans="1:3" x14ac:dyDescent="0.2">
      <c r="A296" t="s">
        <v>1154</v>
      </c>
      <c r="B296" t="s">
        <v>328</v>
      </c>
      <c r="C296">
        <v>73.349999999999994</v>
      </c>
    </row>
    <row r="297" spans="1:3" x14ac:dyDescent="0.2">
      <c r="A297" t="s">
        <v>1154</v>
      </c>
      <c r="B297" t="s">
        <v>413</v>
      </c>
      <c r="C297">
        <v>73.33</v>
      </c>
    </row>
    <row r="298" spans="1:3" x14ac:dyDescent="0.2">
      <c r="A298" t="s">
        <v>1154</v>
      </c>
      <c r="B298" t="s">
        <v>364</v>
      </c>
      <c r="C298">
        <v>73.12</v>
      </c>
    </row>
    <row r="299" spans="1:3" x14ac:dyDescent="0.2">
      <c r="A299" t="s">
        <v>1154</v>
      </c>
      <c r="B299" t="s">
        <v>403</v>
      </c>
      <c r="C299">
        <v>72.599999999999994</v>
      </c>
    </row>
    <row r="300" spans="1:3" x14ac:dyDescent="0.2">
      <c r="A300" t="s">
        <v>1154</v>
      </c>
      <c r="B300" t="s">
        <v>780</v>
      </c>
      <c r="C300">
        <v>71.5</v>
      </c>
    </row>
    <row r="301" spans="1:3" x14ac:dyDescent="0.2">
      <c r="A301" t="s">
        <v>1154</v>
      </c>
      <c r="B301" t="s">
        <v>363</v>
      </c>
      <c r="C301">
        <v>71.2</v>
      </c>
    </row>
    <row r="302" spans="1:3" x14ac:dyDescent="0.2">
      <c r="A302" t="s">
        <v>1154</v>
      </c>
      <c r="B302" t="s">
        <v>215</v>
      </c>
      <c r="C302">
        <v>70.7</v>
      </c>
    </row>
    <row r="303" spans="1:3" x14ac:dyDescent="0.2">
      <c r="A303" t="s">
        <v>1154</v>
      </c>
      <c r="B303" t="s">
        <v>792</v>
      </c>
      <c r="C303">
        <v>70.5</v>
      </c>
    </row>
    <row r="304" spans="1:3" x14ac:dyDescent="0.2">
      <c r="A304" t="s">
        <v>1154</v>
      </c>
      <c r="B304" t="s">
        <v>1029</v>
      </c>
      <c r="C304">
        <v>70.45</v>
      </c>
    </row>
    <row r="305" spans="1:3" x14ac:dyDescent="0.2">
      <c r="A305" t="s">
        <v>1154</v>
      </c>
      <c r="B305" t="s">
        <v>409</v>
      </c>
      <c r="C305">
        <v>69.989999999999995</v>
      </c>
    </row>
    <row r="306" spans="1:3" x14ac:dyDescent="0.2">
      <c r="A306" t="s">
        <v>1154</v>
      </c>
      <c r="B306" t="s">
        <v>784</v>
      </c>
      <c r="C306">
        <v>69.959999999999994</v>
      </c>
    </row>
    <row r="307" spans="1:3" x14ac:dyDescent="0.2">
      <c r="A307" t="s">
        <v>1154</v>
      </c>
      <c r="B307" t="s">
        <v>942</v>
      </c>
      <c r="C307">
        <v>69.7</v>
      </c>
    </row>
    <row r="308" spans="1:3" x14ac:dyDescent="0.2">
      <c r="A308" t="s">
        <v>1154</v>
      </c>
      <c r="B308" t="s">
        <v>803</v>
      </c>
      <c r="C308">
        <v>69.569999999999993</v>
      </c>
    </row>
    <row r="309" spans="1:3" x14ac:dyDescent="0.2">
      <c r="A309" t="s">
        <v>1154</v>
      </c>
      <c r="B309" t="s">
        <v>948</v>
      </c>
      <c r="C309">
        <v>69.37</v>
      </c>
    </row>
    <row r="310" spans="1:3" x14ac:dyDescent="0.2">
      <c r="A310" t="s">
        <v>1154</v>
      </c>
      <c r="B310" t="s">
        <v>221</v>
      </c>
      <c r="C310">
        <v>69.099999999999994</v>
      </c>
    </row>
    <row r="311" spans="1:3" x14ac:dyDescent="0.2">
      <c r="A311" t="s">
        <v>1154</v>
      </c>
      <c r="B311" t="s">
        <v>292</v>
      </c>
      <c r="C311">
        <v>65.86</v>
      </c>
    </row>
    <row r="312" spans="1:3" x14ac:dyDescent="0.2">
      <c r="A312" t="s">
        <v>1154</v>
      </c>
      <c r="B312" t="s">
        <v>217</v>
      </c>
      <c r="C312">
        <v>65.430000000000007</v>
      </c>
    </row>
    <row r="313" spans="1:3" x14ac:dyDescent="0.2">
      <c r="A313" t="s">
        <v>1154</v>
      </c>
      <c r="B313" t="s">
        <v>652</v>
      </c>
      <c r="C313">
        <v>64.66</v>
      </c>
    </row>
    <row r="314" spans="1:3" x14ac:dyDescent="0.2">
      <c r="A314" t="s">
        <v>1154</v>
      </c>
      <c r="B314" t="s">
        <v>9</v>
      </c>
      <c r="C314">
        <v>60</v>
      </c>
    </row>
    <row r="315" spans="1:3" x14ac:dyDescent="0.2">
      <c r="A315" t="s">
        <v>1155</v>
      </c>
      <c r="B315" t="s">
        <v>944</v>
      </c>
      <c r="C315">
        <v>104.34</v>
      </c>
    </row>
    <row r="316" spans="1:3" x14ac:dyDescent="0.2">
      <c r="A316" t="s">
        <v>1155</v>
      </c>
      <c r="B316" t="s">
        <v>242</v>
      </c>
      <c r="C316">
        <v>98.5</v>
      </c>
    </row>
    <row r="317" spans="1:3" x14ac:dyDescent="0.2">
      <c r="A317" t="s">
        <v>1155</v>
      </c>
      <c r="B317" t="s">
        <v>785</v>
      </c>
      <c r="C317">
        <v>97.05</v>
      </c>
    </row>
    <row r="318" spans="1:3" x14ac:dyDescent="0.2">
      <c r="A318" t="s">
        <v>1155</v>
      </c>
      <c r="B318" t="s">
        <v>542</v>
      </c>
      <c r="C318">
        <v>95.54</v>
      </c>
    </row>
    <row r="319" spans="1:3" x14ac:dyDescent="0.2">
      <c r="A319" t="s">
        <v>1155</v>
      </c>
      <c r="B319" t="s">
        <v>1026</v>
      </c>
      <c r="C319">
        <v>95.22</v>
      </c>
    </row>
    <row r="320" spans="1:3" x14ac:dyDescent="0.2">
      <c r="A320" t="s">
        <v>1155</v>
      </c>
      <c r="B320" t="s">
        <v>222</v>
      </c>
      <c r="C320">
        <v>94.79</v>
      </c>
    </row>
    <row r="321" spans="1:3" x14ac:dyDescent="0.2">
      <c r="A321" t="s">
        <v>1155</v>
      </c>
      <c r="B321" t="s">
        <v>414</v>
      </c>
      <c r="C321">
        <v>94.3</v>
      </c>
    </row>
    <row r="322" spans="1:3" x14ac:dyDescent="0.2">
      <c r="A322" t="s">
        <v>1155</v>
      </c>
      <c r="B322" t="s">
        <v>401</v>
      </c>
      <c r="C322">
        <v>93.89</v>
      </c>
    </row>
    <row r="323" spans="1:3" x14ac:dyDescent="0.2">
      <c r="A323" t="s">
        <v>1155</v>
      </c>
      <c r="B323" t="s">
        <v>362</v>
      </c>
      <c r="C323">
        <v>93.65</v>
      </c>
    </row>
    <row r="324" spans="1:3" x14ac:dyDescent="0.2">
      <c r="A324" t="s">
        <v>1155</v>
      </c>
      <c r="B324" t="s">
        <v>474</v>
      </c>
      <c r="C324">
        <v>92.87</v>
      </c>
    </row>
    <row r="325" spans="1:3" x14ac:dyDescent="0.2">
      <c r="A325" t="s">
        <v>1155</v>
      </c>
      <c r="B325" t="s">
        <v>225</v>
      </c>
      <c r="C325">
        <v>92.8</v>
      </c>
    </row>
    <row r="326" spans="1:3" x14ac:dyDescent="0.2">
      <c r="A326" t="s">
        <v>1155</v>
      </c>
      <c r="B326" t="s">
        <v>1027</v>
      </c>
      <c r="C326">
        <v>91.86</v>
      </c>
    </row>
    <row r="327" spans="1:3" x14ac:dyDescent="0.2">
      <c r="A327" t="s">
        <v>1155</v>
      </c>
      <c r="B327" t="s">
        <v>792</v>
      </c>
      <c r="C327">
        <v>91.77</v>
      </c>
    </row>
    <row r="328" spans="1:3" x14ac:dyDescent="0.2">
      <c r="A328" t="s">
        <v>1155</v>
      </c>
      <c r="B328" t="s">
        <v>1103</v>
      </c>
      <c r="C328">
        <v>91.26</v>
      </c>
    </row>
    <row r="329" spans="1:3" x14ac:dyDescent="0.2">
      <c r="A329" t="s">
        <v>1155</v>
      </c>
      <c r="B329" t="s">
        <v>219</v>
      </c>
      <c r="C329">
        <v>91.11</v>
      </c>
    </row>
    <row r="330" spans="1:3" x14ac:dyDescent="0.2">
      <c r="A330" t="s">
        <v>1155</v>
      </c>
      <c r="B330" t="s">
        <v>215</v>
      </c>
      <c r="C330">
        <v>90.9</v>
      </c>
    </row>
    <row r="331" spans="1:3" x14ac:dyDescent="0.2">
      <c r="A331" t="s">
        <v>1155</v>
      </c>
      <c r="B331" t="s">
        <v>942</v>
      </c>
      <c r="C331">
        <v>90.66</v>
      </c>
    </row>
    <row r="332" spans="1:3" x14ac:dyDescent="0.2">
      <c r="A332" t="s">
        <v>1155</v>
      </c>
      <c r="B332" t="s">
        <v>381</v>
      </c>
      <c r="C332">
        <v>89.93</v>
      </c>
    </row>
    <row r="333" spans="1:3" x14ac:dyDescent="0.2">
      <c r="A333" t="s">
        <v>1155</v>
      </c>
      <c r="B333" t="s">
        <v>1104</v>
      </c>
      <c r="C333">
        <v>89.4</v>
      </c>
    </row>
    <row r="334" spans="1:3" x14ac:dyDescent="0.2">
      <c r="A334" t="s">
        <v>1155</v>
      </c>
      <c r="B334" t="s">
        <v>1028</v>
      </c>
      <c r="C334">
        <v>89.23</v>
      </c>
    </row>
    <row r="335" spans="1:3" x14ac:dyDescent="0.2">
      <c r="A335" t="s">
        <v>1155</v>
      </c>
      <c r="B335" t="s">
        <v>218</v>
      </c>
      <c r="C335">
        <v>88.88</v>
      </c>
    </row>
    <row r="336" spans="1:3" x14ac:dyDescent="0.2">
      <c r="A336" t="s">
        <v>1155</v>
      </c>
      <c r="B336" t="s">
        <v>328</v>
      </c>
      <c r="C336">
        <v>88.05</v>
      </c>
    </row>
    <row r="337" spans="1:3" x14ac:dyDescent="0.2">
      <c r="A337" t="s">
        <v>1155</v>
      </c>
      <c r="B337" t="s">
        <v>406</v>
      </c>
      <c r="C337">
        <v>88</v>
      </c>
    </row>
    <row r="338" spans="1:3" x14ac:dyDescent="0.2">
      <c r="A338" t="s">
        <v>1155</v>
      </c>
      <c r="B338" t="s">
        <v>412</v>
      </c>
      <c r="C338">
        <v>87.6</v>
      </c>
    </row>
    <row r="339" spans="1:3" x14ac:dyDescent="0.2">
      <c r="A339" t="s">
        <v>1155</v>
      </c>
      <c r="B339" t="s">
        <v>363</v>
      </c>
      <c r="C339">
        <v>87.4</v>
      </c>
    </row>
    <row r="340" spans="1:3" x14ac:dyDescent="0.2">
      <c r="A340" t="s">
        <v>1155</v>
      </c>
      <c r="B340" t="s">
        <v>413</v>
      </c>
      <c r="C340">
        <v>86.86</v>
      </c>
    </row>
    <row r="341" spans="1:3" x14ac:dyDescent="0.2">
      <c r="A341" t="s">
        <v>1155</v>
      </c>
      <c r="B341" t="s">
        <v>645</v>
      </c>
      <c r="C341">
        <v>86.44</v>
      </c>
    </row>
    <row r="342" spans="1:3" x14ac:dyDescent="0.2">
      <c r="A342" t="s">
        <v>1155</v>
      </c>
      <c r="B342" t="s">
        <v>408</v>
      </c>
      <c r="C342">
        <v>85.98</v>
      </c>
    </row>
    <row r="343" spans="1:3" x14ac:dyDescent="0.2">
      <c r="A343" t="s">
        <v>1155</v>
      </c>
      <c r="B343" t="s">
        <v>403</v>
      </c>
      <c r="C343">
        <v>85.5</v>
      </c>
    </row>
    <row r="344" spans="1:3" x14ac:dyDescent="0.2">
      <c r="A344" t="s">
        <v>1155</v>
      </c>
      <c r="B344" t="s">
        <v>1106</v>
      </c>
      <c r="C344">
        <v>85.23</v>
      </c>
    </row>
    <row r="345" spans="1:3" x14ac:dyDescent="0.2">
      <c r="A345" t="s">
        <v>1155</v>
      </c>
      <c r="B345" t="s">
        <v>336</v>
      </c>
      <c r="C345">
        <v>84.9</v>
      </c>
    </row>
    <row r="346" spans="1:3" x14ac:dyDescent="0.2">
      <c r="A346" t="s">
        <v>1155</v>
      </c>
      <c r="B346" t="s">
        <v>652</v>
      </c>
      <c r="C346">
        <v>82.44</v>
      </c>
    </row>
    <row r="347" spans="1:3" x14ac:dyDescent="0.2">
      <c r="A347" t="s">
        <v>1155</v>
      </c>
      <c r="B347" t="s">
        <v>786</v>
      </c>
      <c r="C347">
        <v>81.73</v>
      </c>
    </row>
    <row r="348" spans="1:3" x14ac:dyDescent="0.2">
      <c r="A348" t="s">
        <v>1155</v>
      </c>
      <c r="B348" t="s">
        <v>784</v>
      </c>
      <c r="C348">
        <v>81.459999999999994</v>
      </c>
    </row>
    <row r="349" spans="1:3" x14ac:dyDescent="0.2">
      <c r="A349" t="s">
        <v>1155</v>
      </c>
      <c r="B349" t="s">
        <v>292</v>
      </c>
      <c r="C349">
        <v>79.89</v>
      </c>
    </row>
    <row r="350" spans="1:3" x14ac:dyDescent="0.2">
      <c r="A350" t="s">
        <v>1155</v>
      </c>
      <c r="B350" t="s">
        <v>217</v>
      </c>
      <c r="C350">
        <v>77.77</v>
      </c>
    </row>
    <row r="351" spans="1:3" x14ac:dyDescent="0.2">
      <c r="A351" t="s">
        <v>1155</v>
      </c>
      <c r="B351" t="s">
        <v>409</v>
      </c>
      <c r="C351">
        <v>73.55</v>
      </c>
    </row>
    <row r="352" spans="1:3" x14ac:dyDescent="0.2">
      <c r="A352" t="s">
        <v>1155</v>
      </c>
      <c r="B352" t="s">
        <v>803</v>
      </c>
      <c r="C352">
        <v>68.239999999999995</v>
      </c>
    </row>
    <row r="353" spans="1:3" x14ac:dyDescent="0.2">
      <c r="A353" t="s">
        <v>1155</v>
      </c>
      <c r="B353" t="s">
        <v>9</v>
      </c>
      <c r="C353">
        <v>65</v>
      </c>
    </row>
    <row r="354" spans="1:3" x14ac:dyDescent="0.2">
      <c r="A354" t="s">
        <v>1156</v>
      </c>
      <c r="B354" t="s">
        <v>1113</v>
      </c>
      <c r="C354">
        <v>141.62</v>
      </c>
    </row>
    <row r="355" spans="1:3" x14ac:dyDescent="0.2">
      <c r="A355" t="s">
        <v>1156</v>
      </c>
      <c r="B355" t="s">
        <v>1027</v>
      </c>
      <c r="C355">
        <v>89.16</v>
      </c>
    </row>
    <row r="356" spans="1:3" x14ac:dyDescent="0.2">
      <c r="A356" t="s">
        <v>1156</v>
      </c>
      <c r="B356" t="s">
        <v>362</v>
      </c>
      <c r="C356">
        <v>85.17</v>
      </c>
    </row>
    <row r="357" spans="1:3" x14ac:dyDescent="0.2">
      <c r="A357" t="s">
        <v>1156</v>
      </c>
      <c r="B357" t="s">
        <v>786</v>
      </c>
      <c r="C357">
        <v>84.07</v>
      </c>
    </row>
    <row r="358" spans="1:3" x14ac:dyDescent="0.2">
      <c r="A358" t="s">
        <v>1156</v>
      </c>
      <c r="B358" t="s">
        <v>475</v>
      </c>
      <c r="C358">
        <v>83.81</v>
      </c>
    </row>
    <row r="359" spans="1:3" x14ac:dyDescent="0.2">
      <c r="A359" t="s">
        <v>1156</v>
      </c>
      <c r="B359" t="s">
        <v>792</v>
      </c>
      <c r="C359">
        <v>83.75</v>
      </c>
    </row>
    <row r="360" spans="1:3" x14ac:dyDescent="0.2">
      <c r="A360" t="s">
        <v>1156</v>
      </c>
      <c r="B360" t="s">
        <v>242</v>
      </c>
      <c r="C360">
        <v>82.5</v>
      </c>
    </row>
    <row r="361" spans="1:3" x14ac:dyDescent="0.2">
      <c r="A361" t="s">
        <v>1156</v>
      </c>
      <c r="B361" t="s">
        <v>412</v>
      </c>
      <c r="C361">
        <v>80.099999999999994</v>
      </c>
    </row>
    <row r="362" spans="1:3" x14ac:dyDescent="0.2">
      <c r="A362" t="s">
        <v>1156</v>
      </c>
      <c r="B362" t="s">
        <v>1118</v>
      </c>
      <c r="C362">
        <v>79.819999999999993</v>
      </c>
    </row>
    <row r="363" spans="1:3" x14ac:dyDescent="0.2">
      <c r="A363" t="s">
        <v>1156</v>
      </c>
      <c r="B363" t="s">
        <v>225</v>
      </c>
      <c r="C363">
        <v>78.319999999999993</v>
      </c>
    </row>
    <row r="364" spans="1:3" x14ac:dyDescent="0.2">
      <c r="A364" t="s">
        <v>1156</v>
      </c>
      <c r="B364" t="s">
        <v>218</v>
      </c>
      <c r="C364">
        <v>77.77</v>
      </c>
    </row>
    <row r="365" spans="1:3" x14ac:dyDescent="0.2">
      <c r="A365" t="s">
        <v>1156</v>
      </c>
      <c r="B365" t="s">
        <v>336</v>
      </c>
      <c r="C365">
        <v>77.2</v>
      </c>
    </row>
    <row r="366" spans="1:3" x14ac:dyDescent="0.2">
      <c r="A366" t="s">
        <v>1156</v>
      </c>
      <c r="B366" t="s">
        <v>784</v>
      </c>
      <c r="C366">
        <v>75.2</v>
      </c>
    </row>
    <row r="367" spans="1:3" x14ac:dyDescent="0.2">
      <c r="A367" t="s">
        <v>1156</v>
      </c>
      <c r="B367" t="s">
        <v>803</v>
      </c>
      <c r="C367">
        <v>74.19</v>
      </c>
    </row>
    <row r="368" spans="1:3" x14ac:dyDescent="0.2">
      <c r="A368" t="s">
        <v>1156</v>
      </c>
      <c r="B368" t="s">
        <v>381</v>
      </c>
      <c r="C368">
        <v>74.09</v>
      </c>
    </row>
    <row r="369" spans="1:3" x14ac:dyDescent="0.2">
      <c r="A369" t="s">
        <v>1156</v>
      </c>
      <c r="B369" t="s">
        <v>942</v>
      </c>
      <c r="C369">
        <v>73.75</v>
      </c>
    </row>
    <row r="370" spans="1:3" x14ac:dyDescent="0.2">
      <c r="A370" t="s">
        <v>1156</v>
      </c>
      <c r="B370" t="s">
        <v>1126</v>
      </c>
      <c r="C370">
        <v>72.58</v>
      </c>
    </row>
    <row r="371" spans="1:3" x14ac:dyDescent="0.2">
      <c r="A371" t="s">
        <v>1156</v>
      </c>
      <c r="B371" t="s">
        <v>408</v>
      </c>
      <c r="C371">
        <v>72.45</v>
      </c>
    </row>
    <row r="372" spans="1:3" x14ac:dyDescent="0.2">
      <c r="A372" t="s">
        <v>1156</v>
      </c>
      <c r="B372" t="s">
        <v>219</v>
      </c>
      <c r="C372">
        <v>72.22</v>
      </c>
    </row>
    <row r="373" spans="1:3" x14ac:dyDescent="0.2">
      <c r="A373" t="s">
        <v>1156</v>
      </c>
      <c r="B373" t="s">
        <v>652</v>
      </c>
      <c r="C373">
        <v>71.739999999999995</v>
      </c>
    </row>
    <row r="374" spans="1:3" x14ac:dyDescent="0.2">
      <c r="A374" t="s">
        <v>1156</v>
      </c>
      <c r="B374" t="s">
        <v>474</v>
      </c>
      <c r="C374">
        <v>71.010000000000005</v>
      </c>
    </row>
    <row r="375" spans="1:3" x14ac:dyDescent="0.2">
      <c r="A375" t="s">
        <v>1156</v>
      </c>
      <c r="B375" t="s">
        <v>414</v>
      </c>
      <c r="C375">
        <v>70.3</v>
      </c>
    </row>
    <row r="376" spans="1:3" x14ac:dyDescent="0.2">
      <c r="A376" t="s">
        <v>1156</v>
      </c>
      <c r="B376" t="s">
        <v>542</v>
      </c>
      <c r="C376">
        <v>70.069999999999993</v>
      </c>
    </row>
    <row r="377" spans="1:3" x14ac:dyDescent="0.2">
      <c r="A377" t="s">
        <v>1156</v>
      </c>
      <c r="B377" t="s">
        <v>406</v>
      </c>
      <c r="C377">
        <v>70</v>
      </c>
    </row>
    <row r="378" spans="1:3" x14ac:dyDescent="0.2">
      <c r="A378" t="s">
        <v>1156</v>
      </c>
      <c r="B378" t="s">
        <v>217</v>
      </c>
      <c r="C378">
        <v>69.959999999999994</v>
      </c>
    </row>
    <row r="379" spans="1:3" x14ac:dyDescent="0.2">
      <c r="A379" t="s">
        <v>1156</v>
      </c>
      <c r="B379" t="s">
        <v>785</v>
      </c>
      <c r="C379">
        <v>69.36</v>
      </c>
    </row>
    <row r="380" spans="1:3" x14ac:dyDescent="0.2">
      <c r="A380" t="s">
        <v>1156</v>
      </c>
      <c r="B380" t="s">
        <v>409</v>
      </c>
      <c r="C380">
        <v>69.08</v>
      </c>
    </row>
    <row r="381" spans="1:3" x14ac:dyDescent="0.2">
      <c r="A381" t="s">
        <v>1156</v>
      </c>
      <c r="B381" t="s">
        <v>328</v>
      </c>
      <c r="C381">
        <v>69.03</v>
      </c>
    </row>
    <row r="382" spans="1:3" x14ac:dyDescent="0.2">
      <c r="A382" t="s">
        <v>1156</v>
      </c>
      <c r="B382" t="s">
        <v>413</v>
      </c>
      <c r="C382">
        <v>68.680000000000007</v>
      </c>
    </row>
    <row r="383" spans="1:3" x14ac:dyDescent="0.2">
      <c r="A383" t="s">
        <v>1156</v>
      </c>
      <c r="B383" t="s">
        <v>222</v>
      </c>
      <c r="C383">
        <v>68.08</v>
      </c>
    </row>
    <row r="384" spans="1:3" x14ac:dyDescent="0.2">
      <c r="A384" t="s">
        <v>1156</v>
      </c>
      <c r="B384" t="s">
        <v>221</v>
      </c>
      <c r="C384">
        <v>67.849999999999994</v>
      </c>
    </row>
    <row r="385" spans="1:3" x14ac:dyDescent="0.2">
      <c r="A385" t="s">
        <v>1156</v>
      </c>
      <c r="B385" t="s">
        <v>363</v>
      </c>
      <c r="C385">
        <v>66.400000000000006</v>
      </c>
    </row>
    <row r="386" spans="1:3" x14ac:dyDescent="0.2">
      <c r="A386" t="s">
        <v>1156</v>
      </c>
      <c r="B386" t="s">
        <v>1103</v>
      </c>
      <c r="C386">
        <v>66.25</v>
      </c>
    </row>
    <row r="387" spans="1:3" x14ac:dyDescent="0.2">
      <c r="A387" t="s">
        <v>1156</v>
      </c>
      <c r="B387" t="s">
        <v>1106</v>
      </c>
      <c r="C387">
        <v>65.36</v>
      </c>
    </row>
    <row r="388" spans="1:3" x14ac:dyDescent="0.2">
      <c r="A388" t="s">
        <v>1156</v>
      </c>
      <c r="B388" t="s">
        <v>1028</v>
      </c>
      <c r="C388">
        <v>65.23</v>
      </c>
    </row>
    <row r="389" spans="1:3" x14ac:dyDescent="0.2">
      <c r="A389" t="s">
        <v>1156</v>
      </c>
      <c r="B389" t="s">
        <v>1135</v>
      </c>
      <c r="C389">
        <v>62.4</v>
      </c>
    </row>
    <row r="390" spans="1:3" x14ac:dyDescent="0.2">
      <c r="A390" t="s">
        <v>1156</v>
      </c>
      <c r="B390" t="s">
        <v>9</v>
      </c>
      <c r="C390">
        <v>60</v>
      </c>
    </row>
    <row r="391" spans="1:3" x14ac:dyDescent="0.2">
      <c r="A391" t="s">
        <v>1156</v>
      </c>
      <c r="B391" t="s">
        <v>215</v>
      </c>
      <c r="C391">
        <v>59.8</v>
      </c>
    </row>
    <row r="392" spans="1:3" x14ac:dyDescent="0.2">
      <c r="A392" t="s">
        <v>1156</v>
      </c>
      <c r="B392" t="s">
        <v>1026</v>
      </c>
      <c r="C392">
        <v>44.62</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in</vt:lpstr>
      <vt:lpstr>omie</vt:lpstr>
      <vt:lpstr>ene</vt:lpstr>
      <vt:lpstr>feb</vt:lpstr>
      <vt:lpstr>mar</vt:lpstr>
      <vt:lpstr>abr</vt:lpstr>
      <vt:lpstr>may</vt:lpstr>
      <vt:lpstr>jun</vt:lpstr>
      <vt:lpstr>jul</vt:lpstr>
      <vt:lpstr>ago</vt:lpstr>
      <vt:lpstr>sep</vt:lpstr>
      <vt:lpstr>oct</vt:lpstr>
      <vt:lpstr>powerrange</vt:lpstr>
      <vt:lpstr>gauss</vt:lpstr>
      <vt:lpstr>externo</vt:lpstr>
      <vt:lpstr>res_mes</vt:lpstr>
      <vt:lpstr>acum_porc</vt:lpstr>
      <vt:lpstr>acum_abs</vt:lpstr>
      <vt:lpstr>estadisticas</vt:lpstr>
      <vt:lpstr>jugadores_2024</vt:lpstr>
      <vt:lpstr>apuestas_2024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2024-10-24T21:13:39Z</dcterms:modified>
</cp:coreProperties>
</file>