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3.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tables/table17.xml" ContentType="application/vnd.openxmlformats-officedocument.spreadsheetml.table+xml"/>
  <Override PartName="/xl/queryTables/queryTable15.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queryTables/queryTable16.xml" ContentType="application/vnd.openxmlformats-officedocument.spreadsheetml.queryTable+xml"/>
  <Override PartName="/xl/tables/table20.xml" ContentType="application/vnd.openxmlformats-officedocument.spreadsheetml.table+xml"/>
  <Override PartName="/xl/queryTables/queryTable17.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queryTables/queryTable20.xml" ContentType="application/vnd.openxmlformats-officedocument.spreadsheetml.queryTable+xml"/>
  <Override PartName="/xl/tables/table26.xml" ContentType="application/vnd.openxmlformats-officedocument.spreadsheetml.table+xml"/>
  <Override PartName="/xl/queryTables/queryTable21.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queryTables/queryTable22.xml" ContentType="application/vnd.openxmlformats-officedocument.spreadsheetml.queryTable+xml"/>
  <Override PartName="/xl/tables/table29.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queryTables/queryTable23.xml" ContentType="application/vnd.openxmlformats-officedocument.spreadsheetml.queryTable+xml"/>
  <Override PartName="/xl/tables/table32.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3.xml" ContentType="application/vnd.openxmlformats-officedocument.spreadsheetml.table+xml"/>
  <Override PartName="/xl/tables/table34.xml" ContentType="application/vnd.openxmlformats-officedocument.spreadsheetml.table+xml"/>
  <Override PartName="/xl/queryTables/queryTable24.xml" ContentType="application/vnd.openxmlformats-officedocument.spreadsheetml.queryTable+xml"/>
  <Override PartName="/xl/tables/table35.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6.xml" ContentType="application/vnd.openxmlformats-officedocument.spreadsheetml.table+xml"/>
  <Override PartName="/xl/tables/table37.xml" ContentType="application/vnd.openxmlformats-officedocument.spreadsheetml.table+xml"/>
  <Override PartName="/xl/queryTables/queryTable25.xml" ContentType="application/vnd.openxmlformats-officedocument.spreadsheetml.queryTable+xml"/>
  <Override PartName="/xl/tables/table38.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drawings/drawing21.xml" ContentType="application/vnd.openxmlformats-officedocument.drawing+xml"/>
  <Override PartName="/xl/tables/table41.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2.xml" ContentType="application/vnd.openxmlformats-officedocument.drawingml.chartshapes+xml"/>
  <Override PartName="/xl/charts/chartEx1.xml" ContentType="application/vnd.ms-office.chartex+xml"/>
  <Override PartName="/xl/charts/style57.xml" ContentType="application/vnd.ms-office.chartstyle+xml"/>
  <Override PartName="/xl/charts/colors57.xml" ContentType="application/vnd.ms-office.chartcolorstyle+xml"/>
  <Override PartName="/xl/tables/table42.xml" ContentType="application/vnd.openxmlformats-officedocument.spreadsheetml.table+xml"/>
  <Override PartName="/xl/queryTables/queryTable26.xml" ContentType="application/vnd.openxmlformats-officedocument.spreadsheetml.queryTable+xml"/>
  <Override PartName="/xl/tables/table43.xml" ContentType="application/vnd.openxmlformats-officedocument.spreadsheetml.table+xml"/>
  <Override PartName="/xl/queryTables/queryTable27.xml" ContentType="application/vnd.openxmlformats-officedocument.spreadsheetml.queryTable+xml"/>
  <Override PartName="/xl/tables/table44.xml" ContentType="application/vnd.openxmlformats-officedocument.spreadsheetml.table+xml"/>
  <Override PartName="/xl/queryTables/queryTable28.xml" ContentType="application/vnd.openxmlformats-officedocument.spreadsheetml.queryTable+xml"/>
  <Override PartName="/xl/tables/table45.xml" ContentType="application/vnd.openxmlformats-officedocument.spreadsheetml.table+xml"/>
  <Override PartName="/xl/queryTables/queryTable29.xml" ContentType="application/vnd.openxmlformats-officedocument.spreadsheetml.queryTable+xml"/>
  <Override PartName="/xl/tables/table46.xml" ContentType="application/vnd.openxmlformats-officedocument.spreadsheetml.table+xml"/>
  <Override PartName="/xl/queryTables/queryTable30.xml" ContentType="application/vnd.openxmlformats-officedocument.spreadsheetml.queryTable+xml"/>
  <Override PartName="/xl/tables/table47.xml" ContentType="application/vnd.openxmlformats-officedocument.spreadsheetml.table+xml"/>
  <Override PartName="/xl/queryTables/queryTable31.xml" ContentType="application/vnd.openxmlformats-officedocument.spreadsheetml.queryTable+xml"/>
  <Override PartName="/xl/tables/table48.xml" ContentType="application/vnd.openxmlformats-officedocument.spreadsheetml.table+xml"/>
  <Override PartName="/xl/queryTables/queryTable32.xml" ContentType="application/vnd.openxmlformats-officedocument.spreadsheetml.queryTable+xml"/>
  <Override PartName="/xl/tables/table49.xml" ContentType="application/vnd.openxmlformats-officedocument.spreadsheetml.table+xml"/>
  <Override PartName="/xl/queryTables/queryTable33.xml" ContentType="application/vnd.openxmlformats-officedocument.spreadsheetml.queryTable+xml"/>
  <Override PartName="/xl/tables/table50.xml" ContentType="application/vnd.openxmlformats-officedocument.spreadsheetml.table+xml"/>
  <Override PartName="/xl/queryTables/queryTable34.xml" ContentType="application/vnd.openxmlformats-officedocument.spreadsheetml.queryTable+xml"/>
  <Override PartName="/xl/tables/table51.xml" ContentType="application/vnd.openxmlformats-officedocument.spreadsheetml.table+xml"/>
  <Override PartName="/xl/queryTables/queryTable35.xml" ContentType="application/vnd.openxmlformats-officedocument.spreadsheetml.queryTable+xml"/>
  <Override PartName="/xl/drawings/drawing23.xml" ContentType="application/vnd.openxmlformats-officedocument.drawing+xml"/>
  <Override PartName="/xl/tables/table52.xml" ContentType="application/vnd.openxmlformats-officedocument.spreadsheetml.table+xml"/>
  <Override PartName="/xl/queryTables/queryTable36.xml" ContentType="application/vnd.openxmlformats-officedocument.spreadsheetml.queryTable+xml"/>
  <Override PartName="/xl/charts/chart75.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tables/table53.xml" ContentType="application/vnd.openxmlformats-officedocument.spreadsheetml.table+xml"/>
  <Override PartName="/xl/queryTables/queryTable37.xml" ContentType="application/vnd.openxmlformats-officedocument.spreadsheetml.queryTable+xml"/>
  <Override PartName="/xl/charts/chart76.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ml.chartshapes+xml"/>
  <Override PartName="/xl/pivotTables/pivotTable1.xml" ContentType="application/vnd.openxmlformats-officedocument.spreadsheetml.pivotTable+xml"/>
  <Override PartName="/xl/tables/table54.xml" ContentType="application/vnd.openxmlformats-officedocument.spreadsheetml.table+xml"/>
  <Override PartName="/xl/queryTables/queryTable38.xml" ContentType="application/vnd.openxmlformats-officedocument.spreadsheetml.queryTable+xml"/>
  <Override PartName="/xl/tables/table55.xml" ContentType="application/vnd.openxmlformats-officedocument.spreadsheetml.table+xml"/>
  <Override PartName="/xl/queryTables/queryTable3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796E95D5-4481-4E36-97FB-A4A8ABDDF212}" xr6:coauthVersionLast="47" xr6:coauthVersionMax="47" xr10:uidLastSave="{00000000-0000-0000-0000-000000000000}"/>
  <bookViews>
    <workbookView xWindow="-120" yWindow="-120" windowWidth="38640" windowHeight="21840" activeTab="15"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powerrange" sheetId="39" r:id="rId12"/>
    <sheet name="gauss" sheetId="41" r:id="rId13"/>
    <sheet name="externo" sheetId="7" r:id="rId14"/>
    <sheet name="res_mes" sheetId="12" r:id="rId15"/>
    <sheet name="acum_porc" sheetId="32" r:id="rId16"/>
    <sheet name="acum_abs" sheetId="33" r:id="rId17"/>
    <sheet name="estadisticas" sheetId="35" r:id="rId18"/>
    <sheet name="jugadores_2024" sheetId="36" r:id="rId19"/>
  </sheets>
  <externalReferences>
    <externalReference r:id="rId20"/>
  </externalReferences>
  <definedNames>
    <definedName name="_xlchart.v1.0" hidden="1">gauss!$B$3:$B$41</definedName>
    <definedName name="DatosExternos_1" localSheetId="5" hidden="1">abr!$A$6:$E$35</definedName>
    <definedName name="DatosExternos_1" localSheetId="16" hidden="1">acum_abs!$A$1:$J$96</definedName>
    <definedName name="DatosExternos_1" localSheetId="15" hidden="1">acum_porc!$A$1:$J$96</definedName>
    <definedName name="DatosExternos_1" localSheetId="9" hidden="1">ago!$A$6:$E$47</definedName>
    <definedName name="DatosExternos_1" localSheetId="2" hidden="1">ene!$A$6:$E$42</definedName>
    <definedName name="DatosExternos_1" localSheetId="17" hidden="1">estadisticas!$A$1:$E$64</definedName>
    <definedName name="DatosExternos_1" localSheetId="13" hidden="1">externo!$A$3:$E$27</definedName>
    <definedName name="DatosExternos_1" localSheetId="3" hidden="1">feb!$A$6:$E$41</definedName>
    <definedName name="DatosExternos_1" localSheetId="0" hidden="1">in!$A$1:$H$373</definedName>
    <definedName name="DatosExternos_1" localSheetId="18" hidden="1">jugadores_2024!$A$1:$C$88</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omie!$A$4:$B$276</definedName>
    <definedName name="DatosExternos_1" localSheetId="14" hidden="1">res_mes!$A$1:$F$36</definedName>
    <definedName name="DatosExternos_1" localSheetId="10" hidden="1">sep!$A$6:$E$45</definedName>
    <definedName name="DatosExternos_10" localSheetId="1" hidden="1">omie!$AB$4:$AC$32</definedName>
    <definedName name="DatosExternos_2" localSheetId="5" hidden="1">abr!$P$6:$Q$36</definedName>
    <definedName name="DatosExternos_2" localSheetId="2" hidden="1">ene!$P$6:$Q$37</definedName>
    <definedName name="DatosExternos_2" localSheetId="13"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4" hidden="1">res_mes!$H$1:$M$36</definedName>
    <definedName name="DatosExternos_3" localSheetId="13" hidden="1">externo!$K$3:$M$34</definedName>
    <definedName name="DatosExternos_3" localSheetId="1" hidden="1">omie!$G$4:$H$33</definedName>
    <definedName name="DatosExternos_3" localSheetId="14" hidden="1">res_mes!$O$1:$T$26</definedName>
    <definedName name="DatosExternos_4" localSheetId="13" hidden="1">externo!$O$3:$AD$34</definedName>
    <definedName name="DatosExternos_4" localSheetId="1" hidden="1">omie!$J$4:$K$35</definedName>
    <definedName name="DatosExternos_4" localSheetId="14" hidden="1">res_mes!$V$1:$AA$30</definedName>
    <definedName name="DatosExternos_5" localSheetId="1" hidden="1">omie!$M$4:$N$34</definedName>
    <definedName name="DatosExternos_5" localSheetId="14" hidden="1">res_mes!$AC$1:$AH$44</definedName>
    <definedName name="DatosExternos_6" localSheetId="1" hidden="1">omie!$P$4:$Q$35</definedName>
    <definedName name="DatosExternos_6" localSheetId="14"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0" r:id="rId2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0" i="32" l="1"/>
  <c r="K25" i="32"/>
  <c r="K26" i="32"/>
  <c r="K27" i="32"/>
  <c r="K15" i="32"/>
  <c r="M15" i="32" s="1"/>
  <c r="K16" i="32"/>
  <c r="K28" i="32"/>
  <c r="K29" i="32"/>
  <c r="K30" i="32"/>
  <c r="M30" i="32" s="1"/>
  <c r="K31" i="32"/>
  <c r="K32" i="32"/>
  <c r="K33" i="32"/>
  <c r="M33" i="32" s="1"/>
  <c r="K13" i="32"/>
  <c r="K34" i="32"/>
  <c r="K35" i="32"/>
  <c r="K36" i="32"/>
  <c r="K37" i="32"/>
  <c r="M37" i="32" s="1"/>
  <c r="K38" i="32"/>
  <c r="K39" i="32"/>
  <c r="K40" i="32"/>
  <c r="K41" i="32"/>
  <c r="M41" i="32" s="1"/>
  <c r="K18" i="32"/>
  <c r="K14" i="32"/>
  <c r="K42" i="32"/>
  <c r="M42" i="32" s="1"/>
  <c r="K43" i="32"/>
  <c r="K6" i="32"/>
  <c r="K44" i="32"/>
  <c r="K45" i="32"/>
  <c r="K46" i="32"/>
  <c r="M46" i="32" s="1"/>
  <c r="K47" i="32"/>
  <c r="K12" i="32"/>
  <c r="M12" i="32" s="1"/>
  <c r="K48" i="32"/>
  <c r="K49" i="32"/>
  <c r="M49" i="32" s="1"/>
  <c r="K9" i="32"/>
  <c r="K50" i="32"/>
  <c r="K10" i="32"/>
  <c r="K22" i="32"/>
  <c r="K51" i="32"/>
  <c r="K52" i="32"/>
  <c r="K53" i="32"/>
  <c r="K5" i="32"/>
  <c r="M5" i="32" s="1"/>
  <c r="K2" i="32"/>
  <c r="K54" i="32"/>
  <c r="K55" i="32"/>
  <c r="K56" i="32"/>
  <c r="M56" i="32" s="1"/>
  <c r="K11" i="32"/>
  <c r="M11" i="32" s="1"/>
  <c r="K57" i="32"/>
  <c r="K58" i="32"/>
  <c r="K59" i="32"/>
  <c r="K60" i="32"/>
  <c r="K3" i="32"/>
  <c r="K19" i="32"/>
  <c r="M19" i="32" s="1"/>
  <c r="K61" i="32"/>
  <c r="M61" i="32" s="1"/>
  <c r="K62" i="32"/>
  <c r="K63" i="32"/>
  <c r="M63" i="32" s="1"/>
  <c r="K64" i="32"/>
  <c r="K21" i="32"/>
  <c r="M21" i="32" s="1"/>
  <c r="K65" i="32"/>
  <c r="K66" i="32"/>
  <c r="M66" i="32" s="1"/>
  <c r="K7" i="32"/>
  <c r="K17" i="32"/>
  <c r="K67" i="32"/>
  <c r="K24" i="32"/>
  <c r="K68" i="32"/>
  <c r="K69" i="32"/>
  <c r="M69" i="32" s="1"/>
  <c r="K70" i="32"/>
  <c r="K71" i="32"/>
  <c r="K72" i="32"/>
  <c r="K73" i="32"/>
  <c r="M73" i="32" s="1"/>
  <c r="K74" i="32"/>
  <c r="K75" i="32"/>
  <c r="M75" i="32" s="1"/>
  <c r="K76" i="32"/>
  <c r="M76" i="32" s="1"/>
  <c r="K23" i="32"/>
  <c r="K77" i="32"/>
  <c r="K78" i="32"/>
  <c r="K79" i="32"/>
  <c r="M79" i="32" s="1"/>
  <c r="K80" i="32"/>
  <c r="M80" i="32" s="1"/>
  <c r="K81" i="32"/>
  <c r="K82" i="32"/>
  <c r="K83" i="32"/>
  <c r="K4" i="32"/>
  <c r="M4" i="32" s="1"/>
  <c r="K84" i="32"/>
  <c r="K85" i="32"/>
  <c r="K8" i="32"/>
  <c r="M8" i="32" s="1"/>
  <c r="K86" i="32"/>
  <c r="K87" i="32"/>
  <c r="K88" i="32"/>
  <c r="K89" i="32"/>
  <c r="K90" i="32"/>
  <c r="M90" i="32" s="1"/>
  <c r="K91" i="32"/>
  <c r="K92" i="32"/>
  <c r="M92" i="32" s="1"/>
  <c r="K93" i="32"/>
  <c r="K94" i="32"/>
  <c r="M94" i="32" s="1"/>
  <c r="K95" i="32"/>
  <c r="K96" i="32"/>
  <c r="M20" i="32"/>
  <c r="M25" i="32"/>
  <c r="M26" i="32"/>
  <c r="M27" i="32"/>
  <c r="M16" i="32"/>
  <c r="M29" i="32"/>
  <c r="M31" i="32"/>
  <c r="M32" i="32"/>
  <c r="M13" i="32"/>
  <c r="M34" i="32"/>
  <c r="M35" i="32"/>
  <c r="M38" i="32"/>
  <c r="M40" i="32"/>
  <c r="M18" i="32"/>
  <c r="M43" i="32"/>
  <c r="M6" i="32"/>
  <c r="M44" i="32"/>
  <c r="M45" i="32"/>
  <c r="M47" i="32"/>
  <c r="M48" i="32"/>
  <c r="M50" i="32"/>
  <c r="M22" i="32"/>
  <c r="M51" i="32"/>
  <c r="M52" i="32"/>
  <c r="M53" i="32"/>
  <c r="M2" i="32"/>
  <c r="M54" i="32"/>
  <c r="M55" i="32"/>
  <c r="M59" i="32"/>
  <c r="M60" i="32"/>
  <c r="M3" i="32"/>
  <c r="M62" i="32"/>
  <c r="M64" i="32"/>
  <c r="M65" i="32"/>
  <c r="M17" i="32"/>
  <c r="M67" i="32"/>
  <c r="M24" i="32"/>
  <c r="M68" i="32"/>
  <c r="M70" i="32"/>
  <c r="M71" i="32"/>
  <c r="M72" i="32"/>
  <c r="M23" i="32"/>
  <c r="M77" i="32"/>
  <c r="M78" i="32"/>
  <c r="M81" i="32"/>
  <c r="M83" i="32"/>
  <c r="M84" i="32"/>
  <c r="M86" i="32"/>
  <c r="M87" i="32"/>
  <c r="M88" i="32"/>
  <c r="M89" i="32"/>
  <c r="M91" i="32"/>
  <c r="M93" i="32"/>
  <c r="M96" i="32"/>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Q36" i="44"/>
  <c r="Q35" i="44"/>
  <c r="U34" i="39"/>
  <c r="AE4" i="7"/>
  <c r="AE5" i="7"/>
  <c r="AE6" i="7"/>
  <c r="AE7" i="7"/>
  <c r="AE8" i="7"/>
  <c r="AE9" i="7"/>
  <c r="AE10" i="7"/>
  <c r="AE11" i="7"/>
  <c r="AE12" i="7"/>
  <c r="AE13" i="7"/>
  <c r="AE14" i="7"/>
  <c r="AE15" i="7"/>
  <c r="AE16" i="7"/>
  <c r="AE17" i="7"/>
  <c r="AE18" i="7"/>
  <c r="AE19" i="7"/>
  <c r="AE20" i="7"/>
  <c r="AE21" i="7"/>
  <c r="AE22" i="7"/>
  <c r="AE23" i="7"/>
  <c r="AE24" i="7"/>
  <c r="AE25" i="7"/>
  <c r="AE26" i="7"/>
  <c r="AE27" i="7"/>
  <c r="AE28" i="7"/>
  <c r="M74" i="32" l="1"/>
  <c r="M85" i="32"/>
  <c r="M14" i="32"/>
  <c r="M28" i="32"/>
  <c r="M10" i="32"/>
  <c r="M39" i="32"/>
  <c r="M95" i="32"/>
  <c r="M58" i="32"/>
  <c r="M57" i="32"/>
  <c r="M36" i="32"/>
  <c r="M9" i="32"/>
  <c r="M82" i="32"/>
  <c r="M7" i="32"/>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C13" i="39" l="1"/>
  <c r="C12" i="39"/>
  <c r="C11" i="39"/>
  <c r="C10" i="39"/>
  <c r="Q7" i="44"/>
  <c r="C9" i="39" s="1"/>
  <c r="C18" i="39"/>
  <c r="C17" i="39"/>
  <c r="C16" i="39"/>
  <c r="C15" i="39"/>
  <c r="F18" i="39"/>
  <c r="F5" i="41"/>
  <c r="F4" i="41"/>
  <c r="F3" i="41"/>
  <c r="Q37" i="44"/>
  <c r="C36" i="39"/>
  <c r="C35" i="39"/>
  <c r="C34" i="39"/>
  <c r="C33" i="39"/>
  <c r="C32" i="39"/>
  <c r="C31" i="39"/>
  <c r="C30" i="39"/>
  <c r="C29" i="39"/>
  <c r="C28" i="39"/>
  <c r="C27" i="39"/>
  <c r="C26" i="39"/>
  <c r="C25" i="39"/>
  <c r="C24" i="39"/>
  <c r="C23" i="39"/>
  <c r="C22" i="39"/>
  <c r="C21" i="39"/>
  <c r="C20" i="39"/>
  <c r="C19" i="39"/>
  <c r="C14" i="39"/>
  <c r="B5" i="44"/>
  <c r="B4" i="44"/>
  <c r="B3" i="44" s="1"/>
  <c r="AC3" i="1"/>
  <c r="M45" i="44"/>
  <c r="M46" i="39" s="1"/>
  <c r="L45" i="44"/>
  <c r="L46" i="39" s="1"/>
  <c r="M44" i="44"/>
  <c r="M45" i="39" s="1"/>
  <c r="L44" i="44"/>
  <c r="L45" i="39" s="1"/>
  <c r="M43" i="44"/>
  <c r="M44" i="39" s="1"/>
  <c r="L43" i="44"/>
  <c r="L44" i="39" s="1"/>
  <c r="M42" i="44"/>
  <c r="M43" i="39" s="1"/>
  <c r="L42" i="44"/>
  <c r="L43" i="39" s="1"/>
  <c r="M41" i="44"/>
  <c r="M42" i="39" s="1"/>
  <c r="L41" i="44"/>
  <c r="L42" i="39" s="1"/>
  <c r="M40" i="44"/>
  <c r="M41" i="39" s="1"/>
  <c r="L40" i="44"/>
  <c r="L41" i="39" s="1"/>
  <c r="M39" i="44"/>
  <c r="M40" i="39" s="1"/>
  <c r="L39" i="44"/>
  <c r="L40" i="39" s="1"/>
  <c r="M38" i="44"/>
  <c r="M39" i="39" s="1"/>
  <c r="L38" i="44"/>
  <c r="L39" i="39" s="1"/>
  <c r="M37" i="44"/>
  <c r="M38" i="39" s="1"/>
  <c r="L37" i="44"/>
  <c r="L38" i="39" s="1"/>
  <c r="M36" i="44"/>
  <c r="M37" i="39" s="1"/>
  <c r="L36" i="44"/>
  <c r="L37" i="39" s="1"/>
  <c r="M35" i="44"/>
  <c r="M36" i="39" s="1"/>
  <c r="L35" i="44"/>
  <c r="L36" i="39" s="1"/>
  <c r="M34" i="44"/>
  <c r="M35" i="39" s="1"/>
  <c r="L34" i="44"/>
  <c r="L35" i="39" s="1"/>
  <c r="M33" i="44"/>
  <c r="M34" i="39" s="1"/>
  <c r="L33" i="44"/>
  <c r="L34" i="39" s="1"/>
  <c r="M32" i="44"/>
  <c r="M33" i="39" s="1"/>
  <c r="L32" i="44"/>
  <c r="L33" i="39" s="1"/>
  <c r="M31" i="44"/>
  <c r="M32" i="39" s="1"/>
  <c r="L31" i="44"/>
  <c r="L32" i="39" s="1"/>
  <c r="M30" i="44"/>
  <c r="M31" i="39" s="1"/>
  <c r="L30" i="44"/>
  <c r="L31" i="39" s="1"/>
  <c r="M29" i="44"/>
  <c r="M30" i="39" s="1"/>
  <c r="L29" i="44"/>
  <c r="L30" i="39" s="1"/>
  <c r="M28" i="44"/>
  <c r="M29" i="39" s="1"/>
  <c r="L28" i="44"/>
  <c r="L29" i="39" s="1"/>
  <c r="M27" i="44"/>
  <c r="M28" i="39" s="1"/>
  <c r="L27" i="44"/>
  <c r="L28" i="39" s="1"/>
  <c r="M26" i="44"/>
  <c r="M27" i="39" s="1"/>
  <c r="L26" i="44"/>
  <c r="L27" i="39" s="1"/>
  <c r="M25" i="44"/>
  <c r="M26" i="39" s="1"/>
  <c r="L25" i="44"/>
  <c r="L26" i="39" s="1"/>
  <c r="M24" i="44"/>
  <c r="M25" i="39" s="1"/>
  <c r="L24" i="44"/>
  <c r="L25" i="39" s="1"/>
  <c r="M23" i="44"/>
  <c r="M24" i="39" s="1"/>
  <c r="L23" i="44"/>
  <c r="L24" i="39" s="1"/>
  <c r="M22" i="44"/>
  <c r="M23" i="39" s="1"/>
  <c r="L22" i="44"/>
  <c r="L23" i="39" s="1"/>
  <c r="M21" i="44"/>
  <c r="M22" i="39" s="1"/>
  <c r="L21" i="44"/>
  <c r="L22" i="39" s="1"/>
  <c r="M20" i="44"/>
  <c r="M21" i="39" s="1"/>
  <c r="L20" i="44"/>
  <c r="L21" i="39" s="1"/>
  <c r="M19" i="44"/>
  <c r="M20" i="39" s="1"/>
  <c r="L19" i="44"/>
  <c r="L20" i="39" s="1"/>
  <c r="M18" i="44"/>
  <c r="M19" i="39" s="1"/>
  <c r="L18" i="44"/>
  <c r="L19" i="39" s="1"/>
  <c r="M17" i="44"/>
  <c r="M18" i="39" s="1"/>
  <c r="L17" i="44"/>
  <c r="L18" i="39" s="1"/>
  <c r="M16" i="44"/>
  <c r="M17" i="39" s="1"/>
  <c r="L16" i="44"/>
  <c r="L17" i="39" s="1"/>
  <c r="M15" i="44"/>
  <c r="M16" i="39" s="1"/>
  <c r="L15" i="44"/>
  <c r="L16" i="39" s="1"/>
  <c r="M14" i="44"/>
  <c r="M15" i="39" s="1"/>
  <c r="L14" i="44"/>
  <c r="L15" i="39" s="1"/>
  <c r="M13" i="44"/>
  <c r="M14" i="39" s="1"/>
  <c r="L13" i="44"/>
  <c r="L14" i="39" s="1"/>
  <c r="M12" i="44"/>
  <c r="M13" i="39" s="1"/>
  <c r="L12" i="44"/>
  <c r="L13" i="39" s="1"/>
  <c r="M11" i="44"/>
  <c r="M12" i="39" s="1"/>
  <c r="L11" i="44"/>
  <c r="L12" i="39" s="1"/>
  <c r="M10" i="44"/>
  <c r="M11" i="39" s="1"/>
  <c r="L10" i="44"/>
  <c r="L11" i="39" s="1"/>
  <c r="M9" i="44"/>
  <c r="M10" i="39" s="1"/>
  <c r="L9" i="44"/>
  <c r="L10" i="39" s="1"/>
  <c r="M8" i="44"/>
  <c r="M9" i="39" s="1"/>
  <c r="L8" i="44"/>
  <c r="L9" i="39" s="1"/>
  <c r="M7" i="44"/>
  <c r="M8" i="39" s="1"/>
  <c r="L7" i="44"/>
  <c r="L8" i="39" s="1"/>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L49" i="41"/>
  <c r="M50" i="41" s="1"/>
  <c r="R45" i="41"/>
  <c r="F15" i="39"/>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K9" i="39" s="1"/>
  <c r="O25" i="44"/>
  <c r="K40" i="44"/>
  <c r="K41" i="39" s="1"/>
  <c r="K19" i="44"/>
  <c r="K20" i="39" s="1"/>
  <c r="K9" i="44"/>
  <c r="K10" i="39" s="1"/>
  <c r="K43" i="44"/>
  <c r="K44" i="39" s="1"/>
  <c r="K39" i="44"/>
  <c r="K40" i="39" s="1"/>
  <c r="K21" i="44"/>
  <c r="K22" i="39" s="1"/>
  <c r="K7" i="44"/>
  <c r="K8" i="39" s="1"/>
  <c r="K32" i="44"/>
  <c r="K33" i="39" s="1"/>
  <c r="K17" i="44"/>
  <c r="K18" i="39" s="1"/>
  <c r="K42" i="44"/>
  <c r="K43" i="39" s="1"/>
  <c r="K33" i="44"/>
  <c r="K34" i="39" s="1"/>
  <c r="K23" i="44"/>
  <c r="K24" i="39" s="1"/>
  <c r="K30" i="44"/>
  <c r="K31" i="39" s="1"/>
  <c r="K27" i="44"/>
  <c r="K28" i="39" s="1"/>
  <c r="K34" i="44"/>
  <c r="K35" i="39" s="1"/>
  <c r="K29" i="44"/>
  <c r="K30" i="39" s="1"/>
  <c r="K25" i="44"/>
  <c r="K26" i="39" s="1"/>
  <c r="K28" i="44"/>
  <c r="K29" i="39" s="1"/>
  <c r="K15" i="44"/>
  <c r="K16" i="39" s="1"/>
  <c r="K10" i="44"/>
  <c r="K11" i="39" s="1"/>
  <c r="K16" i="44"/>
  <c r="K17" i="39" s="1"/>
  <c r="K24" i="44"/>
  <c r="K25" i="39" s="1"/>
  <c r="K13" i="44"/>
  <c r="K14" i="39" s="1"/>
  <c r="K18" i="44"/>
  <c r="K19" i="39" s="1"/>
  <c r="K26" i="44"/>
  <c r="K27" i="39" s="1"/>
  <c r="K41" i="44"/>
  <c r="K42" i="39" s="1"/>
  <c r="K14" i="44"/>
  <c r="K15" i="39" s="1"/>
  <c r="K11" i="44"/>
  <c r="K12" i="39" s="1"/>
  <c r="K35" i="44"/>
  <c r="K36" i="39" s="1"/>
  <c r="K37" i="44"/>
  <c r="K38" i="39" s="1"/>
  <c r="K12" i="44"/>
  <c r="K13" i="39" s="1"/>
  <c r="K45" i="44"/>
  <c r="K46" i="39" s="1"/>
  <c r="K44" i="44"/>
  <c r="K45" i="39" s="1"/>
  <c r="K20" i="44"/>
  <c r="K21" i="39" s="1"/>
  <c r="K31" i="44"/>
  <c r="K32" i="39" s="1"/>
  <c r="K38" i="44"/>
  <c r="K39" i="39" s="1"/>
  <c r="K22" i="44"/>
  <c r="K23" i="39" s="1"/>
  <c r="K36" i="44"/>
  <c r="K37" i="39" s="1"/>
  <c r="O32" i="44"/>
  <c r="O43" i="44"/>
  <c r="O21" i="44"/>
  <c r="O38" i="44"/>
  <c r="O30" i="44"/>
  <c r="O16" i="44"/>
  <c r="O20" i="44"/>
  <c r="O45" i="44"/>
  <c r="O14" i="44"/>
  <c r="O42" i="44"/>
  <c r="O24" i="44"/>
  <c r="O26" i="44"/>
  <c r="O22" i="44"/>
  <c r="O36" i="44"/>
  <c r="O19" i="44"/>
  <c r="O39" i="44"/>
  <c r="O41" i="44"/>
  <c r="O9" i="44"/>
  <c r="F16" i="39" l="1"/>
  <c r="Q37" i="43" l="1"/>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U17" i="39" l="1"/>
  <c r="Q37" i="42"/>
  <c r="P2" i="32"/>
  <c r="O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6" i="41"/>
  <c r="R47" i="41" s="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F2" i="1"/>
  <c r="AG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Z3" i="32" l="1"/>
  <c r="L25" i="32" l="1"/>
  <c r="L48" i="32"/>
  <c r="L24" i="32"/>
  <c r="L63" i="32"/>
  <c r="L20" i="32"/>
  <c r="L11" i="32"/>
  <c r="L26" i="32"/>
  <c r="L83" i="32"/>
  <c r="L16" i="32"/>
  <c r="L18" i="32"/>
  <c r="L19" i="32"/>
  <c r="L52" i="32"/>
  <c r="L81" i="32"/>
  <c r="L60" i="32"/>
  <c r="L40" i="32"/>
  <c r="L3" i="32"/>
  <c r="L22" i="32"/>
  <c r="L72" i="32"/>
  <c r="L43" i="32"/>
  <c r="L87" i="32"/>
  <c r="L93" i="32"/>
  <c r="L29" i="32"/>
  <c r="L51" i="32"/>
  <c r="L62" i="32"/>
  <c r="L86" i="32"/>
  <c r="L31" i="32"/>
  <c r="L75" i="32"/>
  <c r="L35" i="32"/>
  <c r="L67" i="32"/>
  <c r="L6" i="32"/>
  <c r="L64" i="32"/>
  <c r="L88" i="32"/>
  <c r="L2" i="32"/>
  <c r="L77" i="32"/>
  <c r="L13" i="32"/>
  <c r="L45" i="32"/>
  <c r="L91" i="32"/>
  <c r="L47" i="32"/>
  <c r="L17" i="32"/>
  <c r="L12" i="32"/>
  <c r="L44" i="32"/>
  <c r="L78" i="32"/>
  <c r="L34" i="32"/>
  <c r="L55" i="32"/>
  <c r="L79" i="32"/>
  <c r="L96" i="32"/>
  <c r="L10" i="32"/>
  <c r="L27" i="32"/>
  <c r="L4" i="32"/>
  <c r="L46" i="32"/>
  <c r="L57" i="32"/>
  <c r="L49" i="32"/>
  <c r="L68" i="32"/>
  <c r="L41" i="32"/>
  <c r="L32" i="32"/>
  <c r="L8" i="32"/>
  <c r="L30" i="32"/>
  <c r="L61" i="32"/>
  <c r="L7" i="32"/>
  <c r="L85" i="32"/>
  <c r="L82" i="32"/>
  <c r="L59" i="32"/>
  <c r="L73" i="32"/>
  <c r="L37" i="32"/>
  <c r="L38" i="32"/>
  <c r="L50" i="32"/>
  <c r="L76" i="32"/>
  <c r="L36" i="32"/>
  <c r="L89" i="32"/>
  <c r="L53" i="32"/>
  <c r="L14" i="32"/>
  <c r="L54" i="32"/>
  <c r="L33" i="32"/>
  <c r="L21" i="32"/>
  <c r="L15" i="32"/>
  <c r="L23" i="32"/>
  <c r="L28" i="32"/>
  <c r="L92" i="32"/>
  <c r="L56" i="32"/>
  <c r="L66" i="32"/>
  <c r="L65" i="32"/>
  <c r="L94" i="32"/>
  <c r="L42" i="32"/>
  <c r="L95" i="32"/>
  <c r="L71" i="32"/>
  <c r="L90" i="32"/>
  <c r="L84" i="32"/>
  <c r="L39" i="32"/>
  <c r="L80" i="32"/>
  <c r="L74" i="32"/>
  <c r="L70" i="32"/>
  <c r="L58" i="32"/>
  <c r="L69" i="32"/>
  <c r="L9" i="32"/>
  <c r="L5"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U2" i="32"/>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C110" i="32"/>
  <c r="C112" i="32" s="1"/>
  <c r="C113" i="32" s="1"/>
  <c r="C111"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9" i="7" l="1"/>
  <c r="AE31" i="7"/>
  <c r="AE30" i="7"/>
  <c r="AE32" i="7"/>
  <c r="AE34" i="7"/>
  <c r="AE33" i="7"/>
  <c r="M3" i="15"/>
  <c r="B4" i="15"/>
  <c r="B5" i="15"/>
  <c r="K3" i="1"/>
  <c r="H4" i="15" l="1"/>
  <c r="B3" i="15"/>
  <c r="H2" i="15"/>
  <c r="AF1" i="1"/>
  <c r="AG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4"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5"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6"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7"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8"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9"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0"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1"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2"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3"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4"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5"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6"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7"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8"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9"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0"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1"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2"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3"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4" xr16:uid="{96EE01E2-1000-4B91-9113-156B1E262206}"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5"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6"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7"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8"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9"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0"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1"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2"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3"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4"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5"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6"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<sst xmlns="http://schemas.openxmlformats.org/spreadsheetml/2006/main" count="5920" uniqueCount="1113">
  <si>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</si>
  <si>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</si>
  <si>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</si>
  <si>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</si>
  <si>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</si>
  <si>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</si>
  <si>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</si>
  <si>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</si>
  <si>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</si>
  <si>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</si>
  <si>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</si>
  <si>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</si>
  <si>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</si>
  <si>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</si>
  <si>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</si>
  <si>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</si>
  <si>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</si>
  <si>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</si>
  <si>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</si>
  <si>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</si>
  <si>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</si>
  <si>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</si>
  <si>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</si>
  <si>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</si>
  <si>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</si>
  <si>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</si>
  <si>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</si>
  <si>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</si>
  <si>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</si>
  <si>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</si>
  <si>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</si>
  <si>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</si>
  <si>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</si>
  <si>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</si>
  <si>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</si>
  <si>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</si>
  <si>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</si>
  <si>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</si>
  <si>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</si>
  <si>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</si>
  <si>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</si>
  <si>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</si>
  <si>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</si>
  <si>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</si>
  <si>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</si>
  <si>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</si>
  <si>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</si>
  <si>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</si>
  <si>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</si>
  <si>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</si>
  <si>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</si>
  <si>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</si>
  <si>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</si>
  <si>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</si>
  <si>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</si>
  <si>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</si>
  <si>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</si>
  <si>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</si>
  <si>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</si>
  <si>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</si>
  <si>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</si>
  <si>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</si>
  <si>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</si>
  <si>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</si>
  <si>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</si>
  <si>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</si>
  <si>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</si>
  <si>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</si>
  <si>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</si>
  <si>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</si>
  <si>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</si>
  <si>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</si>
  <si>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</si>
  <si>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</si>
  <si>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</si>
  <si>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</si>
  <si>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</si>
  <si>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</si>
  <si>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</si>
  <si>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</si>
  <si>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</si>
  <si>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</si>
  <si>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</si>
  <si>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</si>
  <si>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</si>
  <si>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</si>
  <si>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</si>
  <si>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</si>
  <si>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</si>
  <si>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</si>
  <si>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</si>
  <si>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</si>
  <si>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</si>
  <si>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</si>
  <si>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</si>
  <si>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</si>
  <si>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</si>
  <si>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</si>
  <si>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</si>
  <si>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</si>
  <si>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</si>
  <si>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</si>
  <si>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</si>
  <si>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</si>
  <si>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</si>
  <si>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</si>
  <si>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</si>
  <si>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</si>
  <si>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</si>
  <si>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</si>
  <si>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</si>
  <si>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</si>
  <si>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</si>
  <si>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</si>
  <si>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</si>
  <si>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</si>
  <si>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</si>
  <si>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</si>
  <si>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</si>
  <si>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</si>
  <si>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</si>
  <si>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</si>
  <si>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</si>
  <si>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</si>
  <si>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</si>
  <si>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</si>
  <si>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</si>
  <si>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</si>
  <si>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</si>
  <si>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</si>
  <si>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</si>
  <si>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</si>
  <si>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</si>
  <si>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</si>
  <si>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</si>
  <si>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</si>
  <si>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</si>
  <si>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</si>
  <si>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</si>
  <si>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</si>
  <si>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</si>
  <si>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</si>
  <si>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</si>
  <si>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</si>
  <si>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</si>
  <si>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</si>
  <si>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</si>
  <si>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</si>
  <si>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</si>
  <si>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</si>
  <si>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</si>
  <si>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</si>
  <si>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</si>
  <si>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</si>
  <si>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</si>
  <si>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</si>
  <si>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</si>
  <si>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</si>
  <si>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</si>
  <si>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</si>
  <si>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</si>
  <si>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</si>
  <si>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</si>
  <si>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</si>
  <si>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</si>
  <si>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</si>
  <si>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</si>
  <si>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</si>
  <si>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</si>
  <si>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</si>
  <si>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</si>
  <si>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</si>
  <si>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</si>
  <si>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</si>
  <si>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</si>
  <si>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</si>
  <si>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</si>
  <si>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</si>
  <si>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</si>
  <si>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</si>
  <si>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</si>
  <si>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</si>
  <si>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</si>
  <si>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</si>
  <si>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</si>
  <si>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</si>
  <si>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</si>
  <si>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</si>
  <si>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</si>
  <si>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</si>
  <si>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</si>
  <si>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</si>
  <si>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</si>
  <si>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</si>
  <si>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</si>
  <si>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</si>
  <si>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</si>
  <si>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</si>
  <si>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</si>
  <si>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</si>
  <si>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</si>
  <si>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</si>
  <si>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</si>
  <si>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</si>
  <si>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</si>
  <si>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</si>
  <si>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</si>
  <si>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</si>
  <si>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</si>
  <si>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</si>
  <si>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</si>
  <si>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</si>
  <si>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</si>
  <si>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</si>
  <si>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</si>
  <si>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</si>
  <si>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</si>
  <si>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</si>
  <si>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</si>
  <si>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</si>
  <si>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</si>
  <si>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</si>
  <si>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</si>
  <si>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</si>
  <si>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</si>
  <si>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</si>
  <si>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</si>
  <si>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</si>
  <si>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</si>
  <si>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</si>
  <si>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</si>
  <si>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</si>
  <si>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</si>
  <si>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</si>
  <si>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</si>
  <si>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</si>
  <si>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</si>
  <si>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</si>
  <si>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</si>
  <si>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</si>
  <si>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</si>
  <si>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</si>
  <si>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</si>
  <si>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</si>
  <si>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</si>
  <si>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</si>
  <si>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</si>
  <si>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</si>
  <si>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</si>
  <si>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</si>
  <si>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</si>
  <si>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</si>
  <si>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</si>
  <si>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</si>
  <si>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</si>
  <si>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</si>
  <si>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</si>
  <si>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</si>
  <si>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</si>
  <si>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</si>
  <si>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</si>
  <si>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</si>
  <si>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</si>
  <si>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</si>
  <si>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</si>
  <si>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</si>
  <si>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</si>
  <si>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</si>
  <si>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</si>
  <si>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</si>
  <si>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</si>
  <si>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</si>
  <si>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</si>
  <si>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</si>
  <si>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</si>
  <si>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</si>
  <si>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</si>
  <si>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</si>
  <si>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</si>
  <si>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</si>
  <si>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</si>
  <si>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</si>
  <si>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</si>
  <si>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</si>
  <si>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</si>
  <si>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</si>
  <si>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</si>
  <si>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</si>
  <si>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</si>
  <si>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</si>
  <si>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</si>
  <si>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</si>
  <si>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</si>
  <si>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</si>
  <si>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</si>
  <si>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</si>
  <si>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</si>
  <si>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</si>
  <si>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</si>
  <si>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</si>
  <si>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</si>
  <si>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</si>
  <si>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</si>
  <si>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</si>
  <si>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</si>
  <si>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</si>
  <si>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</si>
  <si>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</si>
  <si>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</si>
  <si>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</si>
  <si>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</si>
  <si>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</si>
  <si>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</si>
  <si>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</si>
  <si>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</si>
  <si>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</si>
  <si>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</si>
  <si>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</si>
  <si>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</si>
  <si>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</si>
  <si>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</si>
  <si>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</si>
  <si>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</si>
  <si>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</si>
  <si>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</si>
  <si>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</si>
  <si>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</si>
  <si>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</si>
  <si>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</si>
  <si>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</si>
  <si>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</si>
  <si>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</si>
  <si>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</si>
  <si>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</si>
  <si>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</si>
  <si>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</si>
  <si>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</si>
  <si>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</si>
  <si>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</si>
  <si>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</si>
  <si>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</si>
  <si>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</si>
  <si>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</si>
  <si>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</si>
  <si>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</si>
  <si>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</si>
  <si>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</si>
  <si>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</si>
  <si>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</si>
  <si>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</si>
  <si>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</si>
  <si>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</si>
  <si>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</si>
  <si>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</si>
  <si>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</si>
  <si>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</si>
  <si>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</si>
  <si>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</si>
  <si>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</si>
  <si>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</si>
  <si>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</si>
  <si>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</si>
  <si>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</si>
  <si>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</si>
  <si>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</si>
  <si>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</si>
  <si>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</si>
  <si>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</si>
  <si>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</si>
  <si>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</si>
  <si>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</si>
  <si>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</si>
  <si>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</si>
  <si>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</si>
  <si>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</si>
  <si>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</si>
  <si>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</si>
  <si>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</si>
  <si>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</si>
  <si>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</si>
  <si>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</si>
  <si>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</si>
  <si>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</si>
  <si>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</si>
  <si>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</si>
  <si>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</si>
  <si>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</si>
  <si>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</si>
  <si>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</si>
  <si>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</si>
  <si>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</si>
  <si>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</si>
  <si>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</si>
  <si>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</si>
  <si>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</si>
  <si>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</si>
  <si>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</si>
  <si>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</si>
  <si>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</si>
  <si>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</si>
  <si>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</si>
  <si>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</si>
  <si>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</si>
  <si>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</si>
  <si>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</si>
  <si>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</si>
  <si>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</si>
  <si>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</si>
  <si>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</si>
  <si>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</si>
  <si>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</si>
  <si>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</si>
  <si>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</si>
  <si>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</si>
  <si>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</si>
  <si>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</si>
  <si>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</si>
  <si>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</si>
  <si>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</si>
  <si>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</si>
  <si>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</si>
  <si>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</si>
  <si>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</si>
  <si>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</si>
  <si>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</si>
  <si>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</si>
  <si>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</si>
  <si>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</si>
  <si>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</si>
  <si>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</si>
  <si>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</si>
  <si>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</si>
  <si>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</si>
  <si>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</si>
  <si>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</si>
  <si>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</si>
  <si>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</si>
  <si>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</si>
  <si>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</si>
  <si>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</si>
  <si>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</si>
  <si>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</si>
  <si>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</si>
  <si>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</si>
  <si>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</si>
  <si>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</si>
  <si>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</si>
  <si>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</si>
  <si>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</si>
  <si>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</si>
  <si>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</si>
  <si>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</si>
  <si>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</si>
  <si>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</si>
  <si>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</si>
  <si>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</si>
  <si>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</si>
  <si>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</si>
  <si>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</si>
  <si>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</si>
  <si>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</si>
  <si>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</si>
  <si>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</si>
  <si>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</si>
  <si>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</si>
  <si>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</si>
  <si>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</si>
  <si>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</si>
  <si>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</si>
  <si>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</si>
  <si>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</si>
  <si>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</si>
  <si>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</si>
  <si>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</si>
  <si>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</si>
  <si>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</si>
  <si>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</si>
  <si>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</si>
  <si>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</si>
  <si>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</si>
  <si>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</si>
  <si>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</si>
  <si>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</si>
  <si>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</si>
  <si>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</si>
  <si>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</si>
  <si>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</si>
  <si>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</si>
  <si>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</si>
  <si>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</si>
  <si>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</si>
  <si>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</si>
  <si>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</si>
  <si>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</si>
  <si>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</si>
  <si>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</si>
  <si>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</si>
  <si>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</si>
  <si>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</si>
  <si>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</si>
  <si>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</si>
  <si>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</si>
  <si>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</si>
  <si>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</si>
  <si>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</si>
  <si>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</si>
  <si>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</si>
  <si>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</si>
  <si>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</si>
  <si>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</si>
  <si>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</si>
  <si>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</si>
  <si>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</si>
  <si>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</si>
  <si>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</si>
  <si>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</si>
  <si>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</si>
  <si>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</si>
  <si>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</si>
  <si>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</si>
  <si>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</si>
  <si>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</si>
  <si>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</si>
  <si>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</si>
  <si>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</si>
  <si>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</si>
  <si>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</si>
  <si>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</si>
  <si>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</si>
  <si>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</si>
  <si>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</si>
  <si>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</si>
  <si>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</si>
  <si>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</si>
  <si>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</si>
  <si>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</si>
  <si>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</si>
  <si>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</si>
  <si>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</si>
  <si>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</si>
  <si>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</si>
  <si>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</si>
  <si>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</si>
  <si>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</si>
  <si>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</si>
  <si>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</si>
  <si>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</si>
  <si>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</si>
  <si>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</si>
  <si>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</si>
  <si>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</si>
  <si>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</si>
  <si>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</si>
  <si>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</si>
  <si>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</si>
  <si>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</si>
  <si>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</si>
  <si>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</si>
  <si>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</si>
  <si>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</si>
  <si>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</si>
  <si>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</si>
  <si>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</si>
  <si>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</si>
  <si>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</si>
  <si>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</si>
  <si>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</si>
  <si>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</si>
  <si>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</si>
  <si>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</si>
  <si>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</si>
  <si>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</si>
  <si>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</si>
  <si>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</si>
  <si>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</si>
  <si>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</si>
  <si>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</si>
  <si>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</si>
  <si>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</si>
  <si>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</si>
  <si>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</si>
  <si>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</si>
  <si>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</si>
  <si>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</si>
  <si>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</si>
  <si>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</si>
  <si>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</si>
  <si>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</si>
  <si>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</si>
  <si>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</si>
  <si>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</si>
  <si>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</si>
  <si>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</si>
  <si>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</si>
  <si>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</si>
  <si>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</si>
  <si>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</si>
  <si>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</si>
  <si>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</si>
  <si>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</si>
  <si>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</si>
  <si>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</si>
  <si>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</si>
  <si>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</si>
  <si>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</si>
  <si>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</si>
  <si>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</si>
  <si>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</si>
  <si>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</si>
  <si>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</si>
  <si>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</si>
  <si>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</si>
  <si>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</si>
  <si>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</si>
  <si>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</si>
  <si>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</si>
  <si>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</si>
  <si>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</si>
  <si>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</si>
  <si>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</si>
  <si>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</si>
  <si>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</si>
  <si>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</si>
  <si>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</si>
  <si>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</si>
  <si>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</si>
  <si>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</si>
  <si>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</si>
  <si>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</si>
  <si>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</si>
  <si>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</si>
  <si>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</si>
  <si>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</si>
  <si>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</si>
  <si>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</si>
  <si>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</si>
  <si>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</si>
  <si>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</si>
  <si>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</si>
  <si>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</si>
  <si>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</si>
  <si>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</si>
  <si>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</si>
  <si>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</si>
  <si>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</si>
  <si>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</si>
  <si>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</si>
  <si>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</si>
  <si>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</si>
  <si>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</si>
  <si>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</si>
  <si>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</si>
  <si>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</si>
  <si>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</si>
  <si>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</si>
  <si>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</si>
  <si>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</si>
  <si>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</si>
  <si>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</si>
  <si>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</si>
  <si>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</si>
  <si>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</si>
  <si>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</si>
  <si>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</si>
  <si>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</si>
  <si>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</si>
  <si>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</si>
  <si>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</si>
  <si>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</si>
  <si>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</si>
  <si>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</si>
  <si>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</si>
  <si>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</si>
  <si>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</si>
  <si>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</si>
  <si>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</si>
  <si>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</si>
  <si>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</si>
  <si>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</si>
  <si>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</si>
  <si>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</si>
  <si>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</si>
  <si>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</si>
  <si>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</si>
  <si>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</si>
  <si>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</si>
  <si>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</si>
  <si>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</si>
  <si>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</si>
  <si>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</si>
  <si>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</si>
  <si>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</si>
  <si>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</si>
  <si>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</si>
  <si>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</si>
  <si>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</si>
  <si>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</si>
  <si>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</si>
  <si>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</si>
  <si>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</si>
  <si>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</si>
  <si>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</si>
  <si>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</si>
  <si>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</si>
  <si>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</si>
  <si>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</si>
  <si>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</si>
  <si>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</si>
  <si>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</si>
  <si>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</si>
  <si>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</si>
  <si>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</si>
  <si>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</si>
  <si>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</si>
  <si>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</si>
  <si>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</si>
  <si>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</si>
  <si>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</si>
  <si>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</si>
  <si>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</si>
  <si>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</si>
  <si>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</si>
  <si>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</si>
  <si>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</si>
  <si>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</si>
  <si>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</si>
  <si>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</si>
  <si>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</si>
  <si>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</si>
  <si>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</si>
  <si>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</si>
  <si>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</si>
  <si>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</si>
  <si>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</si>
  <si>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</si>
  <si>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</si>
  <si>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</si>
  <si>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</si>
  <si>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</si>
  <si>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</si>
  <si>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</si>
  <si>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</si>
  <si>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</si>
  <si>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</si>
  <si>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</si>
  <si>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</si>
  <si>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</si>
  <si>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</si>
  <si>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</si>
  <si>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</si>
  <si>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</si>
  <si>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</si>
  <si>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</si>
  <si>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</si>
  <si>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</si>
  <si>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</si>
  <si>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</si>
  <si>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</si>
  <si>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</si>
  <si>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</si>
  <si>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</si>
  <si>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</si>
  <si>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</si>
  <si>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</si>
  <si>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</si>
  <si>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</si>
  <si>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</si>
  <si>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</si>
  <si>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</si>
  <si>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</si>
  <si>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</si>
  <si>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</si>
  <si>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</si>
  <si>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</si>
  <si>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</si>
  <si>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</si>
  <si>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</si>
  <si>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</si>
  <si>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</si>
  <si>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</si>
  <si>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</si>
  <si>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</si>
  <si>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</si>
  <si>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</si>
  <si>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</si>
  <si>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</si>
  <si>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</si>
  <si>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</si>
  <si>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</si>
  <si>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</si>
  <si>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</si>
  <si>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</si>
  <si>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</si>
  <si>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</si>
  <si>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</si>
  <si>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</si>
  <si>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</si>
  <si>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</si>
  <si>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</si>
  <si>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</si>
  <si>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</si>
  <si>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</si>
  <si>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</si>
  <si>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</si>
  <si>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</si>
  <si>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</si>
  <si>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</si>
  <si>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</si>
  <si>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</si>
  <si>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</si>
  <si>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</si>
  <si>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</si>
  <si>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</si>
  <si>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</si>
  <si>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</si>
  <si>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</si>
  <si>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</si>
  <si>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</si>
  <si>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</si>
  <si>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</si>
  <si>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</si>
  <si>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</si>
  <si>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</si>
  <si>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</si>
  <si>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</si>
  <si>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</si>
  <si>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</si>
  <si>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</si>
  <si>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</si>
  <si>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</si>
  <si>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</si>
  <si>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</si>
  <si>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</si>
  <si>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</si>
  <si>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</si>
  <si>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</si>
  <si>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</si>
  <si>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</si>
  <si>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</si>
  <si>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</si>
  <si>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</si>
  <si>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</si>
  <si>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</si>
  <si>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</si>
  <si>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</si>
  <si>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</si>
  <si>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</si>
  <si>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</si>
  <si>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</si>
  <si>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</si>
  <si>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</si>
  <si>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</si>
  <si>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</si>
  <si>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</si>
  <si>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</si>
  <si>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</si>
  <si>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</si>
  <si>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</si>
  <si>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</si>
  <si>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</si>
  <si>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</si>
  <si>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</si>
  <si>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</si>
  <si>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</si>
  <si>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</si>
  <si>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</si>
  <si>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</si>
  <si>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</si>
  <si>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</si>
  <si>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</si>
  <si>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</si>
  <si>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</si>
  <si>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</si>
  <si>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</si>
  <si>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</si>
  <si>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</si>
  <si>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</si>
  <si>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</si>
  <si>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</si>
  <si>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</si>
  <si>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</si>
  <si>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</si>
  <si>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</si>
  <si>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</si>
  <si>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</si>
  <si>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</si>
  <si>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</si>
  <si>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</si>
  <si>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</si>
  <si>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</si>
  <si>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</si>
  <si>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</si>
  <si>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</si>
  <si>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</si>
  <si>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</si>
  <si>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</si>
  <si>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</si>
  <si>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</si>
  <si>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</si>
  <si>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</si>
  <si>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</si>
  <si>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</si>
  <si>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</si>
  <si>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</si>
  <si>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</si>
  <si>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</si>
  <si>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</si>
  <si>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</si>
  <si>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</si>
  <si>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</si>
  <si>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</si>
  <si>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</si>
  <si>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</si>
  <si>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</si>
  <si>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</si>
  <si>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</si>
  <si>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</si>
  <si>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</si>
  <si>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</si>
  <si>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</si>
  <si>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</si>
  <si>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</si>
  <si>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</si>
  <si>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</si>
  <si>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</si>
  <si>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</si>
  <si>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</si>
  <si>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</si>
  <si>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</si>
  <si>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</si>
  <si>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</si>
  <si>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</si>
  <si>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</si>
  <si>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</si>
  <si>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</si>
  <si>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</si>
  <si>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</si>
  <si>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</si>
  <si>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</si>
  <si>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</si>
  <si>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</si>
  <si>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</si>
  <si>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</si>
  <si>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</si>
  <si>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</si>
  <si>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</si>
  <si>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</si>
  <si>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</si>
  <si>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</si>
  <si>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</si>
  <si>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</si>
  <si>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</si>
  <si>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</si>
  <si>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</si>
  <si>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</si>
  <si>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</si>
  <si>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</si>
  <si>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</si>
  <si>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</si>
  <si>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</si>
  <si>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</si>
  <si>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</si>
  <si>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</si>
  <si>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</si>
  <si>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</si>
  <si>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</si>
  <si>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</si>
  <si>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</si>
  <si>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</si>
  <si>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</si>
  <si>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</si>
  <si>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</si>
  <si>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</si>
  <si>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</si>
  <si>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</si>
  <si>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</si>
  <si>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</si>
  <si>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</si>
  <si>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</si>
  <si>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</si>
  <si>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</si>
  <si>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</si>
  <si>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</si>
  <si>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</si>
  <si>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</si>
  <si>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</si>
  <si>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</si>
  <si>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</si>
  <si>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</si>
  <si>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</si>
  <si>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</si>
  <si>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</si>
  <si>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</si>
  <si>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</si>
  <si>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</si>
  <si>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</si>
  <si>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</si>
  <si>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</si>
  <si>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</si>
  <si>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</si>
  <si>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</si>
  <si>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</si>
  <si>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</si>
  <si>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</si>
  <si>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</si>
  <si>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</si>
  <si>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</si>
  <si>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</si>
  <si>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</si>
  <si>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</si>
  <si>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</si>
  <si>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</si>
  <si>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</si>
  <si>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</si>
  <si>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</si>
  <si>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</si>
  <si>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</si>
  <si>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</si>
  <si>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</si>
  <si>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</si>
  <si>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</si>
  <si>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</si>
  <si>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</si>
  <si>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</si>
  <si>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</si>
  <si>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</si>
  <si>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</si>
  <si>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</si>
  <si>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</si>
  <si>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</si>
  <si>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</si>
  <si>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</si>
  <si>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</si>
  <si>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</si>
  <si>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</si>
  <si>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</si>
  <si>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</si>
  <si>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</si>
  <si>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</si>
  <si>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</si>
  <si>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</si>
  <si>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</si>
  <si>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</si>
  <si>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</si>
  <si>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</si>
  <si>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</si>
  <si>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</si>
  <si>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</si>
  <si>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</si>
  <si>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</si>
  <si>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</si>
  <si>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</si>
  <si>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</si>
  <si>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</si>
  <si>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</si>
  <si>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</si>
  <si>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</si>
  <si>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</si>
  <si>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</si>
  <si>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</si>
  <si>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</si>
  <si>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</si>
  <si>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</si>
  <si>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</si>
  <si>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</si>
  <si>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</si>
  <si>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</si>
  <si>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</si>
  <si>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</si>
  <si>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</si>
  <si>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</si>
  <si>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</si>
  <si>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</si>
  <si>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</si>
  <si>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</si>
  <si>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</si>
  <si>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</si>
  <si>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</si>
  <si>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</si>
  <si>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</si>
  <si>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</si>
  <si>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</si>
  <si>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</si>
  <si>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</si>
  <si>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</si>
  <si>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</si>
  <si>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</si>
  <si>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</si>
  <si>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</si>
  <si>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</si>
  <si>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</si>
  <si>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</si>
  <si>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</si>
  <si>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</si>
  <si>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</si>
  <si>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</si>
  <si>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</si>
  <si>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</si>
  <si>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</si>
  <si>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</si>
  <si>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</si>
  <si>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</si>
  <si>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</si>
  <si>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Juan Pedro Conejo Conejo</t>
  </si>
  <si>
    <t>Josep Vidal</t>
  </si>
  <si>
    <t>Jagoba Riveiro Zafra</t>
  </si>
  <si>
    <t>Jose Manuel Otero Lopez</t>
  </si>
  <si>
    <t>Ruben Sanjuan Escribano</t>
  </si>
  <si>
    <t>SEPTIEMBRE</t>
  </si>
  <si>
    <t>SEPTIEMBRE 2024</t>
  </si>
  <si>
    <t>Zona StarPower probable</t>
  </si>
  <si>
    <t>Zona StarPower posible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</si>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</sst>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7">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2" fontId="0" fillId="4" borderId="0" xfId="0" applyNumberFormat="1" applyFill="1"/>
    <xf numFmtId="0" fontId="14" fillId="0" borderId="0" xfId="0" applyFont="1" applyAlignment="1">
      <alignment horizontal="center" vertical="center" wrapText="1"/>
    </xf>
    <xf numFmtId="0" fontId="6" fillId="0" borderId="0" xfId="0" applyFont="1" applyAlignment="1">
      <alignment horizontal="center" vertical="center"/>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cellXfs>
  <cellStyles count="2">
    <cellStyle name="Normal" xfId="0" builtinId="0"/>
    <cellStyle name="Porcentaje" xfId="1" builtinId="5"/>
  </cellStyles>
  <dxfs count="263">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rgb="FF9C0006"/>
      </font>
      <fill>
        <patternFill>
          <bgColor rgb="FFFFC7CE"/>
        </patternFill>
      </fil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C00000"/>
      </font>
      <numFmt numFmtId="2" formatCode="0.0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58.xml"/><Relationship Id="rId1" Type="http://schemas.microsoft.com/office/2011/relationships/chartStyle" Target="style58.xml"/></Relationships>
</file>

<file path=xl/charts/_rels/chart76.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59.xml"/><Relationship Id="rId1" Type="http://schemas.microsoft.com/office/2011/relationships/chartStyle" Target="style59.xml"/></Relationships>
</file>

<file path=xl/charts/_rels/chartEx1.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gauss!$C$3:$C$55</c:f>
              <c:numCache>
                <c:formatCode>General</c:formatCode>
                <c:ptCount val="53"/>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73.12</c:v>
                </c:pt>
                <c:pt idx="1">
                  <c:v>73.12</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gauss!$C$3:$C$55</c:f>
              <c:numCache>
                <c:formatCode>General</c:formatCode>
                <c:ptCount val="53"/>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73.12</c:v>
                </c:pt>
                <c:pt idx="1">
                  <c:v>73.12</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gauss!$C$3:$C$43</c:f>
              <c:numCache>
                <c:formatCode>General</c:formatCode>
                <c:ptCount val="41"/>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73.12</c:v>
                </c:pt>
                <c:pt idx="1">
                  <c:v>73.12</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41.360000000000007</c:v>
                </c:pt>
                <c:pt idx="1">
                  <c:v>42.100000000000016</c:v>
                </c:pt>
                <c:pt idx="2">
                  <c:v>39.639999999999993</c:v>
                </c:pt>
                <c:pt idx="3">
                  <c:v>37.480000000000011</c:v>
                </c:pt>
                <c:pt idx="4">
                  <c:v>36.29999999999999</c:v>
                </c:pt>
                <c:pt idx="5">
                  <c:v>36.429999999999986</c:v>
                </c:pt>
                <c:pt idx="6">
                  <c:v>36.320000000000014</c:v>
                </c:pt>
                <c:pt idx="7">
                  <c:v>35.850000000000016</c:v>
                </c:pt>
                <c:pt idx="8">
                  <c:v>36.139999999999993</c:v>
                </c:pt>
                <c:pt idx="9">
                  <c:v>36.700000000000017</c:v>
                </c:pt>
                <c:pt idx="10">
                  <c:v>34.75</c:v>
                </c:pt>
                <c:pt idx="11">
                  <c:v>35.580000000000005</c:v>
                </c:pt>
                <c:pt idx="12">
                  <c:v>35.139999999999993</c:v>
                </c:pt>
                <c:pt idx="13">
                  <c:v>35.169999999999995</c:v>
                </c:pt>
                <c:pt idx="14">
                  <c:v>36.580000000000013</c:v>
                </c:pt>
                <c:pt idx="15">
                  <c:v>35.590000000000025</c:v>
                </c:pt>
                <c:pt idx="16">
                  <c:v>34.519999999999989</c:v>
                </c:pt>
                <c:pt idx="17">
                  <c:v>35.95000000000001</c:v>
                </c:pt>
                <c:pt idx="18">
                  <c:v>35.820000000000014</c:v>
                </c:pt>
                <c:pt idx="19">
                  <c:v>33.20000000000001</c:v>
                </c:pt>
                <c:pt idx="20">
                  <c:v>35.139999999999993</c:v>
                </c:pt>
                <c:pt idx="21">
                  <c:v>35.730000000000011</c:v>
                </c:pt>
                <c:pt idx="22">
                  <c:v>35.99</c:v>
                </c:pt>
                <c:pt idx="23">
                  <c:v>36.429999999999986</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36.409999999999997</c:v>
                </c:pt>
                <c:pt idx="1">
                  <c:v>36.409999999999997</c:v>
                </c:pt>
                <c:pt idx="2">
                  <c:v>36.409999999999997</c:v>
                </c:pt>
                <c:pt idx="3">
                  <c:v>36.409999999999997</c:v>
                </c:pt>
                <c:pt idx="4">
                  <c:v>36.409999999999997</c:v>
                </c:pt>
                <c:pt idx="5">
                  <c:v>36.409999999999997</c:v>
                </c:pt>
                <c:pt idx="6">
                  <c:v>36.409999999999997</c:v>
                </c:pt>
                <c:pt idx="7">
                  <c:v>36.409999999999997</c:v>
                </c:pt>
                <c:pt idx="8">
                  <c:v>36.409999999999997</c:v>
                </c:pt>
                <c:pt idx="9">
                  <c:v>36.409999999999997</c:v>
                </c:pt>
                <c:pt idx="10">
                  <c:v>36.409999999999997</c:v>
                </c:pt>
                <c:pt idx="11">
                  <c:v>36.409999999999997</c:v>
                </c:pt>
                <c:pt idx="12">
                  <c:v>36.409999999999997</c:v>
                </c:pt>
                <c:pt idx="13">
                  <c:v>36.409999999999997</c:v>
                </c:pt>
                <c:pt idx="14">
                  <c:v>36.409999999999997</c:v>
                </c:pt>
                <c:pt idx="15">
                  <c:v>36.409999999999997</c:v>
                </c:pt>
                <c:pt idx="16">
                  <c:v>36.409999999999997</c:v>
                </c:pt>
                <c:pt idx="17">
                  <c:v>36.409999999999997</c:v>
                </c:pt>
                <c:pt idx="18">
                  <c:v>36.409999999999997</c:v>
                </c:pt>
                <c:pt idx="19">
                  <c:v>36.409999999999997</c:v>
                </c:pt>
                <c:pt idx="20">
                  <c:v>36.409999999999997</c:v>
                </c:pt>
                <c:pt idx="21">
                  <c:v>36.409999999999997</c:v>
                </c:pt>
                <c:pt idx="22">
                  <c:v>36.409999999999997</c:v>
                </c:pt>
                <c:pt idx="23">
                  <c:v>36.409999999999997</c:v>
                </c:pt>
                <c:pt idx="24">
                  <c:v>36.409999999999997</c:v>
                </c:pt>
                <c:pt idx="25">
                  <c:v>36.409999999999997</c:v>
                </c:pt>
                <c:pt idx="26">
                  <c:v>36.409999999999997</c:v>
                </c:pt>
                <c:pt idx="27">
                  <c:v>36.409999999999997</c:v>
                </c:pt>
                <c:pt idx="28">
                  <c:v>36.409999999999997</c:v>
                </c:pt>
                <c:pt idx="29">
                  <c:v>36.409999999999997</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95.84</c:v>
                </c:pt>
                <c:pt idx="1">
                  <c:v>91.33</c:v>
                </c:pt>
                <c:pt idx="2">
                  <c:v>88.06</c:v>
                </c:pt>
                <c:pt idx="3">
                  <c:v>87.6</c:v>
                </c:pt>
                <c:pt idx="4">
                  <c:v>85.74</c:v>
                </c:pt>
                <c:pt idx="5">
                  <c:v>86.66</c:v>
                </c:pt>
                <c:pt idx="6">
                  <c:v>95.31</c:v>
                </c:pt>
                <c:pt idx="7">
                  <c:v>104.39</c:v>
                </c:pt>
                <c:pt idx="8">
                  <c:v>104.57</c:v>
                </c:pt>
                <c:pt idx="9">
                  <c:v>90.54</c:v>
                </c:pt>
                <c:pt idx="10">
                  <c:v>63.79</c:v>
                </c:pt>
                <c:pt idx="11">
                  <c:v>48.64</c:v>
                </c:pt>
                <c:pt idx="12">
                  <c:v>43.06</c:v>
                </c:pt>
                <c:pt idx="13">
                  <c:v>39.14</c:v>
                </c:pt>
                <c:pt idx="14">
                  <c:v>35.08</c:v>
                </c:pt>
                <c:pt idx="15">
                  <c:v>29.42</c:v>
                </c:pt>
                <c:pt idx="16">
                  <c:v>31.37</c:v>
                </c:pt>
                <c:pt idx="17">
                  <c:v>46.83</c:v>
                </c:pt>
                <c:pt idx="18">
                  <c:v>67.930000000000007</c:v>
                </c:pt>
                <c:pt idx="19">
                  <c:v>98.69</c:v>
                </c:pt>
                <c:pt idx="20">
                  <c:v>117.15</c:v>
                </c:pt>
                <c:pt idx="21">
                  <c:v>119.74</c:v>
                </c:pt>
                <c:pt idx="22">
                  <c:v>104.57</c:v>
                </c:pt>
                <c:pt idx="23">
                  <c:v>97.23</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76.930000000000007</c:v>
                </c:pt>
                <c:pt idx="1">
                  <c:v>34.32</c:v>
                </c:pt>
                <c:pt idx="2">
                  <c:v>31.79</c:v>
                </c:pt>
                <c:pt idx="3">
                  <c:v>55.1</c:v>
                </c:pt>
                <c:pt idx="4">
                  <c:v>49.21</c:v>
                </c:pt>
                <c:pt idx="5">
                  <c:v>63.13</c:v>
                </c:pt>
                <c:pt idx="6">
                  <c:v>80.91</c:v>
                </c:pt>
                <c:pt idx="7">
                  <c:v>79.27</c:v>
                </c:pt>
                <c:pt idx="8">
                  <c:v>78.11</c:v>
                </c:pt>
                <c:pt idx="9">
                  <c:v>63.65</c:v>
                </c:pt>
                <c:pt idx="10">
                  <c:v>49.71</c:v>
                </c:pt>
                <c:pt idx="11">
                  <c:v>44.98</c:v>
                </c:pt>
                <c:pt idx="12">
                  <c:v>38.119999999999997</c:v>
                </c:pt>
                <c:pt idx="13">
                  <c:v>37.54</c:v>
                </c:pt>
                <c:pt idx="14">
                  <c:v>32.909999999999997</c:v>
                </c:pt>
                <c:pt idx="15">
                  <c:v>24.9</c:v>
                </c:pt>
                <c:pt idx="16">
                  <c:v>30.55</c:v>
                </c:pt>
                <c:pt idx="17">
                  <c:v>36.44</c:v>
                </c:pt>
                <c:pt idx="18">
                  <c:v>55.38</c:v>
                </c:pt>
                <c:pt idx="19">
                  <c:v>78.150000000000006</c:v>
                </c:pt>
                <c:pt idx="20">
                  <c:v>102.66</c:v>
                </c:pt>
                <c:pt idx="21">
                  <c:v>124.28</c:v>
                </c:pt>
                <c:pt idx="22">
                  <c:v>93.53</c:v>
                </c:pt>
                <c:pt idx="23">
                  <c:v>64.88</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110.24</c:v>
                </c:pt>
                <c:pt idx="2">
                  <c:v>111.63</c:v>
                </c:pt>
                <c:pt idx="3">
                  <c:v>108.66</c:v>
                </c:pt>
                <c:pt idx="4">
                  <c:v>107.51</c:v>
                </c:pt>
                <c:pt idx="6">
                  <c:v>110.86</c:v>
                </c:pt>
                <c:pt idx="7">
                  <c:v>118.63</c:v>
                </c:pt>
                <c:pt idx="8">
                  <c:v>111.01</c:v>
                </c:pt>
                <c:pt idx="9">
                  <c:v>109.42</c:v>
                </c:pt>
                <c:pt idx="11">
                  <c:v>106.62</c:v>
                </c:pt>
                <c:pt idx="15">
                  <c:v>72.849999999999994</c:v>
                </c:pt>
                <c:pt idx="18">
                  <c:v>106.62</c:v>
                </c:pt>
                <c:pt idx="19">
                  <c:v>108.7</c:v>
                </c:pt>
                <c:pt idx="20">
                  <c:v>122.81</c:v>
                </c:pt>
                <c:pt idx="21">
                  <c:v>118.2</c:v>
                </c:pt>
                <c:pt idx="22">
                  <c:v>116.72</c:v>
                </c:pt>
                <c:pt idx="23">
                  <c:v>109.3</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106.46</c:v>
                </c:pt>
                <c:pt idx="1">
                  <c:v>99.58</c:v>
                </c:pt>
                <c:pt idx="2">
                  <c:v>97.59</c:v>
                </c:pt>
                <c:pt idx="3">
                  <c:v>92.06</c:v>
                </c:pt>
                <c:pt idx="4">
                  <c:v>93.28</c:v>
                </c:pt>
                <c:pt idx="5">
                  <c:v>98.06</c:v>
                </c:pt>
                <c:pt idx="6">
                  <c:v>99.09</c:v>
                </c:pt>
                <c:pt idx="7">
                  <c:v>99.46</c:v>
                </c:pt>
                <c:pt idx="8">
                  <c:v>111.51</c:v>
                </c:pt>
                <c:pt idx="9">
                  <c:v>92.38</c:v>
                </c:pt>
                <c:pt idx="10">
                  <c:v>90.77</c:v>
                </c:pt>
                <c:pt idx="11">
                  <c:v>50.94</c:v>
                </c:pt>
                <c:pt idx="12">
                  <c:v>62.81</c:v>
                </c:pt>
                <c:pt idx="13">
                  <c:v>57.53</c:v>
                </c:pt>
                <c:pt idx="14">
                  <c:v>43.77</c:v>
                </c:pt>
                <c:pt idx="15">
                  <c:v>46.55</c:v>
                </c:pt>
                <c:pt idx="16">
                  <c:v>35.69</c:v>
                </c:pt>
                <c:pt idx="17">
                  <c:v>66.540000000000006</c:v>
                </c:pt>
                <c:pt idx="18">
                  <c:v>96.69</c:v>
                </c:pt>
                <c:pt idx="19">
                  <c:v>99.44</c:v>
                </c:pt>
                <c:pt idx="20">
                  <c:v>122.28</c:v>
                </c:pt>
                <c:pt idx="21">
                  <c:v>117.9</c:v>
                </c:pt>
                <c:pt idx="22">
                  <c:v>109.34</c:v>
                </c:pt>
                <c:pt idx="23">
                  <c:v>96.97</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69.450000000000031</c:v>
                </c:pt>
                <c:pt idx="1">
                  <c:v>69.700000000000031</c:v>
                </c:pt>
                <c:pt idx="2">
                  <c:v>67.27</c:v>
                </c:pt>
                <c:pt idx="3">
                  <c:v>66.239999999999995</c:v>
                </c:pt>
                <c:pt idx="4">
                  <c:v>65.460000000000022</c:v>
                </c:pt>
                <c:pt idx="5">
                  <c:v>65.77</c:v>
                </c:pt>
                <c:pt idx="6">
                  <c:v>65.77</c:v>
                </c:pt>
                <c:pt idx="7">
                  <c:v>65.77</c:v>
                </c:pt>
                <c:pt idx="8">
                  <c:v>65.80999999999996</c:v>
                </c:pt>
                <c:pt idx="9">
                  <c:v>64.670000000000016</c:v>
                </c:pt>
                <c:pt idx="10">
                  <c:v>65.549999999999969</c:v>
                </c:pt>
                <c:pt idx="11">
                  <c:v>64.77</c:v>
                </c:pt>
                <c:pt idx="12">
                  <c:v>64.619999999999962</c:v>
                </c:pt>
                <c:pt idx="13">
                  <c:v>64.619999999999962</c:v>
                </c:pt>
                <c:pt idx="14">
                  <c:v>64.619999999999962</c:v>
                </c:pt>
                <c:pt idx="15">
                  <c:v>62.869999999999969</c:v>
                </c:pt>
                <c:pt idx="16">
                  <c:v>63.710000000000015</c:v>
                </c:pt>
                <c:pt idx="17">
                  <c:v>63.079999999999984</c:v>
                </c:pt>
                <c:pt idx="18">
                  <c:v>62.49</c:v>
                </c:pt>
                <c:pt idx="19">
                  <c:v>63.390000000000022</c:v>
                </c:pt>
                <c:pt idx="20">
                  <c:v>63.390000000000022</c:v>
                </c:pt>
                <c:pt idx="21">
                  <c:v>63.390000000000022</c:v>
                </c:pt>
                <c:pt idx="22">
                  <c:v>63.839999999999996</c:v>
                </c:pt>
                <c:pt idx="23">
                  <c:v>63.839999999999996</c:v>
                </c:pt>
                <c:pt idx="24">
                  <c:v>63.839999999999996</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64.959999999999994</c:v>
                </c:pt>
                <c:pt idx="1">
                  <c:v>64.959999999999994</c:v>
                </c:pt>
                <c:pt idx="2">
                  <c:v>64.959999999999994</c:v>
                </c:pt>
                <c:pt idx="3">
                  <c:v>64.959999999999994</c:v>
                </c:pt>
                <c:pt idx="4">
                  <c:v>64.959999999999994</c:v>
                </c:pt>
                <c:pt idx="5">
                  <c:v>64.959999999999994</c:v>
                </c:pt>
                <c:pt idx="6">
                  <c:v>64.959999999999994</c:v>
                </c:pt>
                <c:pt idx="7">
                  <c:v>64.959999999999994</c:v>
                </c:pt>
                <c:pt idx="8">
                  <c:v>64.959999999999994</c:v>
                </c:pt>
                <c:pt idx="9">
                  <c:v>64.959999999999994</c:v>
                </c:pt>
                <c:pt idx="10">
                  <c:v>64.959999999999994</c:v>
                </c:pt>
                <c:pt idx="11">
                  <c:v>64.959999999999994</c:v>
                </c:pt>
                <c:pt idx="12">
                  <c:v>64.959999999999994</c:v>
                </c:pt>
                <c:pt idx="13">
                  <c:v>64.959999999999994</c:v>
                </c:pt>
                <c:pt idx="14">
                  <c:v>64.959999999999994</c:v>
                </c:pt>
                <c:pt idx="15">
                  <c:v>64.959999999999994</c:v>
                </c:pt>
                <c:pt idx="16">
                  <c:v>64.959999999999994</c:v>
                </c:pt>
                <c:pt idx="17">
                  <c:v>64.959999999999994</c:v>
                </c:pt>
                <c:pt idx="18">
                  <c:v>64.959999999999994</c:v>
                </c:pt>
                <c:pt idx="19">
                  <c:v>64.959999999999994</c:v>
                </c:pt>
                <c:pt idx="20">
                  <c:v>64.959999999999994</c:v>
                </c:pt>
                <c:pt idx="21">
                  <c:v>64.959999999999994</c:v>
                </c:pt>
                <c:pt idx="22">
                  <c:v>64.959999999999994</c:v>
                </c:pt>
                <c:pt idx="23">
                  <c:v>64.959999999999994</c:v>
                </c:pt>
                <c:pt idx="24">
                  <c:v>64.959999999999994</c:v>
                </c:pt>
                <c:pt idx="25">
                  <c:v>64.959999999999994</c:v>
                </c:pt>
                <c:pt idx="26">
                  <c:v>64.959999999999994</c:v>
                </c:pt>
                <c:pt idx="27">
                  <c:v>64.959999999999994</c:v>
                </c:pt>
                <c:pt idx="28">
                  <c:v>64.959999999999994</c:v>
                </c:pt>
                <c:pt idx="29">
                  <c:v>64.959999999999994</c:v>
                </c:pt>
                <c:pt idx="30">
                  <c:v>64.959999999999994</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0.39</c:v>
                      </c:pt>
                      <c:pt idx="1">
                        <c:v>0.39</c:v>
                      </c:pt>
                      <c:pt idx="2">
                        <c:v>0.39</c:v>
                      </c:pt>
                      <c:pt idx="3">
                        <c:v>0.39</c:v>
                      </c:pt>
                      <c:pt idx="4">
                        <c:v>0.39</c:v>
                      </c:pt>
                      <c:pt idx="5">
                        <c:v>0.39</c:v>
                      </c:pt>
                      <c:pt idx="6">
                        <c:v>0.39</c:v>
                      </c:pt>
                      <c:pt idx="7">
                        <c:v>0.39</c:v>
                      </c:pt>
                      <c:pt idx="8">
                        <c:v>0.39</c:v>
                      </c:pt>
                      <c:pt idx="9">
                        <c:v>0.39</c:v>
                      </c:pt>
                      <c:pt idx="10">
                        <c:v>0.39</c:v>
                      </c:pt>
                      <c:pt idx="11">
                        <c:v>0.39</c:v>
                      </c:pt>
                      <c:pt idx="12">
                        <c:v>0.39</c:v>
                      </c:pt>
                      <c:pt idx="13">
                        <c:v>0.39</c:v>
                      </c:pt>
                      <c:pt idx="14">
                        <c:v>0.39</c:v>
                      </c:pt>
                      <c:pt idx="15">
                        <c:v>0.39</c:v>
                      </c:pt>
                      <c:pt idx="16">
                        <c:v>0.39</c:v>
                      </c:pt>
                      <c:pt idx="17">
                        <c:v>0.39</c:v>
                      </c:pt>
                      <c:pt idx="18">
                        <c:v>0.39</c:v>
                      </c:pt>
                      <c:pt idx="19">
                        <c:v>0.39</c:v>
                      </c:pt>
                      <c:pt idx="20">
                        <c:v>0.39</c:v>
                      </c:pt>
                      <c:pt idx="21">
                        <c:v>0.39</c:v>
                      </c:pt>
                      <c:pt idx="22">
                        <c:v>0.39</c:v>
                      </c:pt>
                      <c:pt idx="23">
                        <c:v>0.39</c:v>
                      </c:pt>
                      <c:pt idx="24">
                        <c:v>0.39</c:v>
                      </c:pt>
                      <c:pt idx="25">
                        <c:v>0.39</c:v>
                      </c:pt>
                      <c:pt idx="26">
                        <c:v>0.39</c:v>
                      </c:pt>
                      <c:pt idx="27">
                        <c:v>0.39</c:v>
                      </c:pt>
                      <c:pt idx="28">
                        <c:v>0.39</c:v>
                      </c:pt>
                      <c:pt idx="29">
                        <c:v>0.39</c:v>
                      </c:pt>
                      <c:pt idx="30">
                        <c:v>0.39</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0.375</c:v>
                </c:pt>
                <c:pt idx="1">
                  <c:v>0.20833333333333337</c:v>
                </c:pt>
                <c:pt idx="2">
                  <c:v>0.33333333333333331</c:v>
                </c:pt>
                <c:pt idx="3">
                  <c:v>0.45833333333333326</c:v>
                </c:pt>
                <c:pt idx="4">
                  <c:v>0.33333333333333331</c:v>
                </c:pt>
                <c:pt idx="5">
                  <c:v>0.41666666666666674</c:v>
                </c:pt>
                <c:pt idx="6">
                  <c:v>0.5</c:v>
                </c:pt>
                <c:pt idx="7">
                  <c:v>0.41666666666666674</c:v>
                </c:pt>
                <c:pt idx="8">
                  <c:v>0.41666666666666674</c:v>
                </c:pt>
                <c:pt idx="9">
                  <c:v>0.33333333333333331</c:v>
                </c:pt>
                <c:pt idx="10">
                  <c:v>0.625</c:v>
                </c:pt>
                <c:pt idx="11">
                  <c:v>0.41666666666666674</c:v>
                </c:pt>
                <c:pt idx="12">
                  <c:v>0.54166666666666663</c:v>
                </c:pt>
                <c:pt idx="13">
                  <c:v>0.625</c:v>
                </c:pt>
                <c:pt idx="14">
                  <c:v>0.54166666666666663</c:v>
                </c:pt>
                <c:pt idx="15">
                  <c:v>0.54166666666666663</c:v>
                </c:pt>
                <c:pt idx="16">
                  <c:v>0.70833333333333337</c:v>
                </c:pt>
                <c:pt idx="17">
                  <c:v>0.20833333333333337</c:v>
                </c:pt>
                <c:pt idx="18">
                  <c:v>0.16666666666666666</c:v>
                </c:pt>
                <c:pt idx="19">
                  <c:v>0.16666666666666666</c:v>
                </c:pt>
                <c:pt idx="20">
                  <c:v>0.25</c:v>
                </c:pt>
                <c:pt idx="21">
                  <c:v>0.20833333333333337</c:v>
                </c:pt>
                <c:pt idx="22">
                  <c:v>0.29166666666666669</c:v>
                </c:pt>
                <c:pt idx="23">
                  <c:v>0.29166666666666669</c:v>
                </c:pt>
                <c:pt idx="24">
                  <c:v>0.3636363636363637</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0.20833333333333337</c:v>
                </c:pt>
                <c:pt idx="1">
                  <c:v>4.1666666666666664E-2</c:v>
                </c:pt>
                <c:pt idx="2">
                  <c:v>8.3333333333333329E-2</c:v>
                </c:pt>
                <c:pt idx="3">
                  <c:v>8.3333333333333329E-2</c:v>
                </c:pt>
                <c:pt idx="4">
                  <c:v>0</c:v>
                </c:pt>
                <c:pt idx="5">
                  <c:v>8.3333333333333329E-2</c:v>
                </c:pt>
                <c:pt idx="6">
                  <c:v>4.1666666666666664E-2</c:v>
                </c:pt>
                <c:pt idx="7">
                  <c:v>4.1666666666666664E-2</c:v>
                </c:pt>
                <c:pt idx="8">
                  <c:v>0.20833333333333337</c:v>
                </c:pt>
                <c:pt idx="9">
                  <c:v>4.1666666666666664E-2</c:v>
                </c:pt>
                <c:pt idx="10">
                  <c:v>0</c:v>
                </c:pt>
                <c:pt idx="11">
                  <c:v>8.3333333333333329E-2</c:v>
                </c:pt>
                <c:pt idx="12">
                  <c:v>0</c:v>
                </c:pt>
                <c:pt idx="13">
                  <c:v>0</c:v>
                </c:pt>
                <c:pt idx="14">
                  <c:v>0</c:v>
                </c:pt>
                <c:pt idx="15">
                  <c:v>0</c:v>
                </c:pt>
                <c:pt idx="16">
                  <c:v>0</c:v>
                </c:pt>
                <c:pt idx="17">
                  <c:v>0.125</c:v>
                </c:pt>
                <c:pt idx="18">
                  <c:v>0.20833333333333337</c:v>
                </c:pt>
                <c:pt idx="19">
                  <c:v>0.33333333333333331</c:v>
                </c:pt>
                <c:pt idx="20">
                  <c:v>0.125</c:v>
                </c:pt>
                <c:pt idx="21">
                  <c:v>8.3333333333333329E-2</c:v>
                </c:pt>
                <c:pt idx="22">
                  <c:v>8.3333333333333329E-2</c:v>
                </c:pt>
                <c:pt idx="23">
                  <c:v>0</c:v>
                </c:pt>
                <c:pt idx="24">
                  <c:v>0</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0.33333333333333331</c:v>
                </c:pt>
                <c:pt idx="1">
                  <c:v>0.5</c:v>
                </c:pt>
                <c:pt idx="2">
                  <c:v>0.375</c:v>
                </c:pt>
                <c:pt idx="3">
                  <c:v>0.45833333333333326</c:v>
                </c:pt>
                <c:pt idx="4">
                  <c:v>0.54166666666666663</c:v>
                </c:pt>
                <c:pt idx="5">
                  <c:v>0.375</c:v>
                </c:pt>
                <c:pt idx="6">
                  <c:v>0.41666666666666674</c:v>
                </c:pt>
                <c:pt idx="7">
                  <c:v>0.45833333333333326</c:v>
                </c:pt>
                <c:pt idx="8">
                  <c:v>0.20833333333333337</c:v>
                </c:pt>
                <c:pt idx="9">
                  <c:v>0.54166666666666663</c:v>
                </c:pt>
                <c:pt idx="10">
                  <c:v>0.16666666666666666</c:v>
                </c:pt>
                <c:pt idx="11">
                  <c:v>0.33333333333333331</c:v>
                </c:pt>
                <c:pt idx="12">
                  <c:v>0.29166666666666669</c:v>
                </c:pt>
                <c:pt idx="13">
                  <c:v>0.33333333333333331</c:v>
                </c:pt>
                <c:pt idx="14">
                  <c:v>0.33333333333333331</c:v>
                </c:pt>
                <c:pt idx="15">
                  <c:v>0.29166666666666669</c:v>
                </c:pt>
                <c:pt idx="16">
                  <c:v>0.125</c:v>
                </c:pt>
                <c:pt idx="17">
                  <c:v>0.54166666666666663</c:v>
                </c:pt>
                <c:pt idx="18">
                  <c:v>0.58333333333333337</c:v>
                </c:pt>
                <c:pt idx="19">
                  <c:v>0.25</c:v>
                </c:pt>
                <c:pt idx="20">
                  <c:v>0.54166666666666663</c:v>
                </c:pt>
                <c:pt idx="21">
                  <c:v>0.54166666666666663</c:v>
                </c:pt>
                <c:pt idx="22">
                  <c:v>0.54166666666666663</c:v>
                </c:pt>
                <c:pt idx="23">
                  <c:v>0.45833333333333326</c:v>
                </c:pt>
                <c:pt idx="24">
                  <c:v>0.63636363636363635</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78.028000000000006</c:v>
                </c:pt>
                <c:pt idx="1">
                  <c:v>78.028000000000006</c:v>
                </c:pt>
                <c:pt idx="2">
                  <c:v>78.028000000000006</c:v>
                </c:pt>
                <c:pt idx="3">
                  <c:v>78.028000000000006</c:v>
                </c:pt>
                <c:pt idx="4">
                  <c:v>78.028000000000006</c:v>
                </c:pt>
                <c:pt idx="5">
                  <c:v>78.028000000000006</c:v>
                </c:pt>
                <c:pt idx="6">
                  <c:v>78.028000000000006</c:v>
                </c:pt>
                <c:pt idx="7">
                  <c:v>78.028000000000006</c:v>
                </c:pt>
                <c:pt idx="8">
                  <c:v>78.028000000000006</c:v>
                </c:pt>
                <c:pt idx="9">
                  <c:v>78.028000000000006</c:v>
                </c:pt>
                <c:pt idx="10">
                  <c:v>78.028000000000006</c:v>
                </c:pt>
                <c:pt idx="11">
                  <c:v>78.028000000000006</c:v>
                </c:pt>
                <c:pt idx="12">
                  <c:v>78.028000000000006</c:v>
                </c:pt>
                <c:pt idx="13">
                  <c:v>78.028000000000006</c:v>
                </c:pt>
                <c:pt idx="14">
                  <c:v>78.028000000000006</c:v>
                </c:pt>
                <c:pt idx="15">
                  <c:v>78.028000000000006</c:v>
                </c:pt>
                <c:pt idx="16">
                  <c:v>78.028000000000006</c:v>
                </c:pt>
                <c:pt idx="17">
                  <c:v>78.028000000000006</c:v>
                </c:pt>
                <c:pt idx="18">
                  <c:v>78.028000000000006</c:v>
                </c:pt>
                <c:pt idx="19">
                  <c:v>78.028000000000006</c:v>
                </c:pt>
                <c:pt idx="20">
                  <c:v>78.028000000000006</c:v>
                </c:pt>
                <c:pt idx="21">
                  <c:v>78.028000000000006</c:v>
                </c:pt>
                <c:pt idx="22">
                  <c:v>78.028000000000006</c:v>
                </c:pt>
                <c:pt idx="23">
                  <c:v>78.028000000000006</c:v>
                </c:pt>
                <c:pt idx="24">
                  <c:v>78.028000000000006</c:v>
                </c:pt>
                <c:pt idx="25">
                  <c:v>78.028000000000006</c:v>
                </c:pt>
                <c:pt idx="26">
                  <c:v>78.028000000000006</c:v>
                </c:pt>
                <c:pt idx="27">
                  <c:v>78.028000000000006</c:v>
                </c:pt>
                <c:pt idx="28">
                  <c:v>78.028000000000006</c:v>
                </c:pt>
                <c:pt idx="29">
                  <c:v>78.028000000000006</c:v>
                </c:pt>
                <c:pt idx="30">
                  <c:v>78.028000000000006</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99.64458333333333</c:v>
                </c:pt>
                <c:pt idx="1">
                  <c:v>116.66083333333334</c:v>
                </c:pt>
                <c:pt idx="2">
                  <c:v>108.44333333333334</c:v>
                </c:pt>
                <c:pt idx="3">
                  <c:v>95.412500000000009</c:v>
                </c:pt>
                <c:pt idx="4">
                  <c:v>104.28291666666665</c:v>
                </c:pt>
                <c:pt idx="5">
                  <c:v>86.723749999999995</c:v>
                </c:pt>
                <c:pt idx="6">
                  <c:v>79.012500000000003</c:v>
                </c:pt>
                <c:pt idx="7">
                  <c:v>67.757499999999993</c:v>
                </c:pt>
                <c:pt idx="8">
                  <c:v>86.535833333333343</c:v>
                </c:pt>
                <c:pt idx="9">
                  <c:v>75.213750000000005</c:v>
                </c:pt>
                <c:pt idx="10">
                  <c:v>76.73875000000001</c:v>
                </c:pt>
                <c:pt idx="11">
                  <c:v>72.210833333333355</c:v>
                </c:pt>
                <c:pt idx="12">
                  <c:v>47.105000000000011</c:v>
                </c:pt>
                <c:pt idx="13">
                  <c:v>45.610000000000014</c:v>
                </c:pt>
                <c:pt idx="14">
                  <c:v>32.516249999999999</c:v>
                </c:pt>
                <c:pt idx="15">
                  <c:v>27.186250000000005</c:v>
                </c:pt>
                <c:pt idx="16">
                  <c:v>25.697083333333328</c:v>
                </c:pt>
                <c:pt idx="17">
                  <c:v>90.920416666666668</c:v>
                </c:pt>
                <c:pt idx="18">
                  <c:v>106.98041666666667</c:v>
                </c:pt>
                <c:pt idx="19">
                  <c:v>107.68916666666668</c:v>
                </c:pt>
                <c:pt idx="20">
                  <c:v>85.386250000000004</c:v>
                </c:pt>
                <c:pt idx="21">
                  <c:v>69.905416666666667</c:v>
                </c:pt>
                <c:pt idx="22">
                  <c:v>90.033333333333346</c:v>
                </c:pt>
                <c:pt idx="23">
                  <c:v>95.81208333333332</c:v>
                </c:pt>
                <c:pt idx="24">
                  <c:v>57.225000000000016</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7.4999999999999997E-2</c:v>
                      </c:pt>
                      <c:pt idx="1">
                        <c:v>6.9000000000000006E-2</c:v>
                      </c:pt>
                      <c:pt idx="2">
                        <c:v>7.0999999999999994E-2</c:v>
                      </c:pt>
                      <c:pt idx="3">
                        <c:v>7.0000000000000007E-2</c:v>
                      </c:pt>
                      <c:pt idx="4">
                        <c:v>6.9000000000000006E-2</c:v>
                      </c:pt>
                      <c:pt idx="5">
                        <c:v>7.2999999999999995E-2</c:v>
                      </c:pt>
                      <c:pt idx="6">
                        <c:v>7.1999999999999995E-2</c:v>
                      </c:pt>
                      <c:pt idx="7">
                        <c:v>7.3999999999999996E-2</c:v>
                      </c:pt>
                      <c:pt idx="8">
                        <c:v>7.5999999999999998E-2</c:v>
                      </c:pt>
                      <c:pt idx="9">
                        <c:v>6.8000000000000005E-2</c:v>
                      </c:pt>
                      <c:pt idx="10">
                        <c:v>6.9000000000000006E-2</c:v>
                      </c:pt>
                      <c:pt idx="11">
                        <c:v>7.3999999999999996E-2</c:v>
                      </c:pt>
                      <c:pt idx="12">
                        <c:v>7.3999999999999996E-2</c:v>
                      </c:pt>
                      <c:pt idx="13">
                        <c:v>0.08</c:v>
                      </c:pt>
                      <c:pt idx="14">
                        <c:v>8.6999999999999994E-2</c:v>
                      </c:pt>
                      <c:pt idx="15">
                        <c:v>9.6000000000000002E-2</c:v>
                      </c:pt>
                      <c:pt idx="16">
                        <c:v>0.106</c:v>
                      </c:pt>
                      <c:pt idx="17">
                        <c:v>0.12</c:v>
                      </c:pt>
                      <c:pt idx="18">
                        <c:v>0.11899999999999999</c:v>
                      </c:pt>
                      <c:pt idx="19">
                        <c:v>0.104</c:v>
                      </c:pt>
                      <c:pt idx="20">
                        <c:v>5.8000000000000003E-2</c:v>
                      </c:pt>
                      <c:pt idx="21">
                        <c:v>4.2000000000000003E-2</c:v>
                      </c:pt>
                      <c:pt idx="22">
                        <c:v>2.8000000000000001E-2</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0.40699999999999997</c:v>
                      </c:pt>
                      <c:pt idx="1">
                        <c:v>0.41</c:v>
                      </c:pt>
                      <c:pt idx="2">
                        <c:v>0.40600000000000003</c:v>
                      </c:pt>
                      <c:pt idx="3">
                        <c:v>0.40799999999999997</c:v>
                      </c:pt>
                      <c:pt idx="4">
                        <c:v>0.40500000000000003</c:v>
                      </c:pt>
                      <c:pt idx="5">
                        <c:v>0.39800000000000002</c:v>
                      </c:pt>
                      <c:pt idx="6">
                        <c:v>0.4</c:v>
                      </c:pt>
                      <c:pt idx="7">
                        <c:v>0.39900000000000002</c:v>
                      </c:pt>
                      <c:pt idx="8">
                        <c:v>0.39500000000000002</c:v>
                      </c:pt>
                      <c:pt idx="9">
                        <c:v>0.40699999999999997</c:v>
                      </c:pt>
                      <c:pt idx="10">
                        <c:v>0.39800000000000002</c:v>
                      </c:pt>
                      <c:pt idx="11">
                        <c:v>0.41499999999999998</c:v>
                      </c:pt>
                      <c:pt idx="12">
                        <c:v>0.42099999999999999</c:v>
                      </c:pt>
                      <c:pt idx="13">
                        <c:v>0.432</c:v>
                      </c:pt>
                      <c:pt idx="14">
                        <c:v>0.44</c:v>
                      </c:pt>
                      <c:pt idx="15">
                        <c:v>0.45100000000000001</c:v>
                      </c:pt>
                      <c:pt idx="16">
                        <c:v>0.46899999999999997</c:v>
                      </c:pt>
                      <c:pt idx="17">
                        <c:v>0.51200000000000001</c:v>
                      </c:pt>
                      <c:pt idx="18">
                        <c:v>0.50800000000000001</c:v>
                      </c:pt>
                      <c:pt idx="19">
                        <c:v>0.495</c:v>
                      </c:pt>
                      <c:pt idx="20">
                        <c:v>0.54400000000000004</c:v>
                      </c:pt>
                      <c:pt idx="21">
                        <c:v>0.54500000000000004</c:v>
                      </c:pt>
                      <c:pt idx="22">
                        <c:v>0.54500000000000004</c:v>
                      </c:pt>
                      <c:pt idx="23">
                        <c:v>0.54700000000000004</c:v>
                      </c:pt>
                      <c:pt idx="24">
                        <c:v>0.63600000000000001</c:v>
                      </c:pt>
                      <c:pt idx="25">
                        <c:v>0.63600000000000001</c:v>
                      </c:pt>
                      <c:pt idx="26">
                        <c:v>0.63600000000000001</c:v>
                      </c:pt>
                      <c:pt idx="27">
                        <c:v>0.63600000000000001</c:v>
                      </c:pt>
                      <c:pt idx="28">
                        <c:v>0.63600000000000001</c:v>
                      </c:pt>
                      <c:pt idx="29">
                        <c:v>0.63600000000000001</c:v>
                      </c:pt>
                      <c:pt idx="30">
                        <c:v>0.63600000000000001</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58.56333333333334</c:v>
                      </c:pt>
                      <c:pt idx="1">
                        <c:v>91.622</c:v>
                      </c:pt>
                      <c:pt idx="2">
                        <c:v>88.178749999999994</c:v>
                      </c:pt>
                      <c:pt idx="3">
                        <c:v>76.84</c:v>
                      </c:pt>
                      <c:pt idx="4">
                        <c:v>94.394999999999996</c:v>
                      </c:pt>
                      <c:pt idx="5">
                        <c:v>63.766000000000005</c:v>
                      </c:pt>
                      <c:pt idx="6">
                        <c:v>41.773333333333333</c:v>
                      </c:pt>
                      <c:pt idx="7">
                        <c:v>16.707999999999998</c:v>
                      </c:pt>
                      <c:pt idx="8">
                        <c:v>48.834999999999994</c:v>
                      </c:pt>
                      <c:pt idx="9">
                        <c:v>25.286250000000003</c:v>
                      </c:pt>
                      <c:pt idx="10">
                        <c:v>65.845333333333329</c:v>
                      </c:pt>
                      <c:pt idx="11">
                        <c:v>34.291999999999994</c:v>
                      </c:pt>
                      <c:pt idx="12">
                        <c:v>19.445384615384619</c:v>
                      </c:pt>
                      <c:pt idx="13">
                        <c:v>33.645999999999994</c:v>
                      </c:pt>
                      <c:pt idx="14">
                        <c:v>12.149230769230767</c:v>
                      </c:pt>
                      <c:pt idx="15">
                        <c:v>10.01</c:v>
                      </c:pt>
                      <c:pt idx="16">
                        <c:v>19.014705882352935</c:v>
                      </c:pt>
                      <c:pt idx="17">
                        <c:v>80.318000000000012</c:v>
                      </c:pt>
                      <c:pt idx="18">
                        <c:v>94.6</c:v>
                      </c:pt>
                      <c:pt idx="19">
                        <c:v>80.444999999999993</c:v>
                      </c:pt>
                      <c:pt idx="20">
                        <c:v>45.473333333333336</c:v>
                      </c:pt>
                      <c:pt idx="21">
                        <c:v>20.468</c:v>
                      </c:pt>
                      <c:pt idx="22">
                        <c:v>50.561428571428571</c:v>
                      </c:pt>
                      <c:pt idx="23">
                        <c:v>83.158571428571435</c:v>
                      </c:pt>
                      <c:pt idx="24">
                        <c:v>40.671250000000001</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51.84</c:v>
                      </c:pt>
                      <c:pt idx="1">
                        <c:v>51.84</c:v>
                      </c:pt>
                      <c:pt idx="2">
                        <c:v>51.84</c:v>
                      </c:pt>
                      <c:pt idx="3">
                        <c:v>51.84</c:v>
                      </c:pt>
                      <c:pt idx="4">
                        <c:v>51.84</c:v>
                      </c:pt>
                      <c:pt idx="5">
                        <c:v>51.84</c:v>
                      </c:pt>
                      <c:pt idx="6">
                        <c:v>51.84</c:v>
                      </c:pt>
                      <c:pt idx="7">
                        <c:v>51.84</c:v>
                      </c:pt>
                      <c:pt idx="8">
                        <c:v>51.84</c:v>
                      </c:pt>
                      <c:pt idx="9">
                        <c:v>51.84</c:v>
                      </c:pt>
                      <c:pt idx="10">
                        <c:v>51.84</c:v>
                      </c:pt>
                      <c:pt idx="11">
                        <c:v>51.84</c:v>
                      </c:pt>
                      <c:pt idx="12">
                        <c:v>51.84</c:v>
                      </c:pt>
                      <c:pt idx="13">
                        <c:v>51.84</c:v>
                      </c:pt>
                      <c:pt idx="14">
                        <c:v>51.84</c:v>
                      </c:pt>
                      <c:pt idx="15">
                        <c:v>51.84</c:v>
                      </c:pt>
                      <c:pt idx="16">
                        <c:v>51.84</c:v>
                      </c:pt>
                      <c:pt idx="17">
                        <c:v>51.84</c:v>
                      </c:pt>
                      <c:pt idx="18">
                        <c:v>51.84</c:v>
                      </c:pt>
                      <c:pt idx="19">
                        <c:v>51.84</c:v>
                      </c:pt>
                      <c:pt idx="20">
                        <c:v>51.84</c:v>
                      </c:pt>
                      <c:pt idx="21">
                        <c:v>51.84</c:v>
                      </c:pt>
                      <c:pt idx="22">
                        <c:v>51.84</c:v>
                      </c:pt>
                      <c:pt idx="23">
                        <c:v>51.84</c:v>
                      </c:pt>
                      <c:pt idx="24">
                        <c:v>51.84</c:v>
                      </c:pt>
                      <c:pt idx="25">
                        <c:v>51.84</c:v>
                      </c:pt>
                      <c:pt idx="26">
                        <c:v>51.84</c:v>
                      </c:pt>
                      <c:pt idx="27">
                        <c:v>51.84</c:v>
                      </c:pt>
                      <c:pt idx="28">
                        <c:v>51.84</c:v>
                      </c:pt>
                      <c:pt idx="29">
                        <c:v>51.84</c:v>
                      </c:pt>
                      <c:pt idx="30">
                        <c:v>51.84</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117.08200000000002</c:v>
                      </c:pt>
                      <c:pt idx="1">
                        <c:v>131.94999999999999</c:v>
                      </c:pt>
                      <c:pt idx="2">
                        <c:v>119.705</c:v>
                      </c:pt>
                      <c:pt idx="3">
                        <c:v>116.045</c:v>
                      </c:pt>
                      <c:pt idx="4">
                        <c:v>0</c:v>
                      </c:pt>
                      <c:pt idx="5">
                        <c:v>111.30500000000001</c:v>
                      </c:pt>
                      <c:pt idx="6">
                        <c:v>104.68</c:v>
                      </c:pt>
                      <c:pt idx="7">
                        <c:v>113.3</c:v>
                      </c:pt>
                      <c:pt idx="8">
                        <c:v>111.89399999999998</c:v>
                      </c:pt>
                      <c:pt idx="9">
                        <c:v>110.32</c:v>
                      </c:pt>
                      <c:pt idx="10">
                        <c:v>0</c:v>
                      </c:pt>
                      <c:pt idx="11">
                        <c:v>114.96</c:v>
                      </c:pt>
                      <c:pt idx="12">
                        <c:v>0</c:v>
                      </c:pt>
                      <c:pt idx="13">
                        <c:v>0</c:v>
                      </c:pt>
                      <c:pt idx="14">
                        <c:v>0</c:v>
                      </c:pt>
                      <c:pt idx="15">
                        <c:v>0</c:v>
                      </c:pt>
                      <c:pt idx="16">
                        <c:v>0</c:v>
                      </c:pt>
                      <c:pt idx="17">
                        <c:v>107.43</c:v>
                      </c:pt>
                      <c:pt idx="18">
                        <c:v>111.024</c:v>
                      </c:pt>
                      <c:pt idx="19">
                        <c:v>106.8325</c:v>
                      </c:pt>
                      <c:pt idx="20">
                        <c:v>105.09333333333332</c:v>
                      </c:pt>
                      <c:pt idx="21">
                        <c:v>99.98</c:v>
                      </c:pt>
                      <c:pt idx="22">
                        <c:v>108.48</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71.602999999999994</c:v>
                      </c:pt>
                      <c:pt idx="1">
                        <c:v>71.602999999999994</c:v>
                      </c:pt>
                      <c:pt idx="2">
                        <c:v>71.602999999999994</c:v>
                      </c:pt>
                      <c:pt idx="3">
                        <c:v>71.602999999999994</c:v>
                      </c:pt>
                      <c:pt idx="4">
                        <c:v>71.602999999999994</c:v>
                      </c:pt>
                      <c:pt idx="5">
                        <c:v>71.602999999999994</c:v>
                      </c:pt>
                      <c:pt idx="6">
                        <c:v>71.602999999999994</c:v>
                      </c:pt>
                      <c:pt idx="7">
                        <c:v>71.602999999999994</c:v>
                      </c:pt>
                      <c:pt idx="8">
                        <c:v>71.602999999999994</c:v>
                      </c:pt>
                      <c:pt idx="9">
                        <c:v>71.602999999999994</c:v>
                      </c:pt>
                      <c:pt idx="10">
                        <c:v>71.602999999999994</c:v>
                      </c:pt>
                      <c:pt idx="11">
                        <c:v>71.602999999999994</c:v>
                      </c:pt>
                      <c:pt idx="12">
                        <c:v>71.602999999999994</c:v>
                      </c:pt>
                      <c:pt idx="13">
                        <c:v>71.602999999999994</c:v>
                      </c:pt>
                      <c:pt idx="14">
                        <c:v>71.602999999999994</c:v>
                      </c:pt>
                      <c:pt idx="15">
                        <c:v>71.602999999999994</c:v>
                      </c:pt>
                      <c:pt idx="16">
                        <c:v>71.602999999999994</c:v>
                      </c:pt>
                      <c:pt idx="17">
                        <c:v>71.602999999999994</c:v>
                      </c:pt>
                      <c:pt idx="18">
                        <c:v>71.602999999999994</c:v>
                      </c:pt>
                      <c:pt idx="19">
                        <c:v>71.602999999999994</c:v>
                      </c:pt>
                      <c:pt idx="20">
                        <c:v>71.602999999999994</c:v>
                      </c:pt>
                      <c:pt idx="21">
                        <c:v>71.602999999999994</c:v>
                      </c:pt>
                      <c:pt idx="22">
                        <c:v>71.602999999999994</c:v>
                      </c:pt>
                      <c:pt idx="23">
                        <c:v>71.602999999999994</c:v>
                      </c:pt>
                      <c:pt idx="24">
                        <c:v>71.602999999999994</c:v>
                      </c:pt>
                      <c:pt idx="25">
                        <c:v>71.602999999999994</c:v>
                      </c:pt>
                      <c:pt idx="26">
                        <c:v>71.602999999999994</c:v>
                      </c:pt>
                      <c:pt idx="27">
                        <c:v>71.602999999999994</c:v>
                      </c:pt>
                      <c:pt idx="28">
                        <c:v>71.602999999999994</c:v>
                      </c:pt>
                      <c:pt idx="29">
                        <c:v>71.602999999999994</c:v>
                      </c:pt>
                      <c:pt idx="30">
                        <c:v>71.602999999999994</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126.01874999999998</c:v>
                      </c:pt>
                      <c:pt idx="1">
                        <c:v>120.75416666666668</c:v>
                      </c:pt>
                      <c:pt idx="2">
                        <c:v>115.56333333333332</c:v>
                      </c:pt>
                      <c:pt idx="3">
                        <c:v>110.23363636363634</c:v>
                      </c:pt>
                      <c:pt idx="4">
                        <c:v>108.55307692307692</c:v>
                      </c:pt>
                      <c:pt idx="5">
                        <c:v>98.628888888888881</c:v>
                      </c:pt>
                      <c:pt idx="6">
                        <c:v>115.42700000000001</c:v>
                      </c:pt>
                      <c:pt idx="7">
                        <c:v>101.68909090909092</c:v>
                      </c:pt>
                      <c:pt idx="8">
                        <c:v>114.468</c:v>
                      </c:pt>
                      <c:pt idx="9">
                        <c:v>99.001538461538459</c:v>
                      </c:pt>
                      <c:pt idx="10">
                        <c:v>82.902500000000003</c:v>
                      </c:pt>
                      <c:pt idx="11">
                        <c:v>96.181250000000006</c:v>
                      </c:pt>
                      <c:pt idx="12">
                        <c:v>77.357142857142861</c:v>
                      </c:pt>
                      <c:pt idx="13">
                        <c:v>63.621250000000003</c:v>
                      </c:pt>
                      <c:pt idx="14">
                        <c:v>54.938749999999999</c:v>
                      </c:pt>
                      <c:pt idx="15">
                        <c:v>44.480000000000011</c:v>
                      </c:pt>
                      <c:pt idx="16">
                        <c:v>46.19</c:v>
                      </c:pt>
                      <c:pt idx="17">
                        <c:v>92.766923076923078</c:v>
                      </c:pt>
                      <c:pt idx="18">
                        <c:v>108.18357142857144</c:v>
                      </c:pt>
                      <c:pt idx="19">
                        <c:v>116.75333333333332</c:v>
                      </c:pt>
                      <c:pt idx="20">
                        <c:v>96.25</c:v>
                      </c:pt>
                      <c:pt idx="21">
                        <c:v>77.062307692307684</c:v>
                      </c:pt>
                      <c:pt idx="22">
                        <c:v>105.55999999999996</c:v>
                      </c:pt>
                      <c:pt idx="23">
                        <c:v>103.15727272727273</c:v>
                      </c:pt>
                      <c:pt idx="24">
                        <c:v>66.180714285714288</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93.677000000000007</c:v>
                      </c:pt>
                      <c:pt idx="1">
                        <c:v>93.677000000000007</c:v>
                      </c:pt>
                      <c:pt idx="2">
                        <c:v>93.677000000000007</c:v>
                      </c:pt>
                      <c:pt idx="3">
                        <c:v>93.677000000000007</c:v>
                      </c:pt>
                      <c:pt idx="4">
                        <c:v>93.677000000000007</c:v>
                      </c:pt>
                      <c:pt idx="5">
                        <c:v>93.677000000000007</c:v>
                      </c:pt>
                      <c:pt idx="6">
                        <c:v>93.677000000000007</c:v>
                      </c:pt>
                      <c:pt idx="7">
                        <c:v>93.677000000000007</c:v>
                      </c:pt>
                      <c:pt idx="8">
                        <c:v>93.677000000000007</c:v>
                      </c:pt>
                      <c:pt idx="9">
                        <c:v>93.677000000000007</c:v>
                      </c:pt>
                      <c:pt idx="10">
                        <c:v>93.677000000000007</c:v>
                      </c:pt>
                      <c:pt idx="11">
                        <c:v>93.677000000000007</c:v>
                      </c:pt>
                      <c:pt idx="12">
                        <c:v>93.677000000000007</c:v>
                      </c:pt>
                      <c:pt idx="13">
                        <c:v>93.677000000000007</c:v>
                      </c:pt>
                      <c:pt idx="14">
                        <c:v>93.677000000000007</c:v>
                      </c:pt>
                      <c:pt idx="15">
                        <c:v>93.677000000000007</c:v>
                      </c:pt>
                      <c:pt idx="16">
                        <c:v>93.677000000000007</c:v>
                      </c:pt>
                      <c:pt idx="17">
                        <c:v>93.677000000000007</c:v>
                      </c:pt>
                      <c:pt idx="18">
                        <c:v>93.677000000000007</c:v>
                      </c:pt>
                      <c:pt idx="19">
                        <c:v>93.677000000000007</c:v>
                      </c:pt>
                      <c:pt idx="20">
                        <c:v>93.677000000000007</c:v>
                      </c:pt>
                      <c:pt idx="21">
                        <c:v>93.677000000000007</c:v>
                      </c:pt>
                      <c:pt idx="22">
                        <c:v>93.677000000000007</c:v>
                      </c:pt>
                      <c:pt idx="23">
                        <c:v>93.677000000000007</c:v>
                      </c:pt>
                      <c:pt idx="24">
                        <c:v>93.677000000000007</c:v>
                      </c:pt>
                      <c:pt idx="25">
                        <c:v>93.677000000000007</c:v>
                      </c:pt>
                      <c:pt idx="26">
                        <c:v>93.677000000000007</c:v>
                      </c:pt>
                      <c:pt idx="27">
                        <c:v>93.677000000000007</c:v>
                      </c:pt>
                      <c:pt idx="28">
                        <c:v>93.677000000000007</c:v>
                      </c:pt>
                      <c:pt idx="29">
                        <c:v>93.677000000000007</c:v>
                      </c:pt>
                      <c:pt idx="30">
                        <c:v>93.677000000000007</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pt idx="25">
                        <c:v>587.04</c:v>
                      </c:pt>
                      <c:pt idx="26">
                        <c:v>587.04</c:v>
                      </c:pt>
                      <c:pt idx="27">
                        <c:v>587.04</c:v>
                      </c:pt>
                      <c:pt idx="28">
                        <c:v>587.04</c:v>
                      </c:pt>
                      <c:pt idx="29">
                        <c:v>587.04</c:v>
                      </c:pt>
                      <c:pt idx="30">
                        <c:v>587.04</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0.77051324277578914</c:v>
                </c:pt>
              </c:numCache>
            </c:numRef>
          </c:xVal>
          <c:yVal>
            <c:numRef>
              <c:f>[1]omie_dinamic_dia!$Y$11:$Y$12</c:f>
              <c:numCache>
                <c:formatCode>General</c:formatCode>
                <c:ptCount val="2"/>
                <c:pt idx="0">
                  <c:v>0</c:v>
                </c:pt>
                <c:pt idx="1">
                  <c:v>0.63742398974868986</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-0.8910065241883679</c:v>
                </c:pt>
              </c:numCache>
            </c:numRef>
          </c:xVal>
          <c:yVal>
            <c:numRef>
              <c:f>[1]omie_dinamic_dia!$AC$20:$AC$21</c:f>
              <c:numCache>
                <c:formatCode>General</c:formatCode>
                <c:ptCount val="2"/>
                <c:pt idx="0">
                  <c:v>0</c:v>
                </c:pt>
                <c:pt idx="1">
                  <c:v>0.45399049973954675</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0.83407843361317113</c:v>
                </c:pt>
              </c:numCache>
            </c:numRef>
          </c:xVal>
          <c:yVal>
            <c:numRef>
              <c:f>[1]omie_dinamic_dia!$Y$37:$Y$38</c:f>
              <c:numCache>
                <c:formatCode>General</c:formatCode>
                <c:ptCount val="2"/>
                <c:pt idx="0">
                  <c:v>0</c:v>
                </c:pt>
                <c:pt idx="1">
                  <c:v>0.5516458706284304</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584</c:v>
                </c:pt>
                <c:pt idx="1">
                  <c:v>695</c:v>
                </c:pt>
                <c:pt idx="2">
                  <c:v>698</c:v>
                </c:pt>
                <c:pt idx="3">
                  <c:v>671</c:v>
                </c:pt>
                <c:pt idx="4">
                  <c:v>662</c:v>
                </c:pt>
                <c:pt idx="5">
                  <c:v>661</c:v>
                </c:pt>
                <c:pt idx="6">
                  <c:v>582</c:v>
                </c:pt>
                <c:pt idx="7">
                  <c:v>540</c:v>
                </c:pt>
                <c:pt idx="8">
                  <c:v>632</c:v>
                </c:pt>
                <c:pt idx="9">
                  <c:v>655</c:v>
                </c:pt>
                <c:pt idx="10">
                  <c:v>643</c:v>
                </c:pt>
                <c:pt idx="11">
                  <c:v>662</c:v>
                </c:pt>
                <c:pt idx="12">
                  <c:v>636</c:v>
                </c:pt>
                <c:pt idx="13">
                  <c:v>562</c:v>
                </c:pt>
                <c:pt idx="14">
                  <c:v>523</c:v>
                </c:pt>
                <c:pt idx="15">
                  <c:v>632</c:v>
                </c:pt>
                <c:pt idx="16">
                  <c:v>647</c:v>
                </c:pt>
                <c:pt idx="17">
                  <c:v>651</c:v>
                </c:pt>
                <c:pt idx="18">
                  <c:v>651</c:v>
                </c:pt>
                <c:pt idx="19">
                  <c:v>641</c:v>
                </c:pt>
                <c:pt idx="20">
                  <c:v>567</c:v>
                </c:pt>
                <c:pt idx="21">
                  <c:v>522</c:v>
                </c:pt>
                <c:pt idx="22">
                  <c:v>612</c:v>
                </c:pt>
                <c:pt idx="23">
                  <c:v>347</c:v>
                </c:pt>
                <c:pt idx="24">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gauss!$C$3:$C$41</c:f>
              <c:numCache>
                <c:formatCode>General</c:formatCode>
                <c:ptCount val="39"/>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73.12</c:v>
                </c:pt>
                <c:pt idx="1">
                  <c:v>73.12</c:v>
                </c:pt>
              </c:numCache>
            </c:numRef>
          </c:xVal>
          <c:yVal>
            <c:numRef>
              <c:f>gauss!$M$49:$M$50</c:f>
              <c:numCache>
                <c:formatCode>General</c:formatCode>
                <c:ptCount val="2"/>
                <c:pt idx="0">
                  <c:v>0</c:v>
                </c:pt>
                <c:pt idx="1">
                  <c:v>5.6590893836265949E-3</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f>gauss!$C$3:$C$41</c:f>
              <c:numCache>
                <c:formatCode>General</c:formatCode>
                <c:ptCount val="39"/>
                <c:pt idx="0">
                  <c:v>6.1874987405170355E-4</c:v>
                </c:pt>
                <c:pt idx="1">
                  <c:v>1.964798222678464E-3</c:v>
                </c:pt>
                <c:pt idx="2">
                  <c:v>8.9467894051809913E-3</c:v>
                </c:pt>
                <c:pt idx="3">
                  <c:v>2.1357810861365283E-2</c:v>
                </c:pt>
                <c:pt idx="4">
                  <c:v>2.9568553745259289E-2</c:v>
                </c:pt>
                <c:pt idx="5">
                  <c:v>3.5852451606849606E-2</c:v>
                </c:pt>
                <c:pt idx="6">
                  <c:v>3.6907621830431746E-2</c:v>
                </c:pt>
                <c:pt idx="7">
                  <c:v>3.9602977923217278E-2</c:v>
                </c:pt>
                <c:pt idx="8">
                  <c:v>4.7381984019989859E-2</c:v>
                </c:pt>
                <c:pt idx="9">
                  <c:v>4.816531807315353E-2</c:v>
                </c:pt>
                <c:pt idx="10">
                  <c:v>4.8750097852930711E-2</c:v>
                </c:pt>
                <c:pt idx="11">
                  <c:v>4.9658329852001727E-2</c:v>
                </c:pt>
                <c:pt idx="12">
                  <c:v>5.0363078551593041E-2</c:v>
                </c:pt>
                <c:pt idx="13">
                  <c:v>5.0858638776407117E-2</c:v>
                </c:pt>
                <c:pt idx="14">
                  <c:v>5.1281297092656407E-2</c:v>
                </c:pt>
                <c:pt idx="15">
                  <c:v>5.1375425327035054E-2</c:v>
                </c:pt>
                <c:pt idx="16">
                  <c:v>5.1461337995820429E-2</c:v>
                </c:pt>
                <c:pt idx="17">
                  <c:v>5.1462452336658714E-2</c:v>
                </c:pt>
                <c:pt idx="18">
                  <c:v>5.116905114157394E-2</c:v>
                </c:pt>
                <c:pt idx="19">
                  <c:v>5.0870726061566875E-2</c:v>
                </c:pt>
                <c:pt idx="20">
                  <c:v>5.068915787570983E-2</c:v>
                </c:pt>
                <c:pt idx="21">
                  <c:v>4.9972748674105713E-2</c:v>
                </c:pt>
                <c:pt idx="22">
                  <c:v>4.8628965614319397E-2</c:v>
                </c:pt>
                <c:pt idx="23">
                  <c:v>4.8101854584220304E-2</c:v>
                </c:pt>
                <c:pt idx="24">
                  <c:v>4.7607874904472339E-2</c:v>
                </c:pt>
                <c:pt idx="25">
                  <c:v>4.7236913445521923E-2</c:v>
                </c:pt>
                <c:pt idx="26">
                  <c:v>4.5868493770428398E-2</c:v>
                </c:pt>
                <c:pt idx="27">
                  <c:v>4.5610659295222372E-2</c:v>
                </c:pt>
                <c:pt idx="28">
                  <c:v>4.265780605173021E-2</c:v>
                </c:pt>
                <c:pt idx="29">
                  <c:v>4.2420757806034437E-2</c:v>
                </c:pt>
                <c:pt idx="30">
                  <c:v>3.9647517044166733E-2</c:v>
                </c:pt>
                <c:pt idx="31">
                  <c:v>3.875224282025555E-2</c:v>
                </c:pt>
                <c:pt idx="32">
                  <c:v>3.7186786987781405E-2</c:v>
                </c:pt>
                <c:pt idx="33">
                  <c:v>3.5268962390528152E-2</c:v>
                </c:pt>
                <c:pt idx="34">
                  <c:v>3.3556996697930531E-2</c:v>
                </c:pt>
                <c:pt idx="35">
                  <c:v>3.2272626353383398E-2</c:v>
                </c:pt>
                <c:pt idx="36">
                  <c:v>2.6234475654973798E-2</c:v>
                </c:pt>
                <c:pt idx="37">
                  <c:v>2.0748009206055577E-2</c:v>
                </c:pt>
                <c:pt idx="38">
                  <c:v>5.6590893836265949E-3</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65</c:v>
                      </c:pt>
                      <c:pt idx="1">
                        <c:v>68.239999999999995</c:v>
                      </c:pt>
                      <c:pt idx="2">
                        <c:v>73.55</c:v>
                      </c:pt>
                      <c:pt idx="3">
                        <c:v>77.77</c:v>
                      </c:pt>
                      <c:pt idx="4">
                        <c:v>79.89</c:v>
                      </c:pt>
                      <c:pt idx="5">
                        <c:v>81.459999999999994</c:v>
                      </c:pt>
                      <c:pt idx="6">
                        <c:v>81.73</c:v>
                      </c:pt>
                      <c:pt idx="7">
                        <c:v>82.44</c:v>
                      </c:pt>
                      <c:pt idx="8">
                        <c:v>84.9</c:v>
                      </c:pt>
                      <c:pt idx="9">
                        <c:v>85.23</c:v>
                      </c:pt>
                      <c:pt idx="10">
                        <c:v>85.5</c:v>
                      </c:pt>
                      <c:pt idx="11">
                        <c:v>85.98</c:v>
                      </c:pt>
                      <c:pt idx="12">
                        <c:v>86.44</c:v>
                      </c:pt>
                      <c:pt idx="13">
                        <c:v>86.86</c:v>
                      </c:pt>
                      <c:pt idx="14">
                        <c:v>87.4</c:v>
                      </c:pt>
                      <c:pt idx="15">
                        <c:v>87.6</c:v>
                      </c:pt>
                      <c:pt idx="16">
                        <c:v>88</c:v>
                      </c:pt>
                      <c:pt idx="17">
                        <c:v>88.05</c:v>
                      </c:pt>
                      <c:pt idx="18">
                        <c:v>88.88</c:v>
                      </c:pt>
                      <c:pt idx="19">
                        <c:v>89.23</c:v>
                      </c:pt>
                      <c:pt idx="20">
                        <c:v>89.4</c:v>
                      </c:pt>
                      <c:pt idx="21">
                        <c:v>89.93</c:v>
                      </c:pt>
                      <c:pt idx="22">
                        <c:v>90.66</c:v>
                      </c:pt>
                      <c:pt idx="23">
                        <c:v>90.9</c:v>
                      </c:pt>
                      <c:pt idx="24">
                        <c:v>91.11</c:v>
                      </c:pt>
                      <c:pt idx="25">
                        <c:v>91.26</c:v>
                      </c:pt>
                      <c:pt idx="26">
                        <c:v>91.77</c:v>
                      </c:pt>
                      <c:pt idx="27">
                        <c:v>91.86</c:v>
                      </c:pt>
                      <c:pt idx="28">
                        <c:v>92.8</c:v>
                      </c:pt>
                      <c:pt idx="29">
                        <c:v>92.87</c:v>
                      </c:pt>
                      <c:pt idx="30">
                        <c:v>93.65</c:v>
                      </c:pt>
                      <c:pt idx="31">
                        <c:v>93.89</c:v>
                      </c:pt>
                      <c:pt idx="32">
                        <c:v>94.3</c:v>
                      </c:pt>
                      <c:pt idx="33">
                        <c:v>94.79</c:v>
                      </c:pt>
                      <c:pt idx="34">
                        <c:v>95.22</c:v>
                      </c:pt>
                      <c:pt idx="35">
                        <c:v>95.54</c:v>
                      </c:pt>
                      <c:pt idx="36">
                        <c:v>97.05</c:v>
                      </c:pt>
                      <c:pt idx="37">
                        <c:v>98.5</c:v>
                      </c:pt>
                      <c:pt idx="38">
                        <c:v>104.34</c:v>
                      </c:pt>
                    </c:numCache>
                  </c:numRef>
                </c:xVal>
                <c:yVal>
                  <c:numRef>
                    <c:extLst>
                      <c:ext uri="{02D57815-91ED-43cb-92C2-25804820EDAC}">
                        <c15:formulaRef>
                          <c15:sqref>gauss!$D$3:$D$55</c15:sqref>
                        </c15:formulaRef>
                      </c:ext>
                    </c:extLst>
                    <c:numCache>
                      <c:formatCode>General</c:formatCode>
                      <c:ptCount val="53"/>
                      <c:pt idx="0">
                        <c:v>1.4720324814160998E-3</c:v>
                      </c:pt>
                      <c:pt idx="1">
                        <c:v>5.3007381128846219E-3</c:v>
                      </c:pt>
                      <c:pt idx="2">
                        <c:v>3.070080816465811E-2</c:v>
                      </c:pt>
                      <c:pt idx="3">
                        <c:v>9.2382768505894983E-2</c:v>
                      </c:pt>
                      <c:pt idx="4">
                        <c:v>0.14622784421620022</c:v>
                      </c:pt>
                      <c:pt idx="5">
                        <c:v>0.1976002494639178</c:v>
                      </c:pt>
                      <c:pt idx="6">
                        <c:v>0.20742316368526625</c:v>
                      </c:pt>
                      <c:pt idx="7">
                        <c:v>0.23459217181121039</c:v>
                      </c:pt>
                      <c:pt idx="8">
                        <c:v>0.34219732231438071</c:v>
                      </c:pt>
                      <c:pt idx="9">
                        <c:v>0.35796465481914996</c:v>
                      </c:pt>
                      <c:pt idx="10">
                        <c:v>0.37104939986138769</c:v>
                      </c:pt>
                      <c:pt idx="11">
                        <c:v>0.39467429890910732</c:v>
                      </c:pt>
                      <c:pt idx="12">
                        <c:v>0.41768559338280353</c:v>
                      </c:pt>
                      <c:pt idx="13">
                        <c:v>0.43894718451754522</c:v>
                      </c:pt>
                      <c:pt idx="14">
                        <c:v>0.46653596374780593</c:v>
                      </c:pt>
                      <c:pt idx="15">
                        <c:v>0.47680220254405692</c:v>
                      </c:pt>
                      <c:pt idx="16">
                        <c:v>0.49737411431884843</c:v>
                      </c:pt>
                      <c:pt idx="17">
                        <c:v>0.4999472179972943</c:v>
                      </c:pt>
                      <c:pt idx="18">
                        <c:v>0.54257988694108716</c:v>
                      </c:pt>
                      <c:pt idx="19">
                        <c:v>0.56043983072760617</c:v>
                      </c:pt>
                      <c:pt idx="20">
                        <c:v>0.56907275762711118</c:v>
                      </c:pt>
                      <c:pt idx="21">
                        <c:v>0.59575810533344931</c:v>
                      </c:pt>
                      <c:pt idx="22">
                        <c:v>0.63177210776337256</c:v>
                      </c:pt>
                      <c:pt idx="23">
                        <c:v>0.64338061847130523</c:v>
                      </c:pt>
                      <c:pt idx="24">
                        <c:v>0.65343066540800487</c:v>
                      </c:pt>
                      <c:pt idx="25">
                        <c:v>0.66054421020449217</c:v>
                      </c:pt>
                      <c:pt idx="26">
                        <c:v>0.6842929436850651</c:v>
                      </c:pt>
                      <c:pt idx="27">
                        <c:v>0.68840954091056639</c:v>
                      </c:pt>
                      <c:pt idx="28">
                        <c:v>0.72993108593332212</c:v>
                      </c:pt>
                      <c:pt idx="29">
                        <c:v>0.73290884819602686</c:v>
                      </c:pt>
                      <c:pt idx="30">
                        <c:v>0.7649302931091142</c:v>
                      </c:pt>
                      <c:pt idx="31">
                        <c:v>0.77433860678395083</c:v>
                      </c:pt>
                      <c:pt idx="32">
                        <c:v>0.78990753115554013</c:v>
                      </c:pt>
                      <c:pt idx="33">
                        <c:v>0.80766095319561138</c:v>
                      </c:pt>
                      <c:pt idx="34">
                        <c:v>0.82245927583409895</c:v>
                      </c:pt>
                      <c:pt idx="35">
                        <c:v>0.83299217443904994</c:v>
                      </c:pt>
                      <c:pt idx="36">
                        <c:v>0.87714709287317993</c:v>
                      </c:pt>
                      <c:pt idx="37">
                        <c:v>0.9111529318141921</c:v>
                      </c:pt>
                      <c:pt idx="38">
                        <c:v>0.98218972886516231</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acum_porc!$L$1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acum_porc!$M$2:$M$24</c:f>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f>acum_porc!$L$2:$L$24</c:f>
              <c:numCache>
                <c:formatCode>0.0%</c:formatCode>
                <c:ptCount val="23"/>
                <c:pt idx="0">
                  <c:v>0.63992023795308062</c:v>
                </c:pt>
                <c:pt idx="1">
                  <c:v>1.0812896644205081</c:v>
                </c:pt>
                <c:pt idx="2">
                  <c:v>1.1100692403290733</c:v>
                </c:pt>
                <c:pt idx="3">
                  <c:v>1.1933782173650518</c:v>
                </c:pt>
                <c:pt idx="4">
                  <c:v>1.2054730094246442</c:v>
                </c:pt>
                <c:pt idx="5">
                  <c:v>1.3284117961555808</c:v>
                </c:pt>
                <c:pt idx="6">
                  <c:v>1.514571328392309</c:v>
                </c:pt>
                <c:pt idx="7">
                  <c:v>1.5233852610219327</c:v>
                </c:pt>
                <c:pt idx="8">
                  <c:v>1.5650430319141453</c:v>
                </c:pt>
                <c:pt idx="9">
                  <c:v>1.6164184976216833</c:v>
                </c:pt>
                <c:pt idx="10">
                  <c:v>1.6237681789545417</c:v>
                </c:pt>
                <c:pt idx="11">
                  <c:v>1.6641762442941022</c:v>
                </c:pt>
                <c:pt idx="12">
                  <c:v>1.7364977288302719</c:v>
                </c:pt>
                <c:pt idx="13">
                  <c:v>1.8387303908434951</c:v>
                </c:pt>
                <c:pt idx="14">
                  <c:v>1.9291404978947162</c:v>
                </c:pt>
                <c:pt idx="15">
                  <c:v>1.9293515140934381</c:v>
                </c:pt>
                <c:pt idx="16">
                  <c:v>2.040706015331009</c:v>
                </c:pt>
                <c:pt idx="17">
                  <c:v>2.0976392542552174</c:v>
                </c:pt>
                <c:pt idx="18">
                  <c:v>2.1987099410654585</c:v>
                </c:pt>
                <c:pt idx="19">
                  <c:v>2.2596141482922301</c:v>
                </c:pt>
                <c:pt idx="20">
                  <c:v>2.3042676578681589</c:v>
                </c:pt>
                <c:pt idx="21">
                  <c:v>2.3554554712573301</c:v>
                </c:pt>
                <c:pt idx="22">
                  <c:v>2.6898693366556694</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c:ext uri="{02D57815-91ED-43cb-92C2-25804820EDAC}">
                        <c15:formulaRef>
                          <c15:sqref>acum_porc!$B$2:$B$96</c15:sqref>
                        </c15:formulaRef>
                      </c:ext>
                    </c:extLst>
                    <c:numCache>
                      <c:formatCode>General</c:formatCode>
                      <c:ptCount val="95"/>
                      <c:pt idx="0">
                        <c:v>3.2388663967611225E-2</c:v>
                      </c:pt>
                      <c:pt idx="1">
                        <c:v>8.7719298245612885E-3</c:v>
                      </c:pt>
                      <c:pt idx="2">
                        <c:v>3.2388663967611413E-2</c:v>
                      </c:pt>
                      <c:pt idx="3">
                        <c:v>1.2145748987854329E-2</c:v>
                      </c:pt>
                      <c:pt idx="4">
                        <c:v>0.10242914979757091</c:v>
                      </c:pt>
                      <c:pt idx="5">
                        <c:v>3.8731443994601759E-2</c:v>
                      </c:pt>
                      <c:pt idx="6">
                        <c:v>4.4534412955465549E-2</c:v>
                      </c:pt>
                      <c:pt idx="7">
                        <c:v>0.18866396761133611</c:v>
                      </c:pt>
                      <c:pt idx="9">
                        <c:v>0.15249662618083687</c:v>
                      </c:pt>
                      <c:pt idx="10">
                        <c:v>2.6990553306343165E-3</c:v>
                      </c:pt>
                      <c:pt idx="11">
                        <c:v>4.8582995951417123E-2</c:v>
                      </c:pt>
                      <c:pt idx="12">
                        <c:v>0.19703103913630224</c:v>
                      </c:pt>
                      <c:pt idx="13">
                        <c:v>5.6410256410256508E-2</c:v>
                      </c:pt>
                      <c:pt idx="14">
                        <c:v>7.9622132253711286E-2</c:v>
                      </c:pt>
                      <c:pt idx="16">
                        <c:v>0.15141700404858299</c:v>
                      </c:pt>
                      <c:pt idx="17">
                        <c:v>9.4197031039136361E-2</c:v>
                      </c:pt>
                      <c:pt idx="19">
                        <c:v>0.17543859649122809</c:v>
                      </c:pt>
                      <c:pt idx="20">
                        <c:v>0.18353576248313083</c:v>
                      </c:pt>
                      <c:pt idx="22">
                        <c:v>0.1943319838056681</c:v>
                      </c:pt>
                      <c:pt idx="23">
                        <c:v>1.6869095816464237E-2</c:v>
                      </c:pt>
                      <c:pt idx="26">
                        <c:v>2.6180836707152658E-2</c:v>
                      </c:pt>
                      <c:pt idx="31">
                        <c:v>1.4170040485830114E-2</c:v>
                      </c:pt>
                      <c:pt idx="33">
                        <c:v>7.0175438596491266E-2</c:v>
                      </c:pt>
                      <c:pt idx="48">
                        <c:v>1.0796221322537075E-2</c:v>
                      </c:pt>
                      <c:pt idx="53">
                        <c:v>0.10175438596491218</c:v>
                      </c:pt>
                      <c:pt idx="54">
                        <c:v>0.38704453441295561</c:v>
                      </c:pt>
                      <c:pt idx="62">
                        <c:v>2.4291497975709423E-3</c:v>
                      </c:pt>
                      <c:pt idx="64">
                        <c:v>0.14979757085020257</c:v>
                      </c:pt>
                      <c:pt idx="66">
                        <c:v>0.23076923076923089</c:v>
                      </c:pt>
                      <c:pt idx="67">
                        <c:v>0.21052631578947381</c:v>
                      </c:pt>
                      <c:pt idx="68">
                        <c:v>0.11106612685560041</c:v>
                      </c:pt>
                      <c:pt idx="73">
                        <c:v>0.18016194331983817</c:v>
                      </c:pt>
                      <c:pt idx="88">
                        <c:v>6.2078272604589469E-3</c:v>
                      </c:pt>
                      <c:pt idx="91">
                        <c:v>2.091767881241581E-2</c:v>
                      </c:pt>
                      <c:pt idx="92">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acum_porc!$C$2:$C$96</c15:sqref>
                        </c15:formulaRef>
                      </c:ext>
                    </c:extLst>
                    <c:numCache>
                      <c:formatCode>General</c:formatCode>
                      <c:ptCount val="95"/>
                      <c:pt idx="0">
                        <c:v>0.73000000000000009</c:v>
                      </c:pt>
                      <c:pt idx="1">
                        <c:v>0.84699999999999986</c:v>
                      </c:pt>
                      <c:pt idx="2">
                        <c:v>0.50050000000000006</c:v>
                      </c:pt>
                      <c:pt idx="3">
                        <c:v>0.625</c:v>
                      </c:pt>
                      <c:pt idx="4">
                        <c:v>0.74050000000000016</c:v>
                      </c:pt>
                      <c:pt idx="5">
                        <c:v>0.8932500000000001</c:v>
                      </c:pt>
                      <c:pt idx="6">
                        <c:v>0.63500000000000012</c:v>
                      </c:pt>
                      <c:pt idx="7">
                        <c:v>0.74224999999999997</c:v>
                      </c:pt>
                      <c:pt idx="9">
                        <c:v>0.61149999999999982</c:v>
                      </c:pt>
                      <c:pt idx="10">
                        <c:v>0.74624999999999986</c:v>
                      </c:pt>
                      <c:pt idx="11">
                        <c:v>0.72375000000000012</c:v>
                      </c:pt>
                      <c:pt idx="12">
                        <c:v>0.74899999999999989</c:v>
                      </c:pt>
                      <c:pt idx="13">
                        <c:v>0.48249999999999993</c:v>
                      </c:pt>
                      <c:pt idx="14">
                        <c:v>0.7</c:v>
                      </c:pt>
                      <c:pt idx="15">
                        <c:v>0.6087499999999999</c:v>
                      </c:pt>
                      <c:pt idx="16">
                        <c:v>0.80625000000000002</c:v>
                      </c:pt>
                      <c:pt idx="17">
                        <c:v>0.99499999999999988</c:v>
                      </c:pt>
                      <c:pt idx="18">
                        <c:v>0.63000000000000012</c:v>
                      </c:pt>
                      <c:pt idx="19">
                        <c:v>0.875</c:v>
                      </c:pt>
                      <c:pt idx="21">
                        <c:v>0.50250000000000006</c:v>
                      </c:pt>
                      <c:pt idx="23">
                        <c:v>0.5625</c:v>
                      </c:pt>
                      <c:pt idx="24">
                        <c:v>1.2309999999999999</c:v>
                      </c:pt>
                      <c:pt idx="29">
                        <c:v>0.75249999999999984</c:v>
                      </c:pt>
                      <c:pt idx="30">
                        <c:v>0.80500000000000005</c:v>
                      </c:pt>
                      <c:pt idx="33">
                        <c:v>0.7024999999999999</c:v>
                      </c:pt>
                      <c:pt idx="36">
                        <c:v>0.53825000000000001</c:v>
                      </c:pt>
                      <c:pt idx="40">
                        <c:v>0.50150000000000006</c:v>
                      </c:pt>
                      <c:pt idx="53">
                        <c:v>0.80899999999999994</c:v>
                      </c:pt>
                      <c:pt idx="62">
                        <c:v>0.33849999999999997</c:v>
                      </c:pt>
                      <c:pt idx="69">
                        <c:v>0.77525000000000011</c:v>
                      </c:pt>
                      <c:pt idx="82">
                        <c:v>1.18875</c:v>
                      </c:pt>
                      <c:pt idx="83">
                        <c:v>0.68</c:v>
                      </c:pt>
                      <c:pt idx="88">
                        <c:v>0.64649999999999996</c:v>
                      </c:pt>
                      <c:pt idx="90">
                        <c:v>1.155</c:v>
                      </c:pt>
                      <c:pt idx="91">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acum_porc!$D$2:$D$96</c15:sqref>
                        </c15:formulaRef>
                      </c:ext>
                    </c:extLst>
                    <c:numCache>
                      <c:formatCode>General</c:formatCode>
                      <c:ptCount val="95"/>
                      <c:pt idx="0">
                        <c:v>0.16863905325443776</c:v>
                      </c:pt>
                      <c:pt idx="1">
                        <c:v>0.50394477317554232</c:v>
                      </c:pt>
                      <c:pt idx="3">
                        <c:v>0.57790927021696248</c:v>
                      </c:pt>
                      <c:pt idx="4">
                        <c:v>1.7460552268244574</c:v>
                      </c:pt>
                      <c:pt idx="5">
                        <c:v>0.64250493096646943</c:v>
                      </c:pt>
                      <c:pt idx="6">
                        <c:v>0.46942800788954631</c:v>
                      </c:pt>
                      <c:pt idx="7">
                        <c:v>0.80769230769230738</c:v>
                      </c:pt>
                      <c:pt idx="8">
                        <c:v>5.9171597633134827E-3</c:v>
                      </c:pt>
                      <c:pt idx="9">
                        <c:v>0.30670611439842199</c:v>
                      </c:pt>
                      <c:pt idx="10">
                        <c:v>0.75542406311637078</c:v>
                      </c:pt>
                      <c:pt idx="12">
                        <c:v>1.2194280078895461</c:v>
                      </c:pt>
                      <c:pt idx="13">
                        <c:v>0.15828402366863892</c:v>
                      </c:pt>
                      <c:pt idx="14">
                        <c:v>1.2189349112426033</c:v>
                      </c:pt>
                      <c:pt idx="15">
                        <c:v>0.74211045364891504</c:v>
                      </c:pt>
                      <c:pt idx="16">
                        <c:v>1.2795857988165678</c:v>
                      </c:pt>
                      <c:pt idx="17">
                        <c:v>2.0414201183431953</c:v>
                      </c:pt>
                      <c:pt idx="19">
                        <c:v>1.7120315581854042</c:v>
                      </c:pt>
                      <c:pt idx="21">
                        <c:v>0.44970414201183417</c:v>
                      </c:pt>
                      <c:pt idx="23">
                        <c:v>0.22287968441814593</c:v>
                      </c:pt>
                      <c:pt idx="32">
                        <c:v>0.7435897435897435</c:v>
                      </c:pt>
                      <c:pt idx="39">
                        <c:v>0.6060157790927021</c:v>
                      </c:pt>
                      <c:pt idx="69">
                        <c:v>1.3505917159763312</c:v>
                      </c:pt>
                      <c:pt idx="75">
                        <c:v>2.2199211045364886</c:v>
                      </c:pt>
                      <c:pt idx="83">
                        <c:v>0.34319526627218921</c:v>
                      </c:pt>
                      <c:pt idx="91">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acum_porc!$E$2:$E$96</c15:sqref>
                        </c15:formulaRef>
                      </c:ext>
                    </c:extLst>
                    <c:numCache>
                      <c:formatCode>General</c:formatCode>
                      <c:ptCount val="95"/>
                      <c:pt idx="0">
                        <c:v>0.49963423555230435</c:v>
                      </c:pt>
                      <c:pt idx="1">
                        <c:v>0.35332845647403072</c:v>
                      </c:pt>
                      <c:pt idx="3">
                        <c:v>1.0848573518653988</c:v>
                      </c:pt>
                      <c:pt idx="4">
                        <c:v>1.7468910021945863</c:v>
                      </c:pt>
                      <c:pt idx="5">
                        <c:v>0.77249451353328458</c:v>
                      </c:pt>
                      <c:pt idx="6">
                        <c:v>0.66788588149231898</c:v>
                      </c:pt>
                      <c:pt idx="8">
                        <c:v>0.64594001463057793</c:v>
                      </c:pt>
                      <c:pt idx="9">
                        <c:v>0.89465983906364288</c:v>
                      </c:pt>
                      <c:pt idx="10">
                        <c:v>0.77029992684711046</c:v>
                      </c:pt>
                      <c:pt idx="11">
                        <c:v>2.2553035844915872</c:v>
                      </c:pt>
                      <c:pt idx="12">
                        <c:v>1.4381858083394292</c:v>
                      </c:pt>
                      <c:pt idx="13">
                        <c:v>0.42648134601316751</c:v>
                      </c:pt>
                      <c:pt idx="14">
                        <c:v>1.9261155815654718</c:v>
                      </c:pt>
                      <c:pt idx="15">
                        <c:v>0.71982443306510624</c:v>
                      </c:pt>
                      <c:pt idx="16">
                        <c:v>0.70592538405267014</c:v>
                      </c:pt>
                      <c:pt idx="17">
                        <c:v>5.5032918800292618</c:v>
                      </c:pt>
                      <c:pt idx="18">
                        <c:v>1.0190197512801757</c:v>
                      </c:pt>
                      <c:pt idx="19">
                        <c:v>2.4711046086320412</c:v>
                      </c:pt>
                      <c:pt idx="20">
                        <c:v>0.60936356986100948</c:v>
                      </c:pt>
                      <c:pt idx="21">
                        <c:v>0.7483540599853693</c:v>
                      </c:pt>
                      <c:pt idx="22">
                        <c:v>1.944403803950256</c:v>
                      </c:pt>
                      <c:pt idx="23">
                        <c:v>0.64667154352596945</c:v>
                      </c:pt>
                      <c:pt idx="38">
                        <c:v>0.26773957571324053</c:v>
                      </c:pt>
                      <c:pt idx="40">
                        <c:v>1.438917337234821</c:v>
                      </c:pt>
                      <c:pt idx="54">
                        <c:v>0.74762253108997812</c:v>
                      </c:pt>
                      <c:pt idx="69">
                        <c:v>0.80760790051207032</c:v>
                      </c:pt>
                      <c:pt idx="83">
                        <c:v>0.39502560351133875</c:v>
                      </c:pt>
                      <c:pt idx="85">
                        <c:v>0.45647403072421361</c:v>
                      </c:pt>
                      <c:pt idx="94">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acum_porc!$K$1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acum_porc!$K$2:$K$96</c15:sqref>
                        </c15:formulaRef>
                      </c:ext>
                    </c:extLst>
                    <c:numCache>
                      <c:formatCode>General</c:formatCode>
                      <c:ptCount val="95"/>
                      <c:pt idx="0">
                        <c:v>9</c:v>
                      </c:pt>
                      <c:pt idx="1">
                        <c:v>9</c:v>
                      </c:pt>
                      <c:pt idx="2">
                        <c:v>7</c:v>
                      </c:pt>
                      <c:pt idx="3">
                        <c:v>9</c:v>
                      </c:pt>
                      <c:pt idx="4">
                        <c:v>9</c:v>
                      </c:pt>
                      <c:pt idx="5">
                        <c:v>9</c:v>
                      </c:pt>
                      <c:pt idx="6">
                        <c:v>9</c:v>
                      </c:pt>
                      <c:pt idx="7">
                        <c:v>8</c:v>
                      </c:pt>
                      <c:pt idx="8">
                        <c:v>7</c:v>
                      </c:pt>
                      <c:pt idx="9">
                        <c:v>9</c:v>
                      </c:pt>
                      <c:pt idx="10">
                        <c:v>9</c:v>
                      </c:pt>
                      <c:pt idx="11">
                        <c:v>8</c:v>
                      </c:pt>
                      <c:pt idx="12">
                        <c:v>9</c:v>
                      </c:pt>
                      <c:pt idx="13">
                        <c:v>7</c:v>
                      </c:pt>
                      <c:pt idx="14">
                        <c:v>9</c:v>
                      </c:pt>
                      <c:pt idx="15">
                        <c:v>8</c:v>
                      </c:pt>
                      <c:pt idx="16">
                        <c:v>9</c:v>
                      </c:pt>
                      <c:pt idx="17">
                        <c:v>9</c:v>
                      </c:pt>
                      <c:pt idx="18">
                        <c:v>7</c:v>
                      </c:pt>
                      <c:pt idx="19">
                        <c:v>9</c:v>
                      </c:pt>
                      <c:pt idx="20">
                        <c:v>7</c:v>
                      </c:pt>
                      <c:pt idx="21">
                        <c:v>7</c:v>
                      </c:pt>
                      <c:pt idx="22">
                        <c:v>7</c:v>
                      </c:pt>
                      <c:pt idx="23">
                        <c:v>5</c:v>
                      </c:pt>
                      <c:pt idx="24">
                        <c:v>1</c:v>
                      </c:pt>
                      <c:pt idx="25">
                        <c:v>1</c:v>
                      </c:pt>
                      <c:pt idx="26">
                        <c:v>1</c:v>
                      </c:pt>
                      <c:pt idx="27">
                        <c:v>3</c:v>
                      </c:pt>
                      <c:pt idx="28">
                        <c:v>1</c:v>
                      </c:pt>
                      <c:pt idx="29">
                        <c:v>1</c:v>
                      </c:pt>
                      <c:pt idx="30">
                        <c:v>5</c:v>
                      </c:pt>
                      <c:pt idx="31">
                        <c:v>1</c:v>
                      </c:pt>
                      <c:pt idx="32">
                        <c:v>1</c:v>
                      </c:pt>
                      <c:pt idx="33">
                        <c:v>5</c:v>
                      </c:pt>
                      <c:pt idx="34">
                        <c:v>5</c:v>
                      </c:pt>
                      <c:pt idx="35">
                        <c:v>3</c:v>
                      </c:pt>
                      <c:pt idx="36">
                        <c:v>1</c:v>
                      </c:pt>
                      <c:pt idx="37">
                        <c:v>2</c:v>
                      </c:pt>
                      <c:pt idx="38">
                        <c:v>3</c:v>
                      </c:pt>
                      <c:pt idx="39">
                        <c:v>1</c:v>
                      </c:pt>
                      <c:pt idx="40">
                        <c:v>4</c:v>
                      </c:pt>
                      <c:pt idx="41">
                        <c:v>2</c:v>
                      </c:pt>
                      <c:pt idx="42">
                        <c:v>1</c:v>
                      </c:pt>
                      <c:pt idx="43">
                        <c:v>4</c:v>
                      </c:pt>
                      <c:pt idx="44">
                        <c:v>1</c:v>
                      </c:pt>
                      <c:pt idx="45">
                        <c:v>1</c:v>
                      </c:pt>
                      <c:pt idx="46">
                        <c:v>3</c:v>
                      </c:pt>
                      <c:pt idx="47">
                        <c:v>1</c:v>
                      </c:pt>
                      <c:pt idx="48">
                        <c:v>1</c:v>
                      </c:pt>
                      <c:pt idx="49">
                        <c:v>1</c:v>
                      </c:pt>
                      <c:pt idx="50">
                        <c:v>1</c:v>
                      </c:pt>
                      <c:pt idx="51">
                        <c:v>1</c:v>
                      </c:pt>
                      <c:pt idx="52">
                        <c:v>4</c:v>
                      </c:pt>
                      <c:pt idx="53">
                        <c:v>2</c:v>
                      </c:pt>
                      <c:pt idx="54">
                        <c:v>4</c:v>
                      </c:pt>
                      <c:pt idx="55">
                        <c:v>1</c:v>
                      </c:pt>
                      <c:pt idx="56">
                        <c:v>4</c:v>
                      </c:pt>
                      <c:pt idx="57">
                        <c:v>4</c:v>
                      </c:pt>
                      <c:pt idx="58">
                        <c:v>1</c:v>
                      </c:pt>
                      <c:pt idx="59">
                        <c:v>1</c:v>
                      </c:pt>
                      <c:pt idx="60">
                        <c:v>1</c:v>
                      </c:pt>
                      <c:pt idx="61">
                        <c:v>2</c:v>
                      </c:pt>
                      <c:pt idx="62">
                        <c:v>4</c:v>
                      </c:pt>
                      <c:pt idx="63">
                        <c:v>1</c:v>
                      </c:pt>
                      <c:pt idx="64">
                        <c:v>1</c:v>
                      </c:pt>
                      <c:pt idx="65">
                        <c:v>1</c:v>
                      </c:pt>
                      <c:pt idx="66">
                        <c:v>1</c:v>
                      </c:pt>
                      <c:pt idx="67">
                        <c:v>3</c:v>
                      </c:pt>
                      <c:pt idx="68">
                        <c:v>2</c:v>
                      </c:pt>
                      <c:pt idx="69">
                        <c:v>6</c:v>
                      </c:pt>
                      <c:pt idx="70">
                        <c:v>1</c:v>
                      </c:pt>
                      <c:pt idx="71">
                        <c:v>1</c:v>
                      </c:pt>
                      <c:pt idx="72">
                        <c:v>1</c:v>
                      </c:pt>
                      <c:pt idx="73">
                        <c:v>1</c:v>
                      </c:pt>
                      <c:pt idx="74">
                        <c:v>1</c:v>
                      </c:pt>
                      <c:pt idx="75">
                        <c:v>1</c:v>
                      </c:pt>
                      <c:pt idx="76">
                        <c:v>2</c:v>
                      </c:pt>
                      <c:pt idx="77">
                        <c:v>4</c:v>
                      </c:pt>
                      <c:pt idx="78">
                        <c:v>2</c:v>
                      </c:pt>
                      <c:pt idx="79">
                        <c:v>3</c:v>
                      </c:pt>
                      <c:pt idx="80">
                        <c:v>3</c:v>
                      </c:pt>
                      <c:pt idx="81">
                        <c:v>4</c:v>
                      </c:pt>
                      <c:pt idx="82">
                        <c:v>1</c:v>
                      </c:pt>
                      <c:pt idx="83">
                        <c:v>6</c:v>
                      </c:pt>
                      <c:pt idx="84">
                        <c:v>1</c:v>
                      </c:pt>
                      <c:pt idx="85">
                        <c:v>6</c:v>
                      </c:pt>
                      <c:pt idx="86">
                        <c:v>2</c:v>
                      </c:pt>
                      <c:pt idx="87">
                        <c:v>1</c:v>
                      </c:pt>
                      <c:pt idx="88">
                        <c:v>4</c:v>
                      </c:pt>
                      <c:pt idx="89">
                        <c:v>1</c:v>
                      </c:pt>
                      <c:pt idx="90">
                        <c:v>1</c:v>
                      </c:pt>
                      <c:pt idx="91">
                        <c:v>5</c:v>
                      </c:pt>
                      <c:pt idx="92">
                        <c:v>1</c:v>
                      </c:pt>
                      <c:pt idx="93">
                        <c:v>4</c:v>
                      </c:pt>
                      <c:pt idx="94">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acum_porc!$M$1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acum_porc!$M$2:$M$24</c15:sqref>
                        </c15:formulaRef>
                      </c:ext>
                    </c:extLst>
                    <c:strCache>
                      <c:ptCount val="23"/>
                      <c:pt idx="0">
                        <c:v>Javier Revuelta Alonso (9)</c:v>
                      </c:pt>
                      <c:pt idx="1">
                        <c:v>Jose F Vidal (9)</c:v>
                      </c:pt>
                      <c:pt idx="2">
                        <c:v>Roberto Cavero García (7)</c:v>
                      </c:pt>
                      <c:pt idx="3">
                        <c:v>Javier Pérez Salazar (9)</c:v>
                      </c:pt>
                      <c:pt idx="4">
                        <c:v>Gladys Rocha Blanco (9)</c:v>
                      </c:pt>
                      <c:pt idx="5">
                        <c:v>Julián Mateo Muñoz (9)</c:v>
                      </c:pt>
                      <c:pt idx="6">
                        <c:v>Roque Alonso Alonso (9)</c:v>
                      </c:pt>
                      <c:pt idx="7">
                        <c:v>Jaime Larrañaga Juez (8)</c:v>
                      </c:pt>
                      <c:pt idx="8">
                        <c:v>Javier Colón Cortegoso (7)</c:v>
                      </c:pt>
                      <c:pt idx="9">
                        <c:v>Jorge Antonio González Sánchez (9)</c:v>
                      </c:pt>
                      <c:pt idx="10">
                        <c:v>Inés Monroy (9)</c:v>
                      </c:pt>
                      <c:pt idx="11">
                        <c:v>Carles Estruch Puig (8)</c:v>
                      </c:pt>
                      <c:pt idx="12">
                        <c:v>Fernando Sánchez-Rey Maeso (9)</c:v>
                      </c:pt>
                      <c:pt idx="13">
                        <c:v>Alfonso Lezcano (7)</c:v>
                      </c:pt>
                      <c:pt idx="14">
                        <c:v>Alfonso Zárate Conde (9)</c:v>
                      </c:pt>
                      <c:pt idx="15">
                        <c:v>Laura Gómez López (8)</c:v>
                      </c:pt>
                      <c:pt idx="16">
                        <c:v>Elena Muñoz Vioque (9)</c:v>
                      </c:pt>
                      <c:pt idx="17">
                        <c:v>Jose Manuel Otero López (9)</c:v>
                      </c:pt>
                      <c:pt idx="18">
                        <c:v>Aitor Folch (7)</c:v>
                      </c:pt>
                      <c:pt idx="19">
                        <c:v>Juan Pedro Conejo Sanchez (9)</c:v>
                      </c:pt>
                      <c:pt idx="20">
                        <c:v>Javier Espelta (7)</c:v>
                      </c:pt>
                      <c:pt idx="21">
                        <c:v>Oscar Mulas Crespo (7)</c:v>
                      </c:pt>
                      <c:pt idx="22">
                        <c:v>Luis Angel Garzon Velasco (7)</c:v>
                      </c:pt>
                    </c:strCache>
                  </c:strRef>
                </c:cat>
                <c:val>
                  <c:numRef>
                    <c:extLst xmlns:c15="http://schemas.microsoft.com/office/drawing/2012/chart">
                      <c:ext xmlns:c15="http://schemas.microsoft.com/office/drawing/2012/chart" uri="{02D57815-91ED-43cb-92C2-25804820EDAC}">
                        <c15:formulaRef>
                          <c15:sqref>acum_porc!$M$2:$M$96</c15:sqref>
                        </c15:formulaRef>
                      </c:ext>
                    </c:extLst>
                    <c:numCache>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28"/>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1.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74.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7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38100</xdr:colOff>
          <xdr:row>10</xdr:row>
          <xdr:rowOff>9525</xdr:rowOff>
        </xdr:from>
        <xdr:to>
          <xdr:col>32</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30</xdr:col>
      <xdr:colOff>80597</xdr:colOff>
      <xdr:row>14</xdr:row>
      <xdr:rowOff>43962</xdr:rowOff>
    </xdr:from>
    <xdr:to>
      <xdr:col>34</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36,41</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64,96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39,0%</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40,7%</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36,41</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36,41</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64,96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64,96</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18,06</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91,18</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24,7%</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88,05</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39,0%</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40,7%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46,03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110,97</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95,84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14.676</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36,41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64,96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0</xdr:colOff>
      <xdr:row>37</xdr:row>
      <xdr:rowOff>1</xdr:rowOff>
    </xdr:from>
    <xdr:to>
      <xdr:col>17</xdr:col>
      <xdr:colOff>0</xdr:colOff>
      <xdr:row>54</xdr:row>
      <xdr:rowOff>1</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668125" y="5815028"/>
          <a:ext cx="141922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11342</xdr:colOff>
      <xdr:row>38</xdr:row>
      <xdr:rowOff>140612</xdr:rowOff>
    </xdr:from>
    <xdr:to>
      <xdr:col>16</xdr:col>
      <xdr:colOff>669745</xdr:colOff>
      <xdr:row>38</xdr:row>
      <xdr:rowOff>140805</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41342" y="6156016"/>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30873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131885</xdr:colOff>
      <xdr:row>28</xdr:row>
      <xdr:rowOff>65942</xdr:rowOff>
    </xdr:from>
    <xdr:to>
      <xdr:col>18</xdr:col>
      <xdr:colOff>769763</xdr:colOff>
      <xdr:row>38</xdr:row>
      <xdr:rowOff>70686</xdr:rowOff>
    </xdr:to>
    <xdr:pic>
      <xdr:nvPicPr>
        <xdr:cNvPr id="60" name="Imagen 59">
          <a:extLst>
            <a:ext uri="{FF2B5EF4-FFF2-40B4-BE49-F238E27FC236}">
              <a16:creationId xmlns:a16="http://schemas.microsoft.com/office/drawing/2014/main" id="{040DFBC9-AFC7-B44E-3247-68698480672E}"/>
            </a:ext>
          </a:extLst>
        </xdr:cNvPr>
        <xdr:cNvPicPr>
          <a:picLocks noChangeAspect="1"/>
        </xdr:cNvPicPr>
      </xdr:nvPicPr>
      <xdr:blipFill>
        <a:blip xmlns:r="http://schemas.openxmlformats.org/officeDocument/2006/relationships" r:embed="rId15"/>
        <a:stretch>
          <a:fillRect/>
        </a:stretch>
      </xdr:blipFill>
      <xdr:spPr>
        <a:xfrm>
          <a:off x="12954000" y="4542692"/>
          <a:ext cx="1561071" cy="1543398"/>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73,12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18,06</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91,18</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24,7%</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0.05789</cdr:x>
      <cdr:y>0.10393</cdr:y>
    </cdr:from>
    <cdr:to>
      <cdr:x>0.73315</cdr:x>
      <cdr:y>0.19655</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0596" y="287831"/>
          <a:ext cx="940040" cy="25651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0.50168</cdr:x>
      <cdr:y>0.12633</cdr:y>
    </cdr:from>
    <cdr:to>
      <cdr:x>0.91634</cdr:x>
      <cdr:y>0.23349</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98390" y="349881"/>
          <a:ext cx="577254" cy="29678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88,05</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761045</xdr:colOff>
      <xdr:row>42</xdr:row>
      <xdr:rowOff>153865</xdr:rowOff>
    </xdr:from>
    <xdr:to>
      <xdr:col>18</xdr:col>
      <xdr:colOff>0</xdr:colOff>
      <xdr:row>43</xdr:row>
      <xdr:rowOff>146539</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1795391" y="6528288"/>
          <a:ext cx="1524955" cy="14653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1494693</xdr:colOff>
      <xdr:row>20</xdr:row>
      <xdr:rowOff>29306</xdr:rowOff>
    </xdr:from>
    <xdr:to>
      <xdr:col>12</xdr:col>
      <xdr:colOff>432288</xdr:colOff>
      <xdr:row>22</xdr:row>
      <xdr:rowOff>14653</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8821616" y="3018691"/>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91,18</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2.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3.xml><?xml version="1.0" encoding="utf-8"?>
<xdr:wsDr xmlns:xdr="http://schemas.openxmlformats.org/drawingml/2006/spreadsheetDrawing" xmlns:a="http://schemas.openxmlformats.org/drawingml/2006/main">
  <xdr:twoCellAnchor>
    <xdr:from>
      <xdr:col>13</xdr:col>
      <xdr:colOff>571500</xdr:colOff>
      <xdr:row>7</xdr:row>
      <xdr:rowOff>28572</xdr:rowOff>
    </xdr:from>
    <xdr:to>
      <xdr:col>31</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92</xdr:row>
      <xdr:rowOff>57150</xdr:rowOff>
    </xdr:from>
    <xdr:to>
      <xdr:col>31</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4.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U$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7 mejores resultados hasta el 28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0.63968</cdr:x>
      <cdr:y>0.33337</cdr:y>
    </cdr:from>
    <cdr:to>
      <cdr:x>0.94733</cdr:x>
      <cdr:y>0.46077</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798263" y="317852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5.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U$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7 mejores resultados hasta el 28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25</v>
          </cell>
        </row>
        <row r="9">
          <cell r="AE9">
            <v>1</v>
          </cell>
        </row>
        <row r="10">
          <cell r="W10" t="str">
            <v>flecha</v>
          </cell>
          <cell r="AE10">
            <v>1</v>
          </cell>
        </row>
        <row r="11">
          <cell r="W11" t="str">
            <v>inicio</v>
          </cell>
          <cell r="X11">
            <v>0</v>
          </cell>
          <cell r="Y11">
            <v>0</v>
          </cell>
          <cell r="AE11">
            <v>1</v>
          </cell>
        </row>
        <row r="12">
          <cell r="W12" t="str">
            <v>final</v>
          </cell>
          <cell r="X12">
            <v>0.77051324277578914</v>
          </cell>
          <cell r="Y12">
            <v>0.63742398974868986</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-0.8910065241883679</v>
          </cell>
          <cell r="AC21">
            <v>0.45399049973954675</v>
          </cell>
        </row>
        <row r="37">
          <cell r="X37">
            <v>0</v>
          </cell>
          <cell r="Y37">
            <v>0</v>
          </cell>
        </row>
        <row r="38">
          <cell r="X38">
            <v>0.83407843361317113</v>
          </cell>
          <cell r="Y38">
            <v>0.5516458706284304</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6"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0"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2"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7"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7"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9"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5"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4"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19"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1"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1"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3"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8"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8"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0"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5"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5"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4"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6"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7"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8"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1"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5"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2"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6" connectionId="40"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5" unboundColumnsRight="3">
    <queryTableFields count="13">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13" name="Ago 2024" tableColumnId="12"/>
      <queryTableField id="14" name="Sep 2024" tableColumnId="13"/>
      <queryTableField id="8" dataBound="0" tableColumnId="8"/>
      <queryTableField id="5" dataBound="0" tableColumnId="6"/>
      <queryTableField id="9" dataBound="0" tableColumnId="9"/>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2"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76"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61"/>
    <tableColumn id="3" xr3:uid="{3861983E-9572-444C-947C-E7D57298824B}" uniqueName="3" name="valor" queryTableFieldId="3" dataDxfId="26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59"/>
    <tableColumn id="4" xr3:uid="{0C82DB85-0579-4D6B-8D4B-97B2C42C2143}" uniqueName="4" name="valor" queryTableFieldId="4" dataDxfId="25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57"/>
    <tableColumn id="3" xr3:uid="{5803D351-2AA9-49F6-B78D-A534B1C937AC}" uniqueName="3" name="valor" queryTableFieldId="3" dataDxfId="25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55"/>
    <tableColumn id="2" xr3:uid="{DF3CB2F5-3FE0-469D-802E-73C3788B7999}" uniqueName="2" name="valor" queryTableFieldId="2" dataDxfId="25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53" dataDxfId="252">
  <tableColumns count="2">
    <tableColumn id="3" xr3:uid="{958CB32F-1519-4445-A7B6-7A507919C51D}" uniqueName="3" name="fecha" queryTableFieldId="1" dataDxfId="251"/>
    <tableColumn id="2" xr3:uid="{2E071D30-423C-42F3-9B58-84AE7F983B6F}" uniqueName="2" name="valor" queryTableFieldId="2" dataDxfId="25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49" dataDxfId="248">
  <tableColumns count="2">
    <tableColumn id="3" xr3:uid="{D412FE74-06AC-4C73-A25E-1825DDE9DDF2}" uniqueName="3" name="fecha" queryTableFieldId="1" dataDxfId="247"/>
    <tableColumn id="2" xr3:uid="{1BC2D732-1DC6-47E5-B808-0EEEB12A5F4D}" uniqueName="2" name="valor" queryTableFieldId="2" dataDxfId="24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45">
  <tableColumns count="2">
    <tableColumn id="3" xr3:uid="{17EFC80D-C413-4738-91A8-6E4A15C3F558}" uniqueName="3" name="fecha" queryTableFieldId="1" dataDxfId="244"/>
    <tableColumn id="2" xr3:uid="{D8674625-135B-44E6-BB4A-DC53C2AFB103}" uniqueName="2" name="valor" queryTableFieldId="2" dataDxfId="24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42"/>
    <tableColumn id="2" xr3:uid="{49228BEA-DA9C-414C-9DC1-6E94566A29D3}" uniqueName="2" name="valor" queryTableFieldId="2" dataDxfId="24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2" tableType="queryTable" totalsRowShown="0">
  <autoFilter ref="AB4:AC32" xr:uid="{254938D9-AF2E-401D-A5A6-0B3FCA5DB6CA}"/>
  <tableColumns count="2">
    <tableColumn id="3" xr3:uid="{1D44ACFD-C8F9-4809-97E7-A91FE39E8EDF}" uniqueName="3" name="fecha" queryTableFieldId="1" dataDxfId="240"/>
    <tableColumn id="2" xr3:uid="{BF43129B-9CF8-4FD8-B2E4-A9BBF4483548}" uniqueName="2" name="valor" queryTableFieldId="2" dataDxfId="23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35">
      <calculatedColumnFormula>apuestas_ene24[[#This Row],[Apuesta Miniporra]]-$B$3</calculatedColumnFormula>
    </tableColumn>
    <tableColumn id="8" xr3:uid="{5839308A-FF43-4FE6-994A-69FC2FBFD373}" uniqueName="8" name="desvio %" queryTableFieldId="8" dataDxfId="234"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33"/>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32"/>
    <tableColumn id="2" xr3:uid="{112BE060-2A41-4409-AC9E-4B10C5D827B0}" uniqueName="2" name="€/MWh" queryTableFieldId="2" dataDxfId="231"/>
  </tableColumns>
  <tableStyleInfo name="TableStyleMedium10"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2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26">
      <calculatedColumnFormula>apuestas_feb24[[#This Row],[Apuesta Miniporra]]-$B$3</calculatedColumnFormula>
    </tableColumn>
    <tableColumn id="8" xr3:uid="{81DC3DE0-9675-4AB8-94EE-E87E41FFB9E2}" uniqueName="8" name="desvio %" queryTableFieldId="8" dataDxfId="22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24"/>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23"/>
    <tableColumn id="2" xr3:uid="{63125885-0138-47A5-A14A-5B38B8782CBD}" uniqueName="2" name="€/MWh" queryTableFieldId="2" dataDxfId="222"/>
  </tableColumns>
  <tableStyleInfo name="TableStyleMedium1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18"/>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17">
      <calculatedColumnFormula>apuestas_mar24[[#This Row],[Apuesta Miniporra]]-$B$3</calculatedColumnFormula>
    </tableColumn>
    <tableColumn id="8" xr3:uid="{EEC73F00-D21C-421E-9E94-1D3BF5D79A01}" uniqueName="8" name="desvio %" queryTableFieldId="7" dataDxfId="216"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12"/>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11"/>
    <tableColumn id="2" xr3:uid="{7DFE6567-AD6C-4D7F-9DE9-A9257B71CA31}" uniqueName="2" name="€/MWh" queryTableFieldId="2" dataDxfId="210"/>
  </tableColumns>
  <tableStyleInfo name="TableStyleMedium10"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09"/>
    <tableColumn id="2" xr3:uid="{63CC34E9-E87C-4C59-918A-26E8527564EE}" uniqueName="2" name="Nombre" queryTableFieldId="2" dataDxfId="208"/>
    <tableColumn id="3" xr3:uid="{D5309798-70CB-45EE-B7CE-DC81AAD9AF3E}" uniqueName="3" name="Apuesta Miniporra" queryTableFieldId="3" dataDxfId="207"/>
    <tableColumn id="4" xr3:uid="{6D244967-2AD4-4F80-AA3B-75E23E623EFF}" uniqueName="4" name="Comentario opcional sobre el mes (a ver si hay algún razonamiento, o pura potra!)" queryTableFieldId="4" dataDxfId="206"/>
    <tableColumn id="5" xr3:uid="{C7C1000D-440B-453E-A51D-A3D4A385C5DE}" uniqueName="5" name="Nick" queryTableFieldId="5" dataDxfId="205"/>
    <tableColumn id="7" xr3:uid="{DAE7AFD6-9B39-445C-950A-CA2CE06CADF7}" uniqueName="7" name="desvio" queryTableFieldId="6" dataDxfId="204">
      <calculatedColumnFormula>apuestas_abr24[[#This Row],[Apuesta Miniporra]]-$B$3</calculatedColumnFormula>
    </tableColumn>
    <tableColumn id="8" xr3:uid="{A30B4056-BA32-4443-9D36-347085E457DB}" uniqueName="8" name="desvio %" queryTableFieldId="7" dataDxfId="203" dataCellStyle="Porcentaje">
      <calculatedColumnFormula>ABS(apuestas_abr24[[#This Row],[desvio]])/$B$3</calculatedColumnFormula>
    </tableColumn>
    <tableColumn id="9" xr3:uid="{A5092CA8-C510-4F02-93C3-3191A125BC94}" uniqueName="9" name="orden" queryTableFieldId="8" dataDxfId="202">
      <calculatedColumnFormula>_xlfn.RANK.EQ(apuestas_abr24[[#This Row],[desvio %]],apuestas_abr24[desvio %],1)</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97"/>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96">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95"/>
    <tableColumn id="2" xr3:uid="{6221ADDE-CB24-4A6A-96BA-57541B44C061}" uniqueName="2" name="€/MWh" queryTableFieldId="2" dataDxfId="194"/>
  </tableColumns>
  <tableStyleInfo name="TableStyleMedium10"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93"/>
    <tableColumn id="2" xr3:uid="{B5F7B107-5DDF-4C32-8615-14256617EF80}" uniqueName="2" name="Nombre" queryTableFieldId="2" dataDxfId="192"/>
    <tableColumn id="3" xr3:uid="{9A9D4B3D-3CA1-488F-B979-8F3D3E7E0FA3}" uniqueName="3" name="Apuesta Miniporra" queryTableFieldId="3" dataDxfId="191"/>
    <tableColumn id="4" xr3:uid="{4C308168-16E2-4D1E-A900-60D706F4AFE9}" uniqueName="4" name="Comentario opcional sobre el mes (a ver si hay algún razonamiento, o pura potra!)" queryTableFieldId="4" dataDxfId="190"/>
    <tableColumn id="5" xr3:uid="{194CBFA1-FDCF-4266-AAB7-44FFFA28F384}" uniqueName="5" name="Nick" queryTableFieldId="5" dataDxfId="189"/>
    <tableColumn id="7" xr3:uid="{51F8B782-841B-4580-B595-E4DC3B0D5138}" uniqueName="7" name="desvio" queryTableFieldId="6" dataDxfId="188">
      <calculatedColumnFormula>apuestas_may24[[#This Row],[Apuesta Miniporra]]-$B$3</calculatedColumnFormula>
    </tableColumn>
    <tableColumn id="8" xr3:uid="{313F1E8F-57D2-4E48-BCD1-079F75DE6779}" uniqueName="8" name="desvio %" queryTableFieldId="7" dataDxfId="187" dataCellStyle="Porcentaje">
      <calculatedColumnFormula>ABS(apuestas_may24[[#This Row],[desvio]])/$B$3</calculatedColumnFormula>
    </tableColumn>
    <tableColumn id="9" xr3:uid="{777E69ED-5E6E-476B-8031-58AFB11670EF}" uniqueName="9" name="orden" queryTableFieldId="8" dataDxfId="186">
      <calculatedColumnFormula>_xlfn.RANK.EQ(apuestas_may24[[#This Row],[desvio %]],apuestas_may24[desvio %],1)</calculatedColumn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74"/>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73">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72"/>
    <tableColumn id="2" xr3:uid="{0862D624-82CA-418C-8D1D-90D12B43D2C0}" uniqueName="2" name="Nombre" queryTableFieldId="2" dataDxfId="171"/>
    <tableColumn id="3" xr3:uid="{6D8DD44C-F12E-40C3-8FBC-3D50B196D54D}" uniqueName="3" name="Apuesta Miniporra" queryTableFieldId="3" dataDxfId="170"/>
    <tableColumn id="4" xr3:uid="{FBD7911B-6AA1-49D9-9D70-654CAC54530E}" uniqueName="4" name="Comentario opcional sobre el mes (a ver si hay algún razonamiento, o pura potra!)" queryTableFieldId="4" dataDxfId="169"/>
    <tableColumn id="5" xr3:uid="{FD3DBE29-3F14-4282-A720-773697844872}" uniqueName="5" name="Nick" queryTableFieldId="5" dataDxfId="168"/>
    <tableColumn id="7" xr3:uid="{76267DB3-4E70-4246-A439-DA7D5371FE83}" uniqueName="7" name="desvio" queryTableFieldId="6" dataDxfId="167">
      <calculatedColumnFormula>apuestas_jun24[[#This Row],[Apuesta Miniporra]]-$B$3</calculatedColumnFormula>
    </tableColumn>
    <tableColumn id="8" xr3:uid="{CC4EF30D-60B5-4DEE-8EA7-837A39EFC2B6}" uniqueName="8" name="desvio %" queryTableFieldId="7" dataDxfId="166" dataCellStyle="Porcentaje">
      <calculatedColumnFormula>ABS(apuestas_jun24[[#This Row],[desvio]])/$B$3</calculatedColumnFormula>
    </tableColumn>
    <tableColumn id="9" xr3:uid="{6DD54322-AA0F-4AB5-AD49-29681F0B3307}" uniqueName="9" name="orden" queryTableFieldId="8" dataDxfId="165">
      <calculatedColumnFormula>_xlfn.RANK.EQ(apuestas_jun24[[#This Row],[desvio %]],apuestas_jun24[desvio %],1)</calculatedColumnFormula>
    </tableColumn>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64" dataDxfId="163" dataCellStyle="Porcentaje">
  <autoFilter ref="P6:Q36" xr:uid="{B925CE4A-9DB1-48C6-8628-348F1D747C81}"/>
  <tableColumns count="2">
    <tableColumn id="1" xr3:uid="{0852FBB8-A0B5-4443-B502-FE411EE21673}" name="dia" dataDxfId="162" dataCellStyle="Porcentaje"/>
    <tableColumn id="2" xr3:uid="{57C455C0-7EBB-428C-AC90-8CB177CA04C5}" name="€/MWh" dataDxfId="161" dataCellStyle="Porcentaje"/>
  </tableColumns>
  <tableStyleInfo name="TableStyleMedium10"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51"/>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50">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49"/>
    <tableColumn id="2" xr3:uid="{3C95EF88-792A-4B03-A48D-FAABB8D319ED}" uniqueName="2" name="Nombre" queryTableFieldId="2" dataDxfId="148"/>
    <tableColumn id="3" xr3:uid="{5E1666B4-DEFF-4B09-B7CE-FEDB4DF2FD45}" uniqueName="3" name="Apuesta Miniporra" queryTableFieldId="3" dataDxfId="147"/>
    <tableColumn id="4" xr3:uid="{AAB1CC2D-E687-4CBB-97D2-3018F3751ECE}" uniqueName="4" name="Comentario opcional sobre el mes (a ver si hay algún razonamiento, o pura potra!)" queryTableFieldId="4" dataDxfId="146"/>
    <tableColumn id="5" xr3:uid="{A4F4CFCF-C1CA-454D-BF76-66054E59A27D}" uniqueName="5" name="Nick" queryTableFieldId="5" dataDxfId="145"/>
    <tableColumn id="7" xr3:uid="{85DD35A9-F592-49C7-97D0-F57D87B808D7}" uniqueName="7" name="desvio" queryTableFieldId="6" dataDxfId="144">
      <calculatedColumnFormula>apuestas_juL24[[#This Row],[Apuesta Miniporra]]-$B$3</calculatedColumnFormula>
    </tableColumn>
    <tableColumn id="8" xr3:uid="{EB8155C7-CC5C-4C72-8642-6A3E2FDB2607}" uniqueName="8" name="desvio %" queryTableFieldId="7" dataDxfId="143" dataCellStyle="Porcentaje">
      <calculatedColumnFormula>ABS(apuestas_juL24[[#This Row],[desvio]])/$B$3</calculatedColumnFormula>
    </tableColumn>
    <tableColumn id="9" xr3:uid="{22D7C25C-F560-48FF-8160-EA1162876DC1}" uniqueName="9" name="orden" queryTableFieldId="8" dataDxfId="142">
      <calculatedColumnFormula>_xlfn.RANK.EQ(apuestas_juL24[[#This Row],[desvio %]],apuestas_juL24[desvio %],1)</calculatedColumnFormula>
    </tableColumn>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41" dataDxfId="140" dataCellStyle="Porcentaje">
  <tableColumns count="2">
    <tableColumn id="1" xr3:uid="{0603D470-0C98-429E-A818-BEADE992FD9C}" name="dia" dataDxfId="139" dataCellStyle="Porcentaje"/>
    <tableColumn id="2" xr3:uid="{282910E0-1DAE-4B53-B433-80DD2EADB27D}" name="€/MWh" dataDxfId="138" dataCellStyle="Porcentaje">
      <calculatedColumnFormula>IF(ISBLANK(omie!S5),"",omie!T5)</calculatedColumnFormula>
    </tableColumn>
  </tableColumns>
  <tableStyleInfo name="TableStyleMedium10"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28"/>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27">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26"/>
    <tableColumn id="2" xr3:uid="{79480BAA-12FF-4CCA-B87F-26662F8DC9C8}" uniqueName="2" name="Nombre" queryTableFieldId="2" dataDxfId="125"/>
    <tableColumn id="3" xr3:uid="{38960EFD-A1AC-42B9-B494-E9D87E32D545}" uniqueName="3" name="Apuesta Miniporra" queryTableFieldId="3" dataDxfId="124"/>
    <tableColumn id="4" xr3:uid="{77135B89-C04D-4F5F-8A25-AD55EF545A21}" uniqueName="4" name="Comentario opcional sobre el mes (a ver si hay algún razonamiento, o pura potra!)" queryTableFieldId="4" dataDxfId="123"/>
    <tableColumn id="5" xr3:uid="{2DD49D7F-8B6C-472E-AD73-C1A0DEB88EB6}" uniqueName="5" name="Nick" queryTableFieldId="5" dataDxfId="122"/>
    <tableColumn id="7" xr3:uid="{3E178D95-D6D0-489E-8BEB-BB2BEE7CE6E3}" uniqueName="7" name="desvio" queryTableFieldId="6" dataDxfId="121">
      <calculatedColumnFormula>apuestas_ago[[#This Row],[Apuesta Miniporra]]-$B$3</calculatedColumnFormula>
    </tableColumn>
    <tableColumn id="8" xr3:uid="{A1DF79F7-2B81-4165-9CE5-4565ED270850}" uniqueName="8" name="desvio %" queryTableFieldId="7" dataDxfId="120" dataCellStyle="Porcentaje">
      <calculatedColumnFormula>ABS(apuestas_ago[[#This Row],[desvio]])/$B$3</calculatedColumnFormula>
    </tableColumn>
    <tableColumn id="9" xr3:uid="{6B4580DE-71F9-4107-95C8-C2DACD17F21B}" uniqueName="9" name="orden" queryTableFieldId="8" dataDxfId="119">
      <calculatedColumnFormula>_xlfn.RANK.EQ(apuestas_ago[[#This Row],[desvio %]],apuestas_ago[desvio %],1)</calculatedColumnFormula>
    </tableColumn>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18" dataDxfId="117" dataCellStyle="Porcentaje">
  <tableColumns count="2">
    <tableColumn id="1" xr3:uid="{2E77994E-75A3-44E5-8849-746D4C1F4C26}" name="dia" dataDxfId="116" dataCellStyle="Porcentaje"/>
    <tableColumn id="2" xr3:uid="{29D3D0DA-F6D3-4E28-9ABE-0CEF5601A5BC}" name="€/MWh" dataDxfId="115" dataCellStyle="Porcentaje">
      <calculatedColumnFormula>IF(ISBLANK(omie!S5),"",omie!T5)</calculatedColumnFormula>
    </tableColumn>
  </tableColumns>
  <tableStyleInfo name="TableStyleMedium10"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05"/>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04">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03"/>
    <tableColumn id="2" xr3:uid="{DCF4BC84-92F4-4879-A309-42A4E475601A}" uniqueName="2" name="Nombre" queryTableFieldId="2" dataDxfId="102"/>
    <tableColumn id="3" xr3:uid="{856E1625-7322-4FDB-9EFF-A80066AF5712}" uniqueName="3" name="Apuesta Miniporra" queryTableFieldId="3" dataDxfId="101"/>
    <tableColumn id="4" xr3:uid="{464BDCEC-10C8-4B44-A30B-0221294B793E}" uniqueName="4" name="Comentario opcional sobre el mes (a ver si hay algún razonamiento, o pura potra!)" queryTableFieldId="4" dataDxfId="100"/>
    <tableColumn id="5" xr3:uid="{910190F1-B7F9-4390-B2A9-949CEF085D89}" uniqueName="5" name="Nick" queryTableFieldId="5" dataDxfId="99"/>
    <tableColumn id="7" xr3:uid="{E831ACFE-0C8D-4917-B626-84DB8CBC9985}" uniqueName="7" name="desvio" queryTableFieldId="6" dataDxfId="98">
      <calculatedColumnFormula>apuestas_sep24[[#This Row],[Apuesta Miniporra]]-$B$3</calculatedColumnFormula>
    </tableColumn>
    <tableColumn id="8" xr3:uid="{49E004AA-6578-4D1C-BB1C-504EBB90C05C}" uniqueName="8" name="desvio %" queryTableFieldId="7" dataDxfId="97" dataCellStyle="Porcentaje">
      <calculatedColumnFormula>ABS(apuestas_sep24[[#This Row],[desvio]])/$B$3</calculatedColumnFormula>
    </tableColumn>
    <tableColumn id="9" xr3:uid="{326FDC06-457E-4071-834D-5E37256D3894}" uniqueName="9" name="orden" queryTableFieldId="8" dataDxfId="96">
      <calculatedColumnFormula>_xlfn.RANK.EQ(apuestas_sep24[[#This Row],[desvio %]],apuestas_sep24[desvio %],1)</calculatedColumnFormula>
    </tableColumn>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7" totalsRowShown="0" headerRowDxfId="95" dataDxfId="94" dataCellStyle="Porcentaje">
  <tableColumns count="2">
    <tableColumn id="1" xr3:uid="{015BABC2-5930-4F45-876B-16AC5F8A941A}" name="dia" dataDxfId="93" dataCellStyle="Porcentaje"/>
    <tableColumn id="2" xr3:uid="{FC81B15F-6143-4B5A-B7BF-AC4150E2FC0F}" name="€/MWh" dataDxfId="92" dataCellStyle="Porcentaje">
      <calculatedColumnFormula>IF(ISBLANK(omie!Y5),"",omie!Z5)</calculatedColumnFormula>
    </tableColumn>
  </tableColumns>
  <tableStyleInfo name="TableStyleMedium10"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86">
  <tableColumns count="2">
    <tableColumn id="1" xr3:uid="{35DF48D8-C743-4C9F-921B-A1FC958186C3}" name="dia" dataDxfId="85"/>
    <tableColumn id="2" xr3:uid="{9841945D-0A16-4A16-BCE9-26670D0633AA}" name="€/MWh" dataDxfId="84">
      <calculatedColumnFormula>IFERROR(sep!Q7,"")</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83" dataDxfId="82">
  <tableColumns count="8">
    <tableColumn id="9" xr3:uid="{135DEB76-9113-4ED8-912B-5FC429B3735E}" name="Pos" dataDxfId="81">
      <calculatedColumnFormula>sep!K7</calculatedColumnFormula>
    </tableColumn>
    <tableColumn id="1" xr3:uid="{C1077472-5E08-4542-8973-2E3208450262}" name="Participante">
      <calculatedColumnFormula>sep!L7</calculatedColumnFormula>
    </tableColumn>
    <tableColumn id="2" xr3:uid="{52380920-90EB-44DF-AA67-8F826EBB8692}" name="apuesta" dataDxfId="80">
      <calculatedColumnFormula>sep!M7</calculatedColumnFormula>
    </tableColumn>
    <tableColumn id="3" xr3:uid="{B12D294F-B954-460C-9AAC-22D64E4B1BA8}" name="dif s/anterior" dataDxfId="79">
      <calculatedColumnFormula>M8-M9</calculatedColumnFormula>
    </tableColumn>
    <tableColumn id="4" xr3:uid="{3B455DC0-3CC7-4D0E-9042-001BF98F1C84}" name="limite inf" dataDxfId="78">
      <calculatedColumnFormula>M8-N8/2</calculatedColumnFormula>
    </tableColumn>
    <tableColumn id="5" xr3:uid="{DBF6BFE5-E5D0-45E7-AAEA-30CB0336EC13}" name="límite sup" dataDxfId="77">
      <calculatedColumnFormula>O7</calculatedColumnFormula>
    </tableColumn>
    <tableColumn id="7" xr3:uid="{E358B585-EA18-47BB-8FEF-852FB94FA3A9}" name="omie inf" dataDxfId="76">
      <calculatedColumnFormula>R9</calculatedColumnFormula>
    </tableColumn>
    <tableColumn id="8" xr3:uid="{E8A57C89-FBDF-4AA4-A9A8-15408D1067F9}" name="omie sup" dataDxfId="75">
      <calculatedColumnFormula>W8/$O$3</calculatedColumnFormula>
    </tableColumn>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6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61"/>
    <tableColumn id="2" xr3:uid="{B74B277F-3EA1-4B86-BA13-AB707542DEC3}" uniqueName="2" name="RE media" queryTableFieldId="2" dataDxfId="60"/>
    <tableColumn id="3" xr3:uid="{7AF76DDC-047D-4719-8689-D2F7BFC8F171}" uniqueName="3" name="TCC media" queryTableFieldId="3" dataDxfId="59"/>
    <tableColumn id="4" xr3:uid="{356021E6-447F-4237-9628-8EE14FDF0DF6}" uniqueName="4" name="HI media" queryTableFieldId="4" dataDxfId="58"/>
    <tableColumn id="5" xr3:uid="{722AEE7E-A90E-44DF-ADF8-F2B0FA8C07FC}" uniqueName="5" name="OMIE" queryTableFieldId="5" dataDxfId="57"/>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56"/>
    <tableColumn id="2" xr3:uid="{0D2884B0-F8E6-4046-960C-92B6BB12AD60}" uniqueName="2" name="Mibgas D+1" queryTableFieldId="2" dataDxfId="55"/>
    <tableColumn id="3" xr3:uid="{F403C042-6C6B-4265-9744-654D84EC9366}" uniqueName="3" name="Media mensual" queryTableFieldId="3" dataDxfId="54"/>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53"/>
    <tableColumn id="2" xr3:uid="{0AAC8E48-3106-45C5-BD15-5C2D7DCC0492}" uniqueName="2" name="€/Ton" queryTableFieldId="2" dataDxfId="52"/>
    <tableColumn id="3" xr3:uid="{663199BC-268D-4661-9652-DF21A4887E93}" uniqueName="3" name="Media mensual" queryTableFieldId="3" dataDxfId="51"/>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50"/>
    <tableColumn id="2" xr3:uid="{86358F3D-5E83-44C8-96D1-7642D890E1CC}" uniqueName="2" name="Omie media mensual (€/MWh)" queryTableFieldId="2" dataDxfId="49"/>
    <tableColumn id="3" xr3:uid="{2965D49F-4277-4D41-BC17-2FFA3690E718}" uniqueName="3" name="Omie media diaria" queryTableFieldId="3" dataDxfId="48"/>
    <tableColumn id="4" xr3:uid="{8F682861-559E-4A0A-8B35-1534F8A5F69F}" uniqueName="4" name="% Horas RE" queryTableFieldId="4" dataDxfId="47"/>
    <tableColumn id="5" xr3:uid="{344D2180-B89F-4486-BC79-F47F0F44DADB}" uniqueName="5" name="Media RE" queryTableFieldId="5" dataDxfId="46"/>
    <tableColumn id="6" xr3:uid="{A36E75B8-8FD4-4C99-9725-6E3DA266953A}" uniqueName="6" name="% Horas TCC" queryTableFieldId="6" dataDxfId="45"/>
    <tableColumn id="7" xr3:uid="{43A6144B-7FD2-40F0-B6ED-D5E57CDFBAB3}" uniqueName="7" name="Media TCC" queryTableFieldId="7" dataDxfId="44"/>
    <tableColumn id="8" xr3:uid="{DA09BE26-A2F1-42A9-BA4D-7C9AE9DBD543}" uniqueName="8" name="% Horas HI" queryTableFieldId="8" dataDxfId="43"/>
    <tableColumn id="9" xr3:uid="{A91EC14A-FF51-4D62-91D0-937E724D6271}" uniqueName="9" name="Media HI" queryTableFieldId="9" dataDxfId="42"/>
    <tableColumn id="16" xr3:uid="{BF6E5F0C-B5E4-4FC0-A159-657DA0ABF921}" uniqueName="16" name="demanda GWh" queryTableFieldId="17" dataDxfId="41"/>
    <tableColumn id="1" xr3:uid="{B592C603-FE74-4AAC-A7C1-ECEAD3B3AE21}" uniqueName="1" name="Precio RE" queryTableFieldId="11" dataDxfId="40"/>
    <tableColumn id="11" xr3:uid="{C1508DD3-459F-4835-BBDF-8C2A8B2FDFE7}" uniqueName="11" name="Precio medio RE" queryTableFieldId="12" dataDxfId="39"/>
    <tableColumn id="12" xr3:uid="{9026679D-B662-4523-973E-EA357394609B}" uniqueName="12" name="Precio TCC" queryTableFieldId="13" dataDxfId="38"/>
    <tableColumn id="13" xr3:uid="{CC7FB6CB-EEDE-4ED3-9DA5-F327C6E5A005}" uniqueName="13" name="Precio medio TCC" queryTableFieldId="14" dataDxfId="37"/>
    <tableColumn id="14" xr3:uid="{A9F3EF14-38B3-40EF-99B0-680C34ED4F7C}" uniqueName="14" name="Precio HI" queryTableFieldId="15" dataDxfId="36"/>
    <tableColumn id="15" xr3:uid="{8AA8DD72-56CF-4570-AB9C-E4009ED6B6EF}" uniqueName="15" name="Precio medio HI" queryTableFieldId="16" dataDxfId="35"/>
    <tableColumn id="17" xr3:uid="{B2E69756-B019-4223-9637-3598684CE6DE}" uniqueName="17" name="demanda grafico" queryTableFieldId="19" dataDxfId="34">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33">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32">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31" dataCellStyle="Porcentaje"/>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30">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29"/>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28" dataCellStyle="Porcentaje"/>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27">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26" dataCellStyle="Porcentaje"/>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25"/>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24"/>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M96" tableType="queryTable" totalsRowShown="0">
  <autoFilter ref="A1:M96" xr:uid="{99D01F56-7781-4CA0-B998-CED85D915683}"/>
  <sortState xmlns:xlrd2="http://schemas.microsoft.com/office/spreadsheetml/2017/richdata2" ref="A2:M96">
    <sortCondition ref="L1:L96"/>
  </sortState>
  <tableColumns count="13">
    <tableColumn id="5" xr3:uid="{D7A0D433-F982-4BB2-AE1F-A9386DB3D1D0}" uniqueName="5" name="Nombre " queryTableFieldId="1" dataDxfId="7"/>
    <tableColumn id="2" xr3:uid="{583BE58D-8152-40D3-BE00-AD7915726B0B}" uniqueName="2" name="Ene 2024" queryTableFieldId="2" dataDxfId="6"/>
    <tableColumn id="3" xr3:uid="{41CBAE96-76E5-4B9D-A5F6-77FDE00D2338}" uniqueName="3" name="Feb 2024" queryTableFieldId="3" dataDxfId="5"/>
    <tableColumn id="4" xr3:uid="{E538AD52-275E-4F9B-BA8A-EB2FCDED4E22}" uniqueName="4" name="Mar 2024" queryTableFieldId="4" dataDxfId="4"/>
    <tableColumn id="7" xr3:uid="{09C0F218-4378-4196-BFFD-09E25AA6D116}" uniqueName="7" name="Abr 2024" queryTableFieldId="7" dataDxfId="3"/>
    <tableColumn id="10" xr3:uid="{1A14C075-3AB5-4763-9E69-7B2B32063E39}" uniqueName="10" name="May 2024" queryTableFieldId="10" dataDxfId="2"/>
    <tableColumn id="1" xr3:uid="{D7BB0E91-62F4-4F0A-B459-A6CF10198D5A}" uniqueName="1" name="Jun 2024" queryTableFieldId="11"/>
    <tableColumn id="11" xr3:uid="{1FF7780B-3E7F-4CC1-B86D-BEF3CC466DC2}" uniqueName="11" name="Jul 2024" queryTableFieldId="12"/>
    <tableColumn id="12" xr3:uid="{0CAAFEDF-BC4E-4D30-839D-8E0E2373D4C5}" uniqueName="12" name="Ago 2024" queryTableFieldId="13"/>
    <tableColumn id="13" xr3:uid="{76E3BD0F-A311-46D6-AF82-DBCFC638474D}" uniqueName="13" name="Sep 2024" queryTableFieldId="14"/>
    <tableColumn id="8" xr3:uid="{CF39BE51-3759-4AF8-86DF-695E3E5DBE90}" uniqueName="8" name="contar" queryTableFieldId="8" dataDxfId="1">
      <calculatedColumnFormula>$Z$2- COUNTIF(acumulado_porcentaje[[#This Row],[Ene 2024]:[Sep 2024]],"")</calculatedColumnFormula>
    </tableColumn>
    <tableColumn id="6" xr3:uid="{F422233D-9EA7-4ED2-BEAE-280E8F52F342}" uniqueName="6" name="%_desvio" queryTableFieldId="5" dataDxfId="0" dataCellStyle="Porcentaje">
      <calculatedColumnFormula>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22"/>
    <tableColumn id="2" xr3:uid="{273CF2E4-AA71-4A38-8B09-B8C4341C8BDA}" uniqueName="2" name="Ene 2024" queryTableFieldId="2" dataDxfId="21"/>
    <tableColumn id="3" xr3:uid="{10CBB1D1-D219-4B55-BDE4-8EBED44AAD0D}" uniqueName="3" name="Feb 2024" queryTableFieldId="3" dataDxfId="20"/>
    <tableColumn id="4" xr3:uid="{E635CB03-C1F9-4F40-971A-E2B6D93952B0}" uniqueName="4" name="Mar 2024" queryTableFieldId="4" dataDxfId="19"/>
    <tableColumn id="7" xr3:uid="{C792BDFC-C6BD-4506-95F2-264CB023586B}" uniqueName="7" name="Abr 2024" queryTableFieldId="7" dataDxfId="18"/>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7">
      <calculatedColumnFormula>acum_porc!$Z$2- COUNTIF(acumulado_absoluto[[#This Row],[Ene 2024]:[Ago 2024]],"")</calculatedColumnFormula>
    </tableColumn>
    <tableColumn id="6" xr3:uid="{650181F5-E014-4486-A01F-0C1AF56FBFCD}" uniqueName="6" name="min" queryTableFieldId="5" dataDxfId="16">
      <calculatedColumnFormula>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5"/>
    <tableColumn id="2" xr3:uid="{DA5AD0F9-3C4A-4B14-A66A-EBE608E14AA8}" uniqueName="2" name="Ene 2024" queryTableFieldId="2" dataDxfId="14"/>
    <tableColumn id="3" xr3:uid="{B787E4BE-874B-4009-BA0D-80194F8C68DE}" uniqueName="3" name="Feb 2024" queryTableFieldId="3" dataDxfId="13"/>
    <tableColumn id="4" xr3:uid="{A7428946-38B4-4AB4-9D18-6C838A9D5D0A}" uniqueName="4" name="Mar 2024" queryTableFieldId="4" dataDxfId="12"/>
    <tableColumn id="7" xr3:uid="{5EB3169B-8C9C-4FEA-A8EE-C2B6CA065642}" uniqueName="7" name="Abr 2024" queryTableFieldId="6"/>
    <tableColumn id="6" xr3:uid="{7F64FAE5-E722-4B80-ADFA-5A66E4A2C6B0}" uniqueName="6" name="porras" queryTableFieldId="5" dataDxfId="11">
      <calculatedColumnFormula>COUNTA(acumulado_porcentaje_SIN_MAYO[[#This Row],[Ene 2024]:[Abr 2024]])</calculatedColumnFormula>
    </tableColumn>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8" tableType="queryTable" totalsRowShown="0">
  <autoFilter ref="A1:C88" xr:uid="{BEFB6CA3-7FEF-4445-A951-D80FD188F387}"/>
  <tableColumns count="3">
    <tableColumn id="4" xr3:uid="{C17A4293-7835-4681-A02B-6A7DA0D49887}" uniqueName="4" name="Nombre" queryTableFieldId="1" dataDxfId="10"/>
    <tableColumn id="2" xr3:uid="{14F77757-EE54-4FB2-9C68-4DD49DBC430F}" uniqueName="2" name="Apellidos" queryTableFieldId="2" dataDxfId="9"/>
    <tableColumn id="3" xr3:uid="{363B3867-DD54-4836-9944-787B922003EA}" uniqueName="3" name="Nick (o nombre corto)" queryTableFieldId="3" dataDxfId="8"/>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ctrlProp" Target="../ctrlProps/ctrlProp6.xml"/><Relationship Id="rId7" Type="http://schemas.openxmlformats.org/officeDocument/2006/relationships/table" Target="../tables/table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8.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ctrlProp" Target="../ctrlProps/ctrlProp9.xml"/><Relationship Id="rId7" Type="http://schemas.openxmlformats.org/officeDocument/2006/relationships/table" Target="../tables/table21.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ctrlProp" Target="../ctrlProps/ctrlProp13.xml"/><Relationship Id="rId7" Type="http://schemas.openxmlformats.org/officeDocument/2006/relationships/table" Target="../tables/table24.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ctrlProp" Target="../ctrlProps/ctrlProp17.xml"/><Relationship Id="rId7" Type="http://schemas.openxmlformats.org/officeDocument/2006/relationships/table" Target="../tables/table27.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ctrlProp" Target="../ctrlProps/ctrlProp21.xml"/><Relationship Id="rId7" Type="http://schemas.openxmlformats.org/officeDocument/2006/relationships/table" Target="../tables/table30.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ctrlProp" Target="../ctrlProps/ctrlProp25.xml"/><Relationship Id="rId7" Type="http://schemas.openxmlformats.org/officeDocument/2006/relationships/table" Target="../tables/table33.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5.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ctrlProp" Target="../ctrlProps/ctrlProp29.xml"/><Relationship Id="rId7" Type="http://schemas.openxmlformats.org/officeDocument/2006/relationships/table" Target="../tables/table36.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drawing" Target="../drawings/drawing2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2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6" Type="http://schemas.openxmlformats.org/officeDocument/2006/relationships/table" Target="../tables/table51.xml"/><Relationship Id="rId5" Type="http://schemas.openxmlformats.org/officeDocument/2006/relationships/table" Target="../tables/table50.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2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2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ivotTable" Target="../pivotTables/pivotTable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G276"/>
  <sheetViews>
    <sheetView zoomScale="130" zoomScaleNormal="130" workbookViewId="0">
      <selection activeCell="AB5" sqref="AB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1" max="31" width="22.28515625" customWidth="1"/>
  </cols>
  <sheetData>
    <row r="1" spans="1:33" ht="18" x14ac:dyDescent="0.2">
      <c r="A1" s="112" t="s">
        <v>341</v>
      </c>
      <c r="B1" s="112"/>
      <c r="D1" s="113" t="s">
        <v>237</v>
      </c>
      <c r="E1" s="113"/>
      <c r="G1" s="113" t="s">
        <v>368</v>
      </c>
      <c r="H1" s="113"/>
      <c r="J1" s="113" t="s">
        <v>476</v>
      </c>
      <c r="K1" s="113"/>
      <c r="M1" s="113" t="s">
        <v>551</v>
      </c>
      <c r="N1" s="113"/>
      <c r="P1" s="113" t="s">
        <v>659</v>
      </c>
      <c r="Q1" s="113"/>
      <c r="S1" s="113" t="s">
        <v>800</v>
      </c>
      <c r="T1" s="113"/>
      <c r="V1" s="113" t="s">
        <v>955</v>
      </c>
      <c r="W1" s="113"/>
      <c r="X1" s="97"/>
      <c r="Y1" s="113" t="s">
        <v>1030</v>
      </c>
      <c r="Z1" s="113"/>
      <c r="AA1" s="97"/>
      <c r="AB1" s="113" t="s">
        <v>1101</v>
      </c>
      <c r="AC1" s="113"/>
      <c r="AD1" s="97"/>
      <c r="AE1" s="99" t="s">
        <v>486</v>
      </c>
      <c r="AF1" s="2">
        <f>MIN(omie[valor])</f>
        <v>0.44</v>
      </c>
      <c r="AG1" s="100">
        <f>INDEX(omie[fecha],MATCH(AF1,omie[valor],0))</f>
        <v>45387</v>
      </c>
    </row>
    <row r="2" spans="1:33" ht="18" x14ac:dyDescent="0.2">
      <c r="A2" s="112"/>
      <c r="B2" s="112"/>
      <c r="D2" s="113"/>
      <c r="E2" s="113"/>
      <c r="G2" s="113"/>
      <c r="H2" s="113"/>
      <c r="J2" s="113"/>
      <c r="K2" s="113"/>
      <c r="M2" s="113"/>
      <c r="N2" s="113"/>
      <c r="P2" s="113"/>
      <c r="Q2" s="113"/>
      <c r="S2" s="113"/>
      <c r="T2" s="113"/>
      <c r="V2" s="113"/>
      <c r="W2" s="113"/>
      <c r="X2" s="97"/>
      <c r="Y2" s="113"/>
      <c r="Z2" s="113"/>
      <c r="AA2" s="97"/>
      <c r="AB2" s="113"/>
      <c r="AC2" s="113"/>
      <c r="AD2" s="97"/>
      <c r="AE2" s="99" t="s">
        <v>956</v>
      </c>
      <c r="AF2" s="2">
        <f>MAX(omie[valor])</f>
        <v>120.37</v>
      </c>
      <c r="AG2" s="100">
        <f>INDEX(omie[fecha],MATCH(AF2,omie[valor],0))</f>
        <v>45533</v>
      </c>
    </row>
    <row r="3" spans="1:33" x14ac:dyDescent="0.2">
      <c r="A3" s="112"/>
      <c r="B3" s="112"/>
      <c r="D3" s="15" t="s">
        <v>14</v>
      </c>
      <c r="E3" s="25">
        <f>ROUND(AVERAGE(omie_enero[valor]),2)</f>
        <v>74.099999999999994</v>
      </c>
      <c r="G3" s="15" t="s">
        <v>14</v>
      </c>
      <c r="H3" s="25">
        <f>ROUND(AVERAGE(omie_febrero[valor]),2)</f>
        <v>40</v>
      </c>
      <c r="J3" s="15" t="s">
        <v>14</v>
      </c>
      <c r="K3" s="101">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8"/>
      <c r="Y3" s="15" t="s">
        <v>14</v>
      </c>
      <c r="Z3" s="25">
        <f>ROUND(AVERAGE(omie_agosto[valor]),2)</f>
        <v>91.05</v>
      </c>
      <c r="AA3" s="25"/>
      <c r="AB3" s="15" t="s">
        <v>14</v>
      </c>
      <c r="AC3" s="25">
        <f>ROUND(AVERAGE(omie_septiembre[valor]),2)</f>
        <v>73.12</v>
      </c>
      <c r="AD3" s="98"/>
    </row>
    <row r="4" spans="1:33"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row>
    <row r="5" spans="1:33" x14ac:dyDescent="0.2">
      <c r="A5" s="5">
        <v>45563</v>
      </c>
      <c r="B5" s="4">
        <v>46.81</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row>
    <row r="6" spans="1:33" x14ac:dyDescent="0.2">
      <c r="A6" s="5">
        <v>45562</v>
      </c>
      <c r="B6" s="4">
        <v>25.61</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row>
    <row r="7" spans="1:33" x14ac:dyDescent="0.2">
      <c r="A7" s="5">
        <v>45561</v>
      </c>
      <c r="B7" s="4">
        <v>24.18</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row>
    <row r="8" spans="1:33" x14ac:dyDescent="0.2">
      <c r="A8" s="5">
        <v>45560</v>
      </c>
      <c r="B8" s="4">
        <v>57.22</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row>
    <row r="9" spans="1:33" x14ac:dyDescent="0.2">
      <c r="A9" s="5">
        <v>45559</v>
      </c>
      <c r="B9" s="4">
        <v>95.81</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row>
    <row r="10" spans="1:33" x14ac:dyDescent="0.2">
      <c r="A10" s="5">
        <v>45558</v>
      </c>
      <c r="B10" s="4">
        <v>90.03</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row>
    <row r="11" spans="1:33" x14ac:dyDescent="0.2">
      <c r="A11" s="5">
        <v>45557</v>
      </c>
      <c r="B11" s="4">
        <v>69.91</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row>
    <row r="12" spans="1:33" x14ac:dyDescent="0.2">
      <c r="A12" s="5">
        <v>45556</v>
      </c>
      <c r="B12" s="4">
        <v>85.39</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row>
    <row r="13" spans="1:33" x14ac:dyDescent="0.2">
      <c r="A13" s="5">
        <v>45555</v>
      </c>
      <c r="B13" s="4">
        <v>107.69</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row>
    <row r="14" spans="1:33" x14ac:dyDescent="0.2">
      <c r="A14" s="5">
        <v>45554</v>
      </c>
      <c r="B14" s="4">
        <v>106.98</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row>
    <row r="15" spans="1:33" x14ac:dyDescent="0.2">
      <c r="A15" s="5">
        <v>45553</v>
      </c>
      <c r="B15" s="4">
        <v>90.92</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row>
    <row r="16" spans="1:33" x14ac:dyDescent="0.2">
      <c r="A16" s="5">
        <v>45552</v>
      </c>
      <c r="B16" s="4">
        <v>25.7</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row>
    <row r="17" spans="1:29" x14ac:dyDescent="0.2">
      <c r="A17" s="5">
        <v>45551</v>
      </c>
      <c r="B17" s="4">
        <v>27.19</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row>
    <row r="18" spans="1:29" x14ac:dyDescent="0.2">
      <c r="A18" s="5">
        <v>45550</v>
      </c>
      <c r="B18" s="4">
        <v>32.520000000000003</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row>
    <row r="19" spans="1:29" x14ac:dyDescent="0.2">
      <c r="A19" s="5">
        <v>45549</v>
      </c>
      <c r="B19" s="4">
        <v>45.61</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row>
    <row r="20" spans="1:29" x14ac:dyDescent="0.2">
      <c r="A20" s="5">
        <v>45548</v>
      </c>
      <c r="B20" s="4">
        <v>47.1</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row>
    <row r="21" spans="1:29" x14ac:dyDescent="0.2">
      <c r="A21" s="5">
        <v>45547</v>
      </c>
      <c r="B21" s="4">
        <v>72.209999999999994</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row>
    <row r="22" spans="1:29" x14ac:dyDescent="0.2">
      <c r="A22" s="5">
        <v>45546</v>
      </c>
      <c r="B22" s="4">
        <v>76.739999999999995</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row>
    <row r="23" spans="1:29" x14ac:dyDescent="0.2">
      <c r="A23" s="5">
        <v>45545</v>
      </c>
      <c r="B23" s="4">
        <v>75.209999999999994</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row>
    <row r="24" spans="1:29" x14ac:dyDescent="0.2">
      <c r="A24" s="5">
        <v>45544</v>
      </c>
      <c r="B24" s="4">
        <v>86.54</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row>
    <row r="25" spans="1:29" x14ac:dyDescent="0.2">
      <c r="A25" s="5">
        <v>45543</v>
      </c>
      <c r="B25" s="4">
        <v>67.760000000000005</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row>
    <row r="26" spans="1:29" x14ac:dyDescent="0.2">
      <c r="A26" s="5">
        <v>45542</v>
      </c>
      <c r="B26" s="4">
        <v>79.010000000000005</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row>
    <row r="27" spans="1:29" x14ac:dyDescent="0.2">
      <c r="A27" s="5">
        <v>45541</v>
      </c>
      <c r="B27" s="4">
        <v>86.72</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row>
    <row r="28" spans="1:29" x14ac:dyDescent="0.2">
      <c r="A28" s="5">
        <v>45540</v>
      </c>
      <c r="B28" s="4">
        <v>104.28</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row>
    <row r="29" spans="1:29" x14ac:dyDescent="0.2">
      <c r="A29" s="5">
        <v>45539</v>
      </c>
      <c r="B29" s="4">
        <v>95.41</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row>
    <row r="30" spans="1:29" x14ac:dyDescent="0.2">
      <c r="A30" s="5">
        <v>45538</v>
      </c>
      <c r="B30" s="4">
        <v>108.44</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29" x14ac:dyDescent="0.2">
      <c r="A31" s="5">
        <v>45537</v>
      </c>
      <c r="B31" s="4">
        <v>116.66</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29" x14ac:dyDescent="0.2">
      <c r="A32" s="5">
        <v>45536</v>
      </c>
      <c r="B32" s="28">
        <v>99.64</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6" x14ac:dyDescent="0.2">
      <c r="A33" s="5">
        <v>45535</v>
      </c>
      <c r="B33" s="4">
        <v>116.61</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row>
    <row r="34" spans="1:26" x14ac:dyDescent="0.2">
      <c r="A34" s="5">
        <v>45534</v>
      </c>
      <c r="B34" s="4">
        <v>115.57</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row>
    <row r="35" spans="1:26" x14ac:dyDescent="0.2">
      <c r="A35" s="5">
        <v>45533</v>
      </c>
      <c r="B35" s="4">
        <v>120.37</v>
      </c>
      <c r="D35" s="24">
        <v>45322</v>
      </c>
      <c r="E35" s="21">
        <v>84.26</v>
      </c>
      <c r="G35" s="4"/>
      <c r="J35" s="51">
        <v>45382</v>
      </c>
      <c r="K35" s="47">
        <v>0.83</v>
      </c>
      <c r="P35" s="5">
        <v>45443</v>
      </c>
      <c r="Q35" s="4">
        <v>2.69</v>
      </c>
      <c r="V35" s="24">
        <v>45504</v>
      </c>
      <c r="W35" s="4">
        <v>105.34</v>
      </c>
      <c r="Y35" s="24">
        <v>45535</v>
      </c>
      <c r="Z35">
        <v>116.61</v>
      </c>
    </row>
    <row r="36" spans="1:26" x14ac:dyDescent="0.2">
      <c r="A36" s="5">
        <v>45532</v>
      </c>
      <c r="B36" s="4">
        <v>108.43</v>
      </c>
      <c r="F36" s="21"/>
      <c r="G36" s="4"/>
      <c r="J36"/>
    </row>
    <row r="37" spans="1:26" x14ac:dyDescent="0.2">
      <c r="A37" s="5">
        <v>45531</v>
      </c>
      <c r="B37" s="4">
        <v>107.71</v>
      </c>
      <c r="G37" s="4"/>
      <c r="J37"/>
    </row>
    <row r="38" spans="1:26" x14ac:dyDescent="0.2">
      <c r="A38" s="5">
        <v>45530</v>
      </c>
      <c r="B38" s="4">
        <v>94.19</v>
      </c>
      <c r="G38" s="4"/>
      <c r="J38"/>
    </row>
    <row r="39" spans="1:26" x14ac:dyDescent="0.2">
      <c r="A39" s="5">
        <v>45529</v>
      </c>
      <c r="B39" s="4">
        <v>31.2</v>
      </c>
      <c r="G39" s="4"/>
      <c r="J39"/>
    </row>
    <row r="40" spans="1:26" x14ac:dyDescent="0.2">
      <c r="A40" s="5">
        <v>45528</v>
      </c>
      <c r="B40" s="4">
        <v>60.32</v>
      </c>
      <c r="G40" s="4"/>
      <c r="J40"/>
    </row>
    <row r="41" spans="1:26" x14ac:dyDescent="0.2">
      <c r="A41" s="5">
        <v>45527</v>
      </c>
      <c r="B41" s="4">
        <v>107.09</v>
      </c>
      <c r="G41" s="4"/>
      <c r="J41"/>
    </row>
    <row r="42" spans="1:26" x14ac:dyDescent="0.2">
      <c r="A42" s="5">
        <v>45526</v>
      </c>
      <c r="B42" s="4">
        <v>109.4</v>
      </c>
      <c r="G42" s="4"/>
      <c r="J42"/>
    </row>
    <row r="43" spans="1:26" x14ac:dyDescent="0.2">
      <c r="A43" s="5">
        <v>45525</v>
      </c>
      <c r="B43" s="4">
        <v>79.06</v>
      </c>
      <c r="G43" s="4"/>
      <c r="J43"/>
    </row>
    <row r="44" spans="1:26" x14ac:dyDescent="0.2">
      <c r="A44" s="5">
        <v>45524</v>
      </c>
      <c r="B44" s="4">
        <v>95.62</v>
      </c>
      <c r="G44" s="4"/>
      <c r="J44"/>
    </row>
    <row r="45" spans="1:26" x14ac:dyDescent="0.2">
      <c r="A45" s="5">
        <v>45523</v>
      </c>
      <c r="B45" s="4">
        <v>93.72</v>
      </c>
      <c r="G45" s="4"/>
      <c r="J45"/>
    </row>
    <row r="46" spans="1:26" x14ac:dyDescent="0.2">
      <c r="A46" s="5">
        <v>45522</v>
      </c>
      <c r="B46" s="4">
        <v>55.6</v>
      </c>
      <c r="G46" s="4"/>
      <c r="J46"/>
    </row>
    <row r="47" spans="1:26" x14ac:dyDescent="0.2">
      <c r="A47" s="5">
        <v>45521</v>
      </c>
      <c r="B47" s="4">
        <v>83.21</v>
      </c>
      <c r="G47" s="4"/>
      <c r="J47"/>
    </row>
    <row r="48" spans="1:26" x14ac:dyDescent="0.2">
      <c r="A48" s="5">
        <v>45520</v>
      </c>
      <c r="B48" s="4">
        <v>88.23</v>
      </c>
      <c r="G48" s="4"/>
      <c r="J48"/>
    </row>
    <row r="49" spans="1:10" x14ac:dyDescent="0.2">
      <c r="A49" s="5">
        <v>45519</v>
      </c>
      <c r="B49" s="4">
        <v>44.29</v>
      </c>
      <c r="G49" s="4"/>
      <c r="J49"/>
    </row>
    <row r="50" spans="1:10" x14ac:dyDescent="0.2">
      <c r="A50" s="5">
        <v>45518</v>
      </c>
      <c r="B50" s="4">
        <v>89.05</v>
      </c>
      <c r="G50" s="4"/>
      <c r="J50"/>
    </row>
    <row r="51" spans="1:10" x14ac:dyDescent="0.2">
      <c r="A51" s="5">
        <v>45517</v>
      </c>
      <c r="B51" s="4">
        <v>106.37</v>
      </c>
      <c r="G51" s="4"/>
      <c r="J51"/>
    </row>
    <row r="52" spans="1:10" x14ac:dyDescent="0.2">
      <c r="A52" s="5">
        <v>45516</v>
      </c>
      <c r="B52" s="4">
        <v>105.81</v>
      </c>
      <c r="G52" s="4"/>
      <c r="J52"/>
    </row>
    <row r="53" spans="1:10" x14ac:dyDescent="0.2">
      <c r="A53" s="5">
        <v>45515</v>
      </c>
      <c r="B53" s="4">
        <v>69.22</v>
      </c>
      <c r="G53" s="4"/>
      <c r="J53"/>
    </row>
    <row r="54" spans="1:10" x14ac:dyDescent="0.2">
      <c r="A54" s="5">
        <v>45514</v>
      </c>
      <c r="B54" s="4">
        <v>71.36</v>
      </c>
      <c r="G54" s="4"/>
      <c r="J54"/>
    </row>
    <row r="55" spans="1:10" x14ac:dyDescent="0.2">
      <c r="A55" s="5">
        <v>45513</v>
      </c>
      <c r="B55" s="4">
        <v>102.32</v>
      </c>
      <c r="G55" s="4"/>
      <c r="J55"/>
    </row>
    <row r="56" spans="1:10" x14ac:dyDescent="0.2">
      <c r="A56" s="5">
        <v>45512</v>
      </c>
      <c r="B56" s="4">
        <v>101.19</v>
      </c>
      <c r="G56" s="4"/>
      <c r="J56"/>
    </row>
    <row r="57" spans="1:10" x14ac:dyDescent="0.2">
      <c r="A57" s="5">
        <v>45511</v>
      </c>
      <c r="B57" s="4">
        <v>97.43</v>
      </c>
      <c r="G57" s="4"/>
      <c r="J57"/>
    </row>
    <row r="58" spans="1:10" x14ac:dyDescent="0.2">
      <c r="A58" s="5">
        <v>45510</v>
      </c>
      <c r="B58" s="4">
        <v>105.56</v>
      </c>
      <c r="G58" s="4"/>
      <c r="J58"/>
    </row>
    <row r="59" spans="1:10" x14ac:dyDescent="0.2">
      <c r="A59" s="5">
        <v>45509</v>
      </c>
      <c r="B59" s="4">
        <v>109.82</v>
      </c>
      <c r="G59" s="4"/>
      <c r="J59"/>
    </row>
    <row r="60" spans="1:10" x14ac:dyDescent="0.2">
      <c r="A60" s="5">
        <v>45508</v>
      </c>
      <c r="B60" s="4">
        <v>75.48</v>
      </c>
      <c r="G60" s="4"/>
      <c r="J60"/>
    </row>
    <row r="61" spans="1:10" x14ac:dyDescent="0.2">
      <c r="A61" s="5">
        <v>45507</v>
      </c>
      <c r="B61" s="4">
        <v>77.64</v>
      </c>
      <c r="G61" s="4"/>
      <c r="J61"/>
    </row>
    <row r="62" spans="1:10" x14ac:dyDescent="0.2">
      <c r="A62" s="5">
        <v>45506</v>
      </c>
      <c r="B62" s="4">
        <v>93.5</v>
      </c>
      <c r="G62" s="4"/>
      <c r="J62"/>
    </row>
    <row r="63" spans="1:10" x14ac:dyDescent="0.2">
      <c r="A63" s="5">
        <v>45505</v>
      </c>
      <c r="B63" s="4">
        <v>107.32</v>
      </c>
      <c r="G63" s="4"/>
      <c r="J63"/>
    </row>
    <row r="64" spans="1:10" x14ac:dyDescent="0.2">
      <c r="A64" s="5">
        <v>45504</v>
      </c>
      <c r="B64" s="4">
        <v>105.34</v>
      </c>
      <c r="J64"/>
    </row>
    <row r="65" spans="1:2" x14ac:dyDescent="0.2">
      <c r="A65" s="5">
        <v>45503</v>
      </c>
      <c r="B65" s="4">
        <v>99.71</v>
      </c>
    </row>
    <row r="66" spans="1:2" x14ac:dyDescent="0.2">
      <c r="A66" s="5">
        <v>45502</v>
      </c>
      <c r="B66" s="4">
        <v>108.78</v>
      </c>
    </row>
    <row r="67" spans="1:2" x14ac:dyDescent="0.2">
      <c r="A67" s="5">
        <v>45501</v>
      </c>
      <c r="B67" s="4">
        <v>63.33</v>
      </c>
    </row>
    <row r="68" spans="1:2" x14ac:dyDescent="0.2">
      <c r="A68" s="5">
        <v>45500</v>
      </c>
      <c r="B68" s="4">
        <v>76.97</v>
      </c>
    </row>
    <row r="69" spans="1:2" x14ac:dyDescent="0.2">
      <c r="A69" s="5">
        <v>45499</v>
      </c>
      <c r="B69" s="4">
        <v>94.9</v>
      </c>
    </row>
    <row r="70" spans="1:2" x14ac:dyDescent="0.2">
      <c r="A70" s="5">
        <v>45498</v>
      </c>
      <c r="B70" s="4">
        <v>89.26</v>
      </c>
    </row>
    <row r="71" spans="1:2" x14ac:dyDescent="0.2">
      <c r="A71" s="5">
        <v>45497</v>
      </c>
      <c r="B71" s="4">
        <v>94.88</v>
      </c>
    </row>
    <row r="72" spans="1:2" x14ac:dyDescent="0.2">
      <c r="A72" s="5">
        <v>45496</v>
      </c>
      <c r="B72" s="4">
        <v>91.73</v>
      </c>
    </row>
    <row r="73" spans="1:2" x14ac:dyDescent="0.2">
      <c r="A73" s="5">
        <v>45495</v>
      </c>
      <c r="B73" s="4">
        <v>79.53</v>
      </c>
    </row>
    <row r="74" spans="1:2" x14ac:dyDescent="0.2">
      <c r="A74" s="5">
        <v>45494</v>
      </c>
      <c r="B74" s="4">
        <v>30.41</v>
      </c>
    </row>
    <row r="75" spans="1:2" x14ac:dyDescent="0.2">
      <c r="A75" s="5">
        <v>45493</v>
      </c>
      <c r="B75" s="4">
        <v>51.47</v>
      </c>
    </row>
    <row r="76" spans="1:2" x14ac:dyDescent="0.2">
      <c r="A76" s="5">
        <v>45492</v>
      </c>
      <c r="B76" s="4">
        <v>97.78</v>
      </c>
    </row>
    <row r="77" spans="1:2" x14ac:dyDescent="0.2">
      <c r="A77" s="5">
        <v>45491</v>
      </c>
      <c r="B77" s="4">
        <v>101.37</v>
      </c>
    </row>
    <row r="78" spans="1:2" x14ac:dyDescent="0.2">
      <c r="A78" s="5">
        <v>45490</v>
      </c>
      <c r="B78" s="4">
        <v>94.42</v>
      </c>
    </row>
    <row r="79" spans="1:2" x14ac:dyDescent="0.2">
      <c r="A79" s="5">
        <v>45489</v>
      </c>
      <c r="B79" s="4">
        <v>87.24</v>
      </c>
    </row>
    <row r="80" spans="1:2" x14ac:dyDescent="0.2">
      <c r="A80" s="5">
        <v>45488</v>
      </c>
      <c r="B80" s="4">
        <v>53.95</v>
      </c>
    </row>
    <row r="81" spans="1:2" x14ac:dyDescent="0.2">
      <c r="A81" s="5">
        <v>45487</v>
      </c>
      <c r="B81" s="4">
        <v>52.28</v>
      </c>
    </row>
    <row r="82" spans="1:2" x14ac:dyDescent="0.2">
      <c r="A82" s="5">
        <v>45486</v>
      </c>
      <c r="B82" s="4">
        <v>51.38</v>
      </c>
    </row>
    <row r="83" spans="1:2" x14ac:dyDescent="0.2">
      <c r="A83" s="5">
        <v>45485</v>
      </c>
      <c r="B83" s="4">
        <v>58.78</v>
      </c>
    </row>
    <row r="84" spans="1:2" x14ac:dyDescent="0.2">
      <c r="A84" s="5">
        <v>45484</v>
      </c>
      <c r="B84" s="4">
        <v>85.53</v>
      </c>
    </row>
    <row r="85" spans="1:2" x14ac:dyDescent="0.2">
      <c r="A85" s="5">
        <v>45483</v>
      </c>
      <c r="B85" s="4">
        <v>87.61</v>
      </c>
    </row>
    <row r="86" spans="1:2" x14ac:dyDescent="0.2">
      <c r="A86" s="5">
        <v>45482</v>
      </c>
      <c r="B86" s="4">
        <v>69.55</v>
      </c>
    </row>
    <row r="87" spans="1:2" x14ac:dyDescent="0.2">
      <c r="A87" s="5">
        <v>45481</v>
      </c>
      <c r="B87" s="4">
        <v>73.19</v>
      </c>
    </row>
    <row r="88" spans="1:2" x14ac:dyDescent="0.2">
      <c r="A88" s="5">
        <v>45480</v>
      </c>
      <c r="B88" s="4">
        <v>34.71</v>
      </c>
    </row>
    <row r="89" spans="1:2" x14ac:dyDescent="0.2">
      <c r="A89" s="5">
        <v>45479</v>
      </c>
      <c r="B89" s="4">
        <v>33.979999999999997</v>
      </c>
    </row>
    <row r="90" spans="1:2" x14ac:dyDescent="0.2">
      <c r="A90" s="5">
        <v>45478</v>
      </c>
      <c r="B90" s="4">
        <v>59.88</v>
      </c>
    </row>
    <row r="91" spans="1:2" x14ac:dyDescent="0.2">
      <c r="A91" s="5">
        <v>45477</v>
      </c>
      <c r="B91" s="4">
        <v>51.85</v>
      </c>
    </row>
    <row r="92" spans="1:2" x14ac:dyDescent="0.2">
      <c r="A92" s="5">
        <v>45476</v>
      </c>
      <c r="B92" s="4">
        <v>61.71</v>
      </c>
    </row>
    <row r="93" spans="1:2" x14ac:dyDescent="0.2">
      <c r="A93" s="5">
        <v>45475</v>
      </c>
      <c r="B93" s="4">
        <v>46.97</v>
      </c>
    </row>
    <row r="94" spans="1:2" x14ac:dyDescent="0.2">
      <c r="A94" s="5">
        <v>45474</v>
      </c>
      <c r="B94" s="4">
        <v>53.22</v>
      </c>
    </row>
    <row r="95" spans="1:2" x14ac:dyDescent="0.2">
      <c r="A95" s="5">
        <v>45473</v>
      </c>
      <c r="B95" s="4">
        <v>57.94</v>
      </c>
    </row>
    <row r="96" spans="1:2" x14ac:dyDescent="0.2">
      <c r="A96" s="5">
        <v>45472</v>
      </c>
      <c r="B96" s="4">
        <v>50.54</v>
      </c>
    </row>
    <row r="97" spans="1:2" x14ac:dyDescent="0.2">
      <c r="A97" s="5">
        <v>45471</v>
      </c>
      <c r="B97" s="4">
        <v>82.04</v>
      </c>
    </row>
    <row r="98" spans="1:2" x14ac:dyDescent="0.2">
      <c r="A98">
        <v>45470</v>
      </c>
      <c r="B98">
        <v>89.1</v>
      </c>
    </row>
    <row r="99" spans="1:2" x14ac:dyDescent="0.2">
      <c r="A99">
        <v>45469</v>
      </c>
      <c r="B99">
        <v>97.17</v>
      </c>
    </row>
    <row r="100" spans="1:2" x14ac:dyDescent="0.2">
      <c r="A100">
        <v>45468</v>
      </c>
      <c r="B100">
        <v>70.069999999999993</v>
      </c>
    </row>
    <row r="101" spans="1:2" x14ac:dyDescent="0.2">
      <c r="A101">
        <v>45467</v>
      </c>
      <c r="B101">
        <v>41.15</v>
      </c>
    </row>
    <row r="102" spans="1:2" x14ac:dyDescent="0.2">
      <c r="A102">
        <v>45466</v>
      </c>
      <c r="B102">
        <v>26.76</v>
      </c>
    </row>
    <row r="103" spans="1:2" x14ac:dyDescent="0.2">
      <c r="A103">
        <v>45465</v>
      </c>
      <c r="B103">
        <v>42.91</v>
      </c>
    </row>
    <row r="104" spans="1:2" x14ac:dyDescent="0.2">
      <c r="A104">
        <v>45464</v>
      </c>
      <c r="B104">
        <v>85.92</v>
      </c>
    </row>
    <row r="105" spans="1:2" x14ac:dyDescent="0.2">
      <c r="A105">
        <v>45463</v>
      </c>
      <c r="B105">
        <v>90.6</v>
      </c>
    </row>
    <row r="106" spans="1:2" x14ac:dyDescent="0.2">
      <c r="A106">
        <v>45462</v>
      </c>
      <c r="B106">
        <v>76.33</v>
      </c>
    </row>
    <row r="107" spans="1:2" x14ac:dyDescent="0.2">
      <c r="A107">
        <v>45461</v>
      </c>
      <c r="B107">
        <v>56.71</v>
      </c>
    </row>
    <row r="108" spans="1:2" x14ac:dyDescent="0.2">
      <c r="A108">
        <v>45460</v>
      </c>
      <c r="B108">
        <v>29.27</v>
      </c>
    </row>
    <row r="109" spans="1:2" x14ac:dyDescent="0.2">
      <c r="A109">
        <v>45459</v>
      </c>
      <c r="B109">
        <v>16.12</v>
      </c>
    </row>
    <row r="110" spans="1:2" x14ac:dyDescent="0.2">
      <c r="A110">
        <v>45458</v>
      </c>
      <c r="B110">
        <v>19.690000000000001</v>
      </c>
    </row>
    <row r="111" spans="1:2" x14ac:dyDescent="0.2">
      <c r="A111">
        <v>45457</v>
      </c>
      <c r="B111">
        <v>43.74</v>
      </c>
    </row>
    <row r="112" spans="1:2" x14ac:dyDescent="0.2">
      <c r="A112">
        <v>45456</v>
      </c>
      <c r="B112">
        <v>65.22</v>
      </c>
    </row>
    <row r="113" spans="1:2" x14ac:dyDescent="0.2">
      <c r="A113">
        <v>45455</v>
      </c>
      <c r="B113">
        <v>55.15</v>
      </c>
    </row>
    <row r="114" spans="1:2" x14ac:dyDescent="0.2">
      <c r="A114">
        <v>45454</v>
      </c>
      <c r="B114">
        <v>65.48</v>
      </c>
    </row>
    <row r="115" spans="1:2" x14ac:dyDescent="0.2">
      <c r="A115">
        <v>45453</v>
      </c>
      <c r="B115">
        <v>44.61</v>
      </c>
    </row>
    <row r="116" spans="1:2" x14ac:dyDescent="0.2">
      <c r="A116">
        <v>45452</v>
      </c>
      <c r="B116">
        <v>16.43</v>
      </c>
    </row>
    <row r="117" spans="1:2" x14ac:dyDescent="0.2">
      <c r="A117">
        <v>45451</v>
      </c>
      <c r="B117">
        <v>71.42</v>
      </c>
    </row>
    <row r="118" spans="1:2" x14ac:dyDescent="0.2">
      <c r="A118">
        <v>45450</v>
      </c>
      <c r="B118">
        <v>79.13</v>
      </c>
    </row>
    <row r="119" spans="1:2" x14ac:dyDescent="0.2">
      <c r="A119">
        <v>45449</v>
      </c>
      <c r="B119">
        <v>93.42</v>
      </c>
    </row>
    <row r="120" spans="1:2" x14ac:dyDescent="0.2">
      <c r="A120">
        <v>45448</v>
      </c>
      <c r="B120">
        <v>93.26</v>
      </c>
    </row>
    <row r="121" spans="1:2" x14ac:dyDescent="0.2">
      <c r="A121">
        <v>45447</v>
      </c>
      <c r="B121">
        <v>87.64</v>
      </c>
    </row>
    <row r="122" spans="1:2" x14ac:dyDescent="0.2">
      <c r="A122">
        <v>45446</v>
      </c>
      <c r="B122">
        <v>28.56</v>
      </c>
    </row>
    <row r="123" spans="1:2" x14ac:dyDescent="0.2">
      <c r="A123">
        <v>45445</v>
      </c>
      <c r="B123">
        <v>4.26</v>
      </c>
    </row>
    <row r="124" spans="1:2" x14ac:dyDescent="0.2">
      <c r="A124">
        <v>45444</v>
      </c>
      <c r="B124">
        <v>1.76</v>
      </c>
    </row>
    <row r="125" spans="1:2" x14ac:dyDescent="0.2">
      <c r="A125">
        <v>45443</v>
      </c>
      <c r="B125">
        <v>2.69</v>
      </c>
    </row>
    <row r="126" spans="1:2" x14ac:dyDescent="0.2">
      <c r="A126">
        <v>45442</v>
      </c>
      <c r="B126">
        <v>24.37</v>
      </c>
    </row>
    <row r="127" spans="1:2" x14ac:dyDescent="0.2">
      <c r="A127">
        <v>45441</v>
      </c>
      <c r="B127">
        <v>38.86</v>
      </c>
    </row>
    <row r="128" spans="1:2" x14ac:dyDescent="0.2">
      <c r="A128">
        <v>45440</v>
      </c>
      <c r="B128">
        <v>27.47</v>
      </c>
    </row>
    <row r="129" spans="1:2" x14ac:dyDescent="0.2">
      <c r="A129">
        <v>45439</v>
      </c>
      <c r="B129">
        <v>30.84</v>
      </c>
    </row>
    <row r="130" spans="1:2" x14ac:dyDescent="0.2">
      <c r="A130">
        <v>45438</v>
      </c>
      <c r="B130">
        <v>25.42</v>
      </c>
    </row>
    <row r="131" spans="1:2" x14ac:dyDescent="0.2">
      <c r="A131">
        <v>45437</v>
      </c>
      <c r="B131">
        <v>43.71</v>
      </c>
    </row>
    <row r="132" spans="1:2" x14ac:dyDescent="0.2">
      <c r="A132">
        <v>45436</v>
      </c>
      <c r="B132">
        <v>71.67</v>
      </c>
    </row>
    <row r="133" spans="1:2" x14ac:dyDescent="0.2">
      <c r="A133">
        <v>45435</v>
      </c>
      <c r="B133">
        <v>60.45</v>
      </c>
    </row>
    <row r="134" spans="1:2" x14ac:dyDescent="0.2">
      <c r="A134">
        <v>45434</v>
      </c>
      <c r="B134">
        <v>44.76</v>
      </c>
    </row>
    <row r="135" spans="1:2" x14ac:dyDescent="0.2">
      <c r="A135">
        <v>45433</v>
      </c>
      <c r="B135">
        <v>46.09</v>
      </c>
    </row>
    <row r="136" spans="1:2" x14ac:dyDescent="0.2">
      <c r="A136">
        <v>45432</v>
      </c>
      <c r="B136">
        <v>32.72</v>
      </c>
    </row>
    <row r="137" spans="1:2" x14ac:dyDescent="0.2">
      <c r="A137">
        <v>45431</v>
      </c>
      <c r="B137">
        <v>26.6</v>
      </c>
    </row>
    <row r="138" spans="1:2" x14ac:dyDescent="0.2">
      <c r="A138">
        <v>45430</v>
      </c>
      <c r="B138">
        <v>32.99</v>
      </c>
    </row>
    <row r="139" spans="1:2" x14ac:dyDescent="0.2">
      <c r="A139">
        <v>45429</v>
      </c>
      <c r="B139">
        <v>53.42</v>
      </c>
    </row>
    <row r="140" spans="1:2" x14ac:dyDescent="0.2">
      <c r="A140">
        <v>45428</v>
      </c>
      <c r="B140">
        <v>32.35</v>
      </c>
    </row>
    <row r="141" spans="1:2" x14ac:dyDescent="0.2">
      <c r="A141">
        <v>45427</v>
      </c>
      <c r="B141">
        <v>14.21</v>
      </c>
    </row>
    <row r="142" spans="1:2" x14ac:dyDescent="0.2">
      <c r="A142">
        <v>45426</v>
      </c>
      <c r="B142">
        <v>8.14</v>
      </c>
    </row>
    <row r="143" spans="1:2" x14ac:dyDescent="0.2">
      <c r="A143">
        <v>45425</v>
      </c>
      <c r="B143">
        <v>23.34</v>
      </c>
    </row>
    <row r="144" spans="1:2" x14ac:dyDescent="0.2">
      <c r="A144">
        <v>45424</v>
      </c>
      <c r="B144">
        <v>21.53</v>
      </c>
    </row>
    <row r="145" spans="1:2" x14ac:dyDescent="0.2">
      <c r="A145">
        <v>45423</v>
      </c>
      <c r="B145">
        <v>20.59</v>
      </c>
    </row>
    <row r="146" spans="1:2" x14ac:dyDescent="0.2">
      <c r="A146">
        <v>45422</v>
      </c>
      <c r="B146">
        <v>28.95</v>
      </c>
    </row>
    <row r="147" spans="1:2" x14ac:dyDescent="0.2">
      <c r="A147">
        <v>45421</v>
      </c>
      <c r="B147">
        <v>33.54</v>
      </c>
    </row>
    <row r="148" spans="1:2" x14ac:dyDescent="0.2">
      <c r="A148">
        <v>45420</v>
      </c>
      <c r="B148">
        <v>21.24</v>
      </c>
    </row>
    <row r="149" spans="1:2" x14ac:dyDescent="0.2">
      <c r="A149">
        <v>45419</v>
      </c>
      <c r="B149">
        <v>42.04</v>
      </c>
    </row>
    <row r="150" spans="1:2" x14ac:dyDescent="0.2">
      <c r="A150">
        <v>45418</v>
      </c>
      <c r="B150">
        <v>47.8</v>
      </c>
    </row>
    <row r="151" spans="1:2" x14ac:dyDescent="0.2">
      <c r="A151">
        <v>45417</v>
      </c>
      <c r="B151">
        <v>17.53</v>
      </c>
    </row>
    <row r="152" spans="1:2" x14ac:dyDescent="0.2">
      <c r="A152">
        <v>45416</v>
      </c>
      <c r="B152">
        <v>14.8</v>
      </c>
    </row>
    <row r="153" spans="1:2" x14ac:dyDescent="0.2">
      <c r="A153">
        <v>45415</v>
      </c>
      <c r="B153">
        <v>26.11</v>
      </c>
    </row>
    <row r="154" spans="1:2" x14ac:dyDescent="0.2">
      <c r="A154">
        <v>45414</v>
      </c>
      <c r="B154">
        <v>15.6</v>
      </c>
    </row>
    <row r="155" spans="1:2" x14ac:dyDescent="0.2">
      <c r="A155">
        <v>45413</v>
      </c>
      <c r="B155">
        <v>12.53</v>
      </c>
    </row>
    <row r="156" spans="1:2" x14ac:dyDescent="0.2">
      <c r="A156">
        <v>45412</v>
      </c>
      <c r="B156">
        <v>53.44</v>
      </c>
    </row>
    <row r="157" spans="1:2" x14ac:dyDescent="0.2">
      <c r="A157">
        <v>45411</v>
      </c>
      <c r="B157">
        <v>58.27</v>
      </c>
    </row>
    <row r="158" spans="1:2" x14ac:dyDescent="0.2">
      <c r="A158">
        <v>45410</v>
      </c>
      <c r="B158">
        <v>28.72</v>
      </c>
    </row>
    <row r="159" spans="1:2" x14ac:dyDescent="0.2">
      <c r="A159">
        <v>45409</v>
      </c>
      <c r="B159">
        <v>25.02</v>
      </c>
    </row>
    <row r="160" spans="1:2" x14ac:dyDescent="0.2">
      <c r="A160">
        <v>45408</v>
      </c>
      <c r="B160">
        <v>57.49</v>
      </c>
    </row>
    <row r="161" spans="1:2" x14ac:dyDescent="0.2">
      <c r="A161">
        <v>45407</v>
      </c>
      <c r="B161">
        <v>41.44</v>
      </c>
    </row>
    <row r="162" spans="1:2" x14ac:dyDescent="0.2">
      <c r="A162">
        <v>45406</v>
      </c>
      <c r="B162">
        <v>18.57</v>
      </c>
    </row>
    <row r="163" spans="1:2" x14ac:dyDescent="0.2">
      <c r="A163">
        <v>45405</v>
      </c>
      <c r="B163">
        <v>5.84</v>
      </c>
    </row>
    <row r="164" spans="1:2" x14ac:dyDescent="0.2">
      <c r="A164">
        <v>45404</v>
      </c>
      <c r="B164">
        <v>1.9</v>
      </c>
    </row>
    <row r="165" spans="1:2" x14ac:dyDescent="0.2">
      <c r="A165">
        <v>45403</v>
      </c>
      <c r="B165">
        <v>2.17</v>
      </c>
    </row>
    <row r="166" spans="1:2" x14ac:dyDescent="0.2">
      <c r="A166">
        <v>45402</v>
      </c>
      <c r="B166">
        <v>5.66</v>
      </c>
    </row>
    <row r="167" spans="1:2" x14ac:dyDescent="0.2">
      <c r="A167">
        <v>45401</v>
      </c>
      <c r="B167">
        <v>15.18</v>
      </c>
    </row>
    <row r="168" spans="1:2" x14ac:dyDescent="0.2">
      <c r="A168">
        <v>45400</v>
      </c>
      <c r="B168">
        <v>4.54</v>
      </c>
    </row>
    <row r="169" spans="1:2" x14ac:dyDescent="0.2">
      <c r="A169">
        <v>45399</v>
      </c>
      <c r="B169">
        <v>3.26</v>
      </c>
    </row>
    <row r="170" spans="1:2" x14ac:dyDescent="0.2">
      <c r="A170">
        <v>45398</v>
      </c>
      <c r="B170">
        <v>1.37</v>
      </c>
    </row>
    <row r="171" spans="1:2" x14ac:dyDescent="0.2">
      <c r="A171">
        <v>45397</v>
      </c>
      <c r="B171">
        <v>3.48</v>
      </c>
    </row>
    <row r="172" spans="1:2" x14ac:dyDescent="0.2">
      <c r="A172">
        <v>45396</v>
      </c>
      <c r="B172">
        <v>5.6</v>
      </c>
    </row>
    <row r="173" spans="1:2" x14ac:dyDescent="0.2">
      <c r="A173">
        <v>45395</v>
      </c>
      <c r="B173">
        <v>9.17</v>
      </c>
    </row>
    <row r="174" spans="1:2" x14ac:dyDescent="0.2">
      <c r="A174">
        <v>45394</v>
      </c>
      <c r="B174">
        <v>19.940000000000001</v>
      </c>
    </row>
    <row r="175" spans="1:2" x14ac:dyDescent="0.2">
      <c r="A175">
        <v>45393</v>
      </c>
      <c r="B175">
        <v>12.03</v>
      </c>
    </row>
    <row r="176" spans="1:2" x14ac:dyDescent="0.2">
      <c r="A176">
        <v>45392</v>
      </c>
      <c r="B176">
        <v>4.3099999999999996</v>
      </c>
    </row>
    <row r="177" spans="1:2" x14ac:dyDescent="0.2">
      <c r="A177">
        <v>45391</v>
      </c>
      <c r="B177">
        <v>1.29</v>
      </c>
    </row>
    <row r="178" spans="1:2" x14ac:dyDescent="0.2">
      <c r="A178">
        <v>45390</v>
      </c>
      <c r="B178">
        <v>0.52</v>
      </c>
    </row>
    <row r="179" spans="1:2" x14ac:dyDescent="0.2">
      <c r="A179">
        <v>45389</v>
      </c>
      <c r="B179">
        <v>4.05</v>
      </c>
    </row>
    <row r="180" spans="1:2" x14ac:dyDescent="0.2">
      <c r="A180">
        <v>45388</v>
      </c>
      <c r="B180">
        <v>0.74</v>
      </c>
    </row>
    <row r="181" spans="1:2" x14ac:dyDescent="0.2">
      <c r="A181">
        <v>45387</v>
      </c>
      <c r="B181">
        <v>0.44</v>
      </c>
    </row>
    <row r="182" spans="1:2" x14ac:dyDescent="0.2">
      <c r="A182">
        <v>45386</v>
      </c>
      <c r="B182">
        <v>4</v>
      </c>
    </row>
    <row r="183" spans="1:2" x14ac:dyDescent="0.2">
      <c r="A183">
        <v>45385</v>
      </c>
      <c r="B183">
        <v>9.0299999999999994</v>
      </c>
    </row>
    <row r="184" spans="1:2" x14ac:dyDescent="0.2">
      <c r="A184">
        <v>45384</v>
      </c>
      <c r="B184">
        <v>9.85</v>
      </c>
    </row>
    <row r="185" spans="1:2" x14ac:dyDescent="0.2">
      <c r="A185">
        <v>45383</v>
      </c>
      <c r="B185">
        <v>2.76</v>
      </c>
    </row>
    <row r="186" spans="1:2" x14ac:dyDescent="0.2">
      <c r="A186">
        <v>45382</v>
      </c>
      <c r="B186">
        <v>0.83</v>
      </c>
    </row>
    <row r="187" spans="1:2" x14ac:dyDescent="0.2">
      <c r="A187">
        <v>45381</v>
      </c>
      <c r="B187">
        <v>4.5199999999999996</v>
      </c>
    </row>
    <row r="188" spans="1:2" x14ac:dyDescent="0.2">
      <c r="A188">
        <v>45380</v>
      </c>
      <c r="B188">
        <v>4.05</v>
      </c>
    </row>
    <row r="189" spans="1:2" x14ac:dyDescent="0.2">
      <c r="A189">
        <v>45379</v>
      </c>
      <c r="B189">
        <v>0.66</v>
      </c>
    </row>
    <row r="190" spans="1:2" x14ac:dyDescent="0.2">
      <c r="A190">
        <v>45378</v>
      </c>
      <c r="B190">
        <v>0.76</v>
      </c>
    </row>
    <row r="191" spans="1:2" x14ac:dyDescent="0.2">
      <c r="A191">
        <v>45377</v>
      </c>
      <c r="B191">
        <v>2.36</v>
      </c>
    </row>
    <row r="192" spans="1:2" x14ac:dyDescent="0.2">
      <c r="A192">
        <v>45376</v>
      </c>
      <c r="B192">
        <v>23.75</v>
      </c>
    </row>
    <row r="193" spans="1:2" x14ac:dyDescent="0.2">
      <c r="A193">
        <v>45375</v>
      </c>
      <c r="B193">
        <v>6.69</v>
      </c>
    </row>
    <row r="194" spans="1:2" x14ac:dyDescent="0.2">
      <c r="A194">
        <v>45374</v>
      </c>
      <c r="B194">
        <v>2.0099999999999998</v>
      </c>
    </row>
    <row r="195" spans="1:2" x14ac:dyDescent="0.2">
      <c r="A195">
        <v>45373</v>
      </c>
      <c r="B195">
        <v>22.4</v>
      </c>
    </row>
    <row r="196" spans="1:2" x14ac:dyDescent="0.2">
      <c r="A196">
        <v>45372</v>
      </c>
      <c r="B196">
        <v>35.9</v>
      </c>
    </row>
    <row r="197" spans="1:2" x14ac:dyDescent="0.2">
      <c r="A197">
        <v>45371</v>
      </c>
      <c r="B197">
        <v>56.94</v>
      </c>
    </row>
    <row r="198" spans="1:2" x14ac:dyDescent="0.2">
      <c r="A198">
        <v>45370</v>
      </c>
      <c r="B198">
        <v>65</v>
      </c>
    </row>
    <row r="199" spans="1:2" x14ac:dyDescent="0.2">
      <c r="A199">
        <v>45369</v>
      </c>
      <c r="B199">
        <v>61.34</v>
      </c>
    </row>
    <row r="200" spans="1:2" x14ac:dyDescent="0.2">
      <c r="A200">
        <v>45368</v>
      </c>
      <c r="B200">
        <v>28.05</v>
      </c>
    </row>
    <row r="201" spans="1:2" x14ac:dyDescent="0.2">
      <c r="A201">
        <v>45367</v>
      </c>
      <c r="B201">
        <v>31.61</v>
      </c>
    </row>
    <row r="202" spans="1:2" x14ac:dyDescent="0.2">
      <c r="A202">
        <v>45366</v>
      </c>
      <c r="B202">
        <v>37.729999999999997</v>
      </c>
    </row>
    <row r="203" spans="1:2" x14ac:dyDescent="0.2">
      <c r="A203">
        <v>45365</v>
      </c>
      <c r="B203">
        <v>35.99</v>
      </c>
    </row>
    <row r="204" spans="1:2" x14ac:dyDescent="0.2">
      <c r="A204">
        <v>45364</v>
      </c>
      <c r="B204">
        <v>42.36</v>
      </c>
    </row>
    <row r="205" spans="1:2" x14ac:dyDescent="0.2">
      <c r="A205">
        <v>45363</v>
      </c>
      <c r="B205">
        <v>42.28</v>
      </c>
    </row>
    <row r="206" spans="1:2" x14ac:dyDescent="0.2">
      <c r="A206">
        <v>45362</v>
      </c>
      <c r="B206">
        <v>14.63</v>
      </c>
    </row>
    <row r="207" spans="1:2" x14ac:dyDescent="0.2">
      <c r="A207">
        <v>45361</v>
      </c>
      <c r="B207">
        <v>0.54</v>
      </c>
    </row>
    <row r="208" spans="1:2" x14ac:dyDescent="0.2">
      <c r="A208">
        <v>45360</v>
      </c>
      <c r="B208">
        <v>0.59</v>
      </c>
    </row>
    <row r="209" spans="1:2" x14ac:dyDescent="0.2">
      <c r="A209">
        <v>45359</v>
      </c>
      <c r="B209">
        <v>1.67</v>
      </c>
    </row>
    <row r="210" spans="1:2" x14ac:dyDescent="0.2">
      <c r="A210">
        <v>45358</v>
      </c>
      <c r="B210">
        <v>8.52</v>
      </c>
    </row>
    <row r="211" spans="1:2" x14ac:dyDescent="0.2">
      <c r="A211">
        <v>45357</v>
      </c>
      <c r="B211">
        <v>45.97</v>
      </c>
    </row>
    <row r="212" spans="1:2" x14ac:dyDescent="0.2">
      <c r="A212">
        <v>45356</v>
      </c>
      <c r="B212">
        <v>33.450000000000003</v>
      </c>
    </row>
    <row r="213" spans="1:2" x14ac:dyDescent="0.2">
      <c r="A213">
        <v>45355</v>
      </c>
      <c r="B213">
        <v>7.95</v>
      </c>
    </row>
    <row r="214" spans="1:2" x14ac:dyDescent="0.2">
      <c r="A214">
        <v>45354</v>
      </c>
      <c r="B214">
        <v>3.79</v>
      </c>
    </row>
    <row r="215" spans="1:2" x14ac:dyDescent="0.2">
      <c r="A215">
        <v>45353</v>
      </c>
      <c r="B215">
        <v>4.16</v>
      </c>
    </row>
    <row r="216" spans="1:2" x14ac:dyDescent="0.2">
      <c r="A216">
        <v>45352</v>
      </c>
      <c r="B216">
        <v>2.14</v>
      </c>
    </row>
    <row r="217" spans="1:2" x14ac:dyDescent="0.2">
      <c r="A217">
        <v>45351</v>
      </c>
      <c r="B217">
        <v>4.8</v>
      </c>
    </row>
    <row r="218" spans="1:2" x14ac:dyDescent="0.2">
      <c r="A218">
        <v>45350</v>
      </c>
      <c r="B218">
        <v>9.35</v>
      </c>
    </row>
    <row r="219" spans="1:2" x14ac:dyDescent="0.2">
      <c r="A219">
        <v>45349</v>
      </c>
      <c r="B219">
        <v>3.66</v>
      </c>
    </row>
    <row r="220" spans="1:2" x14ac:dyDescent="0.2">
      <c r="A220">
        <v>45348</v>
      </c>
      <c r="B220">
        <v>3.82</v>
      </c>
    </row>
    <row r="221" spans="1:2" x14ac:dyDescent="0.2">
      <c r="A221">
        <v>45347</v>
      </c>
      <c r="B221">
        <v>3.06</v>
      </c>
    </row>
    <row r="222" spans="1:2" x14ac:dyDescent="0.2">
      <c r="A222">
        <v>45346</v>
      </c>
      <c r="B222">
        <v>6.94</v>
      </c>
    </row>
    <row r="223" spans="1:2" x14ac:dyDescent="0.2">
      <c r="A223">
        <v>45345</v>
      </c>
      <c r="B223">
        <v>6.72</v>
      </c>
    </row>
    <row r="224" spans="1:2" x14ac:dyDescent="0.2">
      <c r="A224">
        <v>45344</v>
      </c>
      <c r="B224">
        <v>10.71</v>
      </c>
    </row>
    <row r="225" spans="1:2" x14ac:dyDescent="0.2">
      <c r="A225">
        <v>45343</v>
      </c>
      <c r="B225">
        <v>45.3</v>
      </c>
    </row>
    <row r="226" spans="1:2" x14ac:dyDescent="0.2">
      <c r="A226">
        <v>45342</v>
      </c>
      <c r="B226">
        <v>52.86</v>
      </c>
    </row>
    <row r="227" spans="1:2" x14ac:dyDescent="0.2">
      <c r="A227">
        <v>45341</v>
      </c>
      <c r="B227">
        <v>45.55</v>
      </c>
    </row>
    <row r="228" spans="1:2" x14ac:dyDescent="0.2">
      <c r="A228">
        <v>45340</v>
      </c>
      <c r="B228">
        <v>47.04</v>
      </c>
    </row>
    <row r="229" spans="1:2" x14ac:dyDescent="0.2">
      <c r="A229">
        <v>45339</v>
      </c>
      <c r="B229">
        <v>48.69</v>
      </c>
    </row>
    <row r="230" spans="1:2" x14ac:dyDescent="0.2">
      <c r="A230">
        <v>45338</v>
      </c>
      <c r="B230">
        <v>54.24</v>
      </c>
    </row>
    <row r="231" spans="1:2" x14ac:dyDescent="0.2">
      <c r="A231">
        <v>45337</v>
      </c>
      <c r="B231">
        <v>51.22</v>
      </c>
    </row>
    <row r="232" spans="1:2" x14ac:dyDescent="0.2">
      <c r="A232">
        <v>45336</v>
      </c>
      <c r="B232">
        <v>59.57</v>
      </c>
    </row>
    <row r="233" spans="1:2" x14ac:dyDescent="0.2">
      <c r="A233">
        <v>45335</v>
      </c>
      <c r="B233">
        <v>62.72</v>
      </c>
    </row>
    <row r="234" spans="1:2" x14ac:dyDescent="0.2">
      <c r="A234">
        <v>45334</v>
      </c>
      <c r="B234">
        <v>45.85</v>
      </c>
    </row>
    <row r="235" spans="1:2" x14ac:dyDescent="0.2">
      <c r="A235">
        <v>45333</v>
      </c>
      <c r="B235">
        <v>44.83</v>
      </c>
    </row>
    <row r="236" spans="1:2" x14ac:dyDescent="0.2">
      <c r="A236">
        <v>45332</v>
      </c>
      <c r="B236">
        <v>9.4700000000000006</v>
      </c>
    </row>
    <row r="237" spans="1:2" x14ac:dyDescent="0.2">
      <c r="A237">
        <v>45331</v>
      </c>
      <c r="B237">
        <v>40.18</v>
      </c>
    </row>
    <row r="238" spans="1:2" x14ac:dyDescent="0.2">
      <c r="A238">
        <v>45330</v>
      </c>
      <c r="B238">
        <v>38.67</v>
      </c>
    </row>
    <row r="239" spans="1:2" x14ac:dyDescent="0.2">
      <c r="A239">
        <v>45329</v>
      </c>
      <c r="B239">
        <v>50.11</v>
      </c>
    </row>
    <row r="240" spans="1:2" x14ac:dyDescent="0.2">
      <c r="A240">
        <v>45328</v>
      </c>
      <c r="B240">
        <v>74.03</v>
      </c>
    </row>
    <row r="241" spans="1:2" x14ac:dyDescent="0.2">
      <c r="A241">
        <v>45327</v>
      </c>
      <c r="B241">
        <v>80.92</v>
      </c>
    </row>
    <row r="242" spans="1:2" x14ac:dyDescent="0.2">
      <c r="A242">
        <v>45326</v>
      </c>
      <c r="B242">
        <v>63.1</v>
      </c>
    </row>
    <row r="243" spans="1:2" x14ac:dyDescent="0.2">
      <c r="A243">
        <v>45325</v>
      </c>
      <c r="B243">
        <v>60.32</v>
      </c>
    </row>
    <row r="244" spans="1:2" x14ac:dyDescent="0.2">
      <c r="A244">
        <v>45324</v>
      </c>
      <c r="B244">
        <v>65.319999999999993</v>
      </c>
    </row>
    <row r="245" spans="1:2" x14ac:dyDescent="0.2">
      <c r="A245">
        <v>45323</v>
      </c>
      <c r="B245">
        <v>70.95</v>
      </c>
    </row>
    <row r="246" spans="1:2" x14ac:dyDescent="0.2">
      <c r="A246">
        <v>45322</v>
      </c>
      <c r="B246">
        <v>84.26</v>
      </c>
    </row>
    <row r="247" spans="1:2" x14ac:dyDescent="0.2">
      <c r="A247">
        <v>45321</v>
      </c>
      <c r="B247">
        <v>81.28</v>
      </c>
    </row>
    <row r="248" spans="1:2" x14ac:dyDescent="0.2">
      <c r="A248">
        <v>45320</v>
      </c>
      <c r="B248">
        <v>77.97</v>
      </c>
    </row>
    <row r="249" spans="1:2" x14ac:dyDescent="0.2">
      <c r="A249">
        <v>45319</v>
      </c>
      <c r="B249">
        <v>52.14</v>
      </c>
    </row>
    <row r="250" spans="1:2" x14ac:dyDescent="0.2">
      <c r="A250">
        <v>45318</v>
      </c>
      <c r="B250">
        <v>66.06</v>
      </c>
    </row>
    <row r="251" spans="1:2" x14ac:dyDescent="0.2">
      <c r="A251">
        <v>45317</v>
      </c>
      <c r="B251">
        <v>72.56</v>
      </c>
    </row>
    <row r="252" spans="1:2" x14ac:dyDescent="0.2">
      <c r="A252">
        <v>45316</v>
      </c>
      <c r="B252">
        <v>76.8</v>
      </c>
    </row>
    <row r="253" spans="1:2" x14ac:dyDescent="0.2">
      <c r="A253">
        <v>45315</v>
      </c>
      <c r="B253">
        <v>83.42</v>
      </c>
    </row>
    <row r="254" spans="1:2" x14ac:dyDescent="0.2">
      <c r="A254">
        <v>45314</v>
      </c>
      <c r="B254">
        <v>78.02</v>
      </c>
    </row>
    <row r="255" spans="1:2" x14ac:dyDescent="0.2">
      <c r="A255">
        <v>45313</v>
      </c>
      <c r="B255">
        <v>67.92</v>
      </c>
    </row>
    <row r="256" spans="1:2" x14ac:dyDescent="0.2">
      <c r="A256">
        <v>45312</v>
      </c>
      <c r="B256">
        <v>64.400000000000006</v>
      </c>
    </row>
    <row r="257" spans="1:2" x14ac:dyDescent="0.2">
      <c r="A257">
        <v>45311</v>
      </c>
      <c r="B257">
        <v>80.53</v>
      </c>
    </row>
    <row r="258" spans="1:2" x14ac:dyDescent="0.2">
      <c r="A258">
        <v>45310</v>
      </c>
      <c r="B258">
        <v>70.87</v>
      </c>
    </row>
    <row r="259" spans="1:2" x14ac:dyDescent="0.2">
      <c r="A259">
        <v>45309</v>
      </c>
      <c r="B259">
        <v>46.84</v>
      </c>
    </row>
    <row r="260" spans="1:2" x14ac:dyDescent="0.2">
      <c r="A260">
        <v>45308</v>
      </c>
      <c r="B260">
        <v>26.96</v>
      </c>
    </row>
    <row r="261" spans="1:2" x14ac:dyDescent="0.2">
      <c r="A261">
        <v>45307</v>
      </c>
      <c r="B261">
        <v>90.12</v>
      </c>
    </row>
    <row r="262" spans="1:2" x14ac:dyDescent="0.2">
      <c r="A262">
        <v>45306</v>
      </c>
      <c r="B262">
        <v>87.56</v>
      </c>
    </row>
    <row r="263" spans="1:2" x14ac:dyDescent="0.2">
      <c r="A263">
        <v>45305</v>
      </c>
      <c r="B263">
        <v>75.13</v>
      </c>
    </row>
    <row r="264" spans="1:2" x14ac:dyDescent="0.2">
      <c r="A264">
        <v>45304</v>
      </c>
      <c r="B264">
        <v>87.35</v>
      </c>
    </row>
    <row r="265" spans="1:2" x14ac:dyDescent="0.2">
      <c r="A265">
        <v>45303</v>
      </c>
      <c r="B265">
        <v>97.56</v>
      </c>
    </row>
    <row r="266" spans="1:2" x14ac:dyDescent="0.2">
      <c r="A266">
        <v>45302</v>
      </c>
      <c r="B266">
        <v>96.97</v>
      </c>
    </row>
    <row r="267" spans="1:2" x14ac:dyDescent="0.2">
      <c r="A267">
        <v>45301</v>
      </c>
      <c r="B267">
        <v>100.88</v>
      </c>
    </row>
    <row r="268" spans="1:2" x14ac:dyDescent="0.2">
      <c r="A268">
        <v>45300</v>
      </c>
      <c r="B268">
        <v>113.83</v>
      </c>
    </row>
    <row r="269" spans="1:2" x14ac:dyDescent="0.2">
      <c r="A269">
        <v>45299</v>
      </c>
      <c r="B269">
        <v>105.51</v>
      </c>
    </row>
    <row r="270" spans="1:2" x14ac:dyDescent="0.2">
      <c r="A270">
        <v>45298</v>
      </c>
      <c r="B270">
        <v>76</v>
      </c>
    </row>
    <row r="271" spans="1:2" x14ac:dyDescent="0.2">
      <c r="A271">
        <v>45297</v>
      </c>
      <c r="B271">
        <v>43.97</v>
      </c>
    </row>
    <row r="272" spans="1:2" x14ac:dyDescent="0.2">
      <c r="A272">
        <v>45296</v>
      </c>
      <c r="B272">
        <v>68.62</v>
      </c>
    </row>
    <row r="273" spans="1:2" x14ac:dyDescent="0.2">
      <c r="A273">
        <v>45295</v>
      </c>
      <c r="B273">
        <v>91.36</v>
      </c>
    </row>
    <row r="274" spans="1:2" x14ac:dyDescent="0.2">
      <c r="A274">
        <v>45294</v>
      </c>
      <c r="B274">
        <v>55.08</v>
      </c>
    </row>
    <row r="275" spans="1:2" x14ac:dyDescent="0.2">
      <c r="A275">
        <v>45293</v>
      </c>
      <c r="B275">
        <v>40.909999999999997</v>
      </c>
    </row>
    <row r="276" spans="1:2" x14ac:dyDescent="0.2">
      <c r="A276">
        <v>45292</v>
      </c>
      <c r="B276">
        <v>36.24</v>
      </c>
    </row>
  </sheetData>
  <sortState xmlns:xlrd2="http://schemas.microsoft.com/office/spreadsheetml/2017/richdata2" ref="E5:H38">
    <sortCondition ref="H4"/>
  </sortState>
  <mergeCells count="10">
    <mergeCell ref="AB1:AC2"/>
    <mergeCell ref="Y1:Z2"/>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30</xdr:col>
                    <xdr:colOff>38100</xdr:colOff>
                    <xdr:row>10</xdr:row>
                    <xdr:rowOff>9525</xdr:rowOff>
                  </from>
                  <to>
                    <xdr:col>32</xdr:col>
                    <xdr:colOff>304800</xdr:colOff>
                    <xdr:row>13</xdr:row>
                    <xdr:rowOff>85725</xdr:rowOff>
                  </to>
                </anchor>
              </controlPr>
            </control>
          </mc:Choice>
        </mc:AlternateContent>
      </controls>
    </mc:Choice>
  </mc:AlternateContent>
  <tableParts count="10">
    <tablePart r:id="rId4"/>
    <tablePart r:id="rId5"/>
    <tablePart r:id="rId6"/>
    <tablePart r:id="rId7"/>
    <tablePart r:id="rId8"/>
    <tablePart r:id="rId9"/>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20" t="s">
        <v>246</v>
      </c>
      <c r="K1" s="121"/>
      <c r="L1" s="124" t="s">
        <v>3</v>
      </c>
      <c r="M1" s="130" t="s">
        <v>235</v>
      </c>
      <c r="N1" s="131"/>
      <c r="O1" s="128" t="s">
        <v>4</v>
      </c>
      <c r="P1" s="129"/>
      <c r="Q1" s="116" t="s">
        <v>246</v>
      </c>
      <c r="R1" s="116"/>
      <c r="S1" s="117"/>
      <c r="T1" s="115"/>
    </row>
    <row r="2" spans="1:20" ht="12" customHeight="1" x14ac:dyDescent="0.2">
      <c r="A2" t="s">
        <v>3</v>
      </c>
      <c r="B2" s="23" t="str">
        <f>A7</f>
        <v>Ene 2024</v>
      </c>
      <c r="C2" t="s">
        <v>243</v>
      </c>
      <c r="G2" s="15" t="s">
        <v>253</v>
      </c>
      <c r="H2" s="24">
        <f ca="1">TODAY()</f>
        <v>45563</v>
      </c>
      <c r="I2" s="24"/>
      <c r="J2" s="122"/>
      <c r="K2" s="117"/>
      <c r="L2" s="125"/>
      <c r="M2" s="132"/>
      <c r="N2" s="133"/>
      <c r="O2" s="128"/>
      <c r="P2" s="129"/>
      <c r="Q2" s="116"/>
      <c r="R2" s="116"/>
      <c r="S2" s="117"/>
      <c r="T2" s="115"/>
    </row>
    <row r="3" spans="1:20" ht="12" customHeight="1" x14ac:dyDescent="0.2">
      <c r="A3" t="s">
        <v>229</v>
      </c>
      <c r="B3" s="23">
        <f ca="1">IF(C3="",ROUND(AVERAGE(omie!E5:OFFSET(omie!E5,MATCH(B4,omie_enero[fecha],0)-1,0)),2),C3)</f>
        <v>74.099999999999994</v>
      </c>
      <c r="C3" s="26"/>
      <c r="G3" s="114" t="s">
        <v>248</v>
      </c>
      <c r="H3" s="114"/>
      <c r="I3" s="4"/>
      <c r="J3" s="122"/>
      <c r="K3" s="117"/>
      <c r="L3" s="126" t="s">
        <v>13</v>
      </c>
      <c r="M3" s="134">
        <f>H1</f>
        <v>31</v>
      </c>
      <c r="N3" s="134"/>
      <c r="O3" s="127">
        <f ca="1">B3</f>
        <v>74.099999999999994</v>
      </c>
      <c r="P3" s="127"/>
      <c r="Q3" s="116"/>
      <c r="R3" s="116"/>
      <c r="S3" s="117"/>
      <c r="T3" s="115"/>
    </row>
    <row r="4" spans="1:20" ht="12" customHeight="1" x14ac:dyDescent="0.2">
      <c r="A4" t="s">
        <v>6</v>
      </c>
      <c r="B4" s="3">
        <f>DATE(2024,1,H1)</f>
        <v>45322</v>
      </c>
      <c r="G4" t="s">
        <v>247</v>
      </c>
      <c r="H4" s="30">
        <f>[1]omie_dinamic_dia!$G$2</f>
        <v>25</v>
      </c>
      <c r="I4" s="42"/>
      <c r="J4" s="122"/>
      <c r="K4" s="117"/>
      <c r="L4" s="126"/>
      <c r="M4" s="134"/>
      <c r="N4" s="134"/>
      <c r="O4" s="127"/>
      <c r="P4" s="127"/>
      <c r="Q4" s="116"/>
      <c r="R4" s="116"/>
      <c r="S4" s="117"/>
      <c r="T4" s="115"/>
    </row>
    <row r="5" spans="1:20" ht="12" customHeight="1" x14ac:dyDescent="0.2">
      <c r="A5" t="s">
        <v>15</v>
      </c>
      <c r="B5" s="3">
        <f>MAX(omie_enero[fecha])</f>
        <v>45322</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4"/>
      <c r="S20" s="114"/>
      <c r="T20" s="114"/>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4"/>
      <c r="S21" s="114"/>
      <c r="T21" s="114"/>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4"/>
      <c r="S22" s="114"/>
      <c r="T22" s="114"/>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238" priority="14">
      <formula>$K7=3</formula>
    </cfRule>
    <cfRule type="expression" dxfId="237" priority="15">
      <formula>$K7=2</formula>
    </cfRule>
    <cfRule type="expression" dxfId="236"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20" t="s">
        <v>246</v>
      </c>
      <c r="K1" s="121"/>
      <c r="L1" s="124" t="s">
        <v>3</v>
      </c>
      <c r="M1" s="130" t="s">
        <v>365</v>
      </c>
      <c r="N1" s="131"/>
      <c r="O1" s="128" t="s">
        <v>4</v>
      </c>
      <c r="P1" s="129"/>
      <c r="Q1" s="116" t="s">
        <v>246</v>
      </c>
      <c r="R1" s="116"/>
      <c r="S1" s="117"/>
      <c r="T1" s="115"/>
    </row>
    <row r="2" spans="1:20" ht="12" customHeight="1" x14ac:dyDescent="0.2">
      <c r="A2" t="s">
        <v>3</v>
      </c>
      <c r="B2" s="23" t="str">
        <f>A7</f>
        <v>Feb 2024</v>
      </c>
      <c r="C2" t="s">
        <v>243</v>
      </c>
      <c r="G2" s="15" t="s">
        <v>253</v>
      </c>
      <c r="H2" s="24">
        <f ca="1">TODAY()</f>
        <v>45563</v>
      </c>
      <c r="I2" s="24"/>
      <c r="J2" s="122"/>
      <c r="K2" s="117"/>
      <c r="L2" s="125"/>
      <c r="M2" s="132"/>
      <c r="N2" s="133"/>
      <c r="O2" s="128"/>
      <c r="P2" s="129"/>
      <c r="Q2" s="116"/>
      <c r="R2" s="116"/>
      <c r="S2" s="117"/>
      <c r="T2" s="115"/>
    </row>
    <row r="3" spans="1:20" ht="12" customHeight="1" x14ac:dyDescent="0.2">
      <c r="A3" t="s">
        <v>229</v>
      </c>
      <c r="B3" s="23">
        <f ca="1">IF(C3="",ROUND(AVERAGE(omie!H5:OFFSET(omie!H5,MATCH(B4,omie_febrero[fecha],0)-1,0)),2),C3)</f>
        <v>40</v>
      </c>
      <c r="C3" s="26"/>
      <c r="G3" t="s">
        <v>248</v>
      </c>
      <c r="J3" s="122"/>
      <c r="K3" s="117"/>
      <c r="L3" s="126" t="s">
        <v>13</v>
      </c>
      <c r="M3" s="134">
        <f>H1</f>
        <v>29</v>
      </c>
      <c r="N3" s="134"/>
      <c r="O3" s="127">
        <f ca="1">B3</f>
        <v>40</v>
      </c>
      <c r="P3" s="127"/>
      <c r="Q3" s="116"/>
      <c r="R3" s="116"/>
      <c r="S3" s="117"/>
      <c r="T3" s="115"/>
    </row>
    <row r="4" spans="1:20" ht="12" customHeight="1" x14ac:dyDescent="0.2">
      <c r="A4" t="s">
        <v>6</v>
      </c>
      <c r="B4" s="3">
        <f>DATE(2024,2,H1)</f>
        <v>45351</v>
      </c>
      <c r="G4" t="s">
        <v>247</v>
      </c>
      <c r="H4" s="30">
        <f>[1]omie_dinamic_dia!$G$2</f>
        <v>25</v>
      </c>
      <c r="I4" s="42"/>
      <c r="J4" s="122"/>
      <c r="K4" s="117"/>
      <c r="L4" s="126"/>
      <c r="M4" s="134"/>
      <c r="N4" s="134"/>
      <c r="O4" s="127"/>
      <c r="P4" s="127"/>
      <c r="Q4" s="116"/>
      <c r="R4" s="116"/>
      <c r="S4" s="117"/>
      <c r="T4" s="115"/>
    </row>
    <row r="5" spans="1:20" ht="12" customHeight="1" x14ac:dyDescent="0.2">
      <c r="A5" t="s">
        <v>15</v>
      </c>
      <c r="B5" s="3">
        <f>MAX(omie_febrero[fecha])</f>
        <v>45351</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4"/>
      <c r="S20" s="114"/>
      <c r="T20" s="114"/>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4"/>
      <c r="S21" s="114"/>
      <c r="T21" s="114"/>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4"/>
      <c r="S22" s="114"/>
      <c r="T22" s="114"/>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230" priority="2">
      <formula>$K7=3</formula>
    </cfRule>
    <cfRule type="expression" dxfId="229" priority="3">
      <formula>$K7=2</formula>
    </cfRule>
    <cfRule type="expression" dxfId="228"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20" t="s">
        <v>246</v>
      </c>
      <c r="K1" s="121"/>
      <c r="L1" s="124" t="s">
        <v>3</v>
      </c>
      <c r="M1" s="130" t="s">
        <v>478</v>
      </c>
      <c r="N1" s="131"/>
      <c r="O1" s="128" t="s">
        <v>4</v>
      </c>
      <c r="P1" s="129"/>
      <c r="Q1" s="116" t="s">
        <v>246</v>
      </c>
      <c r="R1" s="116"/>
      <c r="S1" s="117"/>
      <c r="T1" s="115"/>
    </row>
    <row r="2" spans="1:20" ht="12" customHeight="1" x14ac:dyDescent="0.2">
      <c r="A2" t="s">
        <v>3</v>
      </c>
      <c r="B2" s="23" t="str">
        <f>A7</f>
        <v>Mar 2024</v>
      </c>
      <c r="C2" t="s">
        <v>243</v>
      </c>
      <c r="G2" s="15" t="s">
        <v>253</v>
      </c>
      <c r="H2" s="24">
        <f ca="1">TODAY()</f>
        <v>45563</v>
      </c>
      <c r="I2" s="24"/>
      <c r="J2" s="122"/>
      <c r="K2" s="117"/>
      <c r="L2" s="125"/>
      <c r="M2" s="132"/>
      <c r="N2" s="133"/>
      <c r="O2" s="128"/>
      <c r="P2" s="129"/>
      <c r="Q2" s="116"/>
      <c r="R2" s="116"/>
      <c r="S2" s="117"/>
      <c r="T2" s="115"/>
    </row>
    <row r="3" spans="1:20" ht="12" customHeight="1" x14ac:dyDescent="0.2">
      <c r="A3" t="s">
        <v>229</v>
      </c>
      <c r="B3" s="44">
        <f ca="1">IF(C3="",ROUND(AVERAGE(omie!K5:OFFSET(omie!K5,MATCH(B4,omie_marzo[fecha],0)-1,0)),2),C3)</f>
        <v>20.28</v>
      </c>
      <c r="C3" s="26"/>
      <c r="G3" s="114" t="s">
        <v>248</v>
      </c>
      <c r="H3" s="114"/>
      <c r="I3" s="4"/>
      <c r="J3" s="122"/>
      <c r="K3" s="117"/>
      <c r="L3" s="126" t="s">
        <v>13</v>
      </c>
      <c r="M3" s="134">
        <f>H1</f>
        <v>31</v>
      </c>
      <c r="N3" s="134"/>
      <c r="O3" s="127">
        <f ca="1">B3</f>
        <v>20.28</v>
      </c>
      <c r="P3" s="127"/>
      <c r="Q3" s="116"/>
      <c r="R3" s="116"/>
      <c r="S3" s="117"/>
      <c r="T3" s="115"/>
    </row>
    <row r="4" spans="1:20" ht="12" customHeight="1" x14ac:dyDescent="0.2">
      <c r="A4" t="s">
        <v>6</v>
      </c>
      <c r="B4" s="3">
        <f>DATE(2024,3,H1)</f>
        <v>45382</v>
      </c>
      <c r="G4" t="s">
        <v>247</v>
      </c>
      <c r="H4" s="30">
        <f>[1]omie_dinamic_dia!$G$2</f>
        <v>25</v>
      </c>
      <c r="I4" s="42"/>
      <c r="J4" s="122"/>
      <c r="K4" s="117"/>
      <c r="L4" s="126"/>
      <c r="M4" s="134"/>
      <c r="N4" s="134"/>
      <c r="O4" s="127"/>
      <c r="P4" s="127"/>
      <c r="Q4" s="116"/>
      <c r="R4" s="116"/>
      <c r="S4" s="117"/>
      <c r="T4" s="115"/>
    </row>
    <row r="5" spans="1:20" ht="12" customHeight="1" x14ac:dyDescent="0.2">
      <c r="A5" t="s">
        <v>15</v>
      </c>
      <c r="B5" s="3">
        <f>MAX(omie_marzo[fecha])</f>
        <v>45382</v>
      </c>
      <c r="J5" s="123"/>
      <c r="K5" s="119"/>
      <c r="L5" s="126"/>
      <c r="M5" s="134"/>
      <c r="N5" s="134"/>
      <c r="O5" s="127"/>
      <c r="P5" s="127"/>
      <c r="Q5" s="118"/>
      <c r="R5" s="118"/>
      <c r="S5" s="119"/>
      <c r="T5" s="115"/>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4"/>
      <c r="S20" s="114"/>
      <c r="T20" s="114"/>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4"/>
      <c r="S21" s="114"/>
      <c r="T21" s="114"/>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4"/>
      <c r="S22" s="114"/>
      <c r="T22" s="114"/>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221" priority="2">
      <formula>$K7=3</formula>
    </cfRule>
    <cfRule type="expression" dxfId="220" priority="3">
      <formula>$K7=2</formula>
    </cfRule>
    <cfRule type="expression" dxfId="219"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5" t="s">
        <v>546</v>
      </c>
      <c r="L1" s="136"/>
      <c r="M1" s="124" t="s">
        <v>3</v>
      </c>
      <c r="N1" s="130" t="s">
        <v>545</v>
      </c>
      <c r="O1" s="131"/>
      <c r="P1" s="128" t="s">
        <v>4</v>
      </c>
      <c r="Q1" s="129"/>
      <c r="R1" s="141" t="s">
        <v>547</v>
      </c>
      <c r="S1" s="142"/>
      <c r="T1" s="143"/>
      <c r="U1" s="115"/>
    </row>
    <row r="2" spans="1:21" ht="12" customHeight="1" x14ac:dyDescent="0.2">
      <c r="A2" t="s">
        <v>3</v>
      </c>
      <c r="B2" s="23" t="str">
        <f>A7</f>
        <v>Abr 2024</v>
      </c>
      <c r="C2" t="s">
        <v>243</v>
      </c>
      <c r="G2" s="15" t="s">
        <v>253</v>
      </c>
      <c r="H2" s="24">
        <f ca="1">TODAY()</f>
        <v>45563</v>
      </c>
      <c r="I2" s="29"/>
      <c r="K2" s="137"/>
      <c r="L2" s="138"/>
      <c r="M2" s="125"/>
      <c r="N2" s="132"/>
      <c r="O2" s="133"/>
      <c r="P2" s="128"/>
      <c r="Q2" s="129"/>
      <c r="R2" s="144"/>
      <c r="S2" s="145"/>
      <c r="T2" s="146"/>
      <c r="U2" s="115"/>
    </row>
    <row r="3" spans="1:21" ht="12" customHeight="1" x14ac:dyDescent="0.2">
      <c r="A3" t="s">
        <v>229</v>
      </c>
      <c r="B3" s="44">
        <f ca="1">IF(C3="",ROUND(AVERAGE(omie!N5:OFFSET(omie!N5,MATCH(B4,omie_abril[fecha],0)-1,0)),2),C3)</f>
        <v>13.67</v>
      </c>
      <c r="C3" s="26"/>
      <c r="G3" s="114" t="s">
        <v>248</v>
      </c>
      <c r="H3" s="114"/>
      <c r="I3" s="29"/>
      <c r="K3" s="137"/>
      <c r="L3" s="138"/>
      <c r="M3" s="126" t="s">
        <v>13</v>
      </c>
      <c r="N3" s="134">
        <f>H1</f>
        <v>30</v>
      </c>
      <c r="O3" s="134"/>
      <c r="P3" s="127">
        <f ca="1">B3</f>
        <v>13.67</v>
      </c>
      <c r="Q3" s="127"/>
      <c r="R3" s="144"/>
      <c r="S3" s="145"/>
      <c r="T3" s="146"/>
      <c r="U3" s="115"/>
    </row>
    <row r="4" spans="1:21" ht="12" customHeight="1" x14ac:dyDescent="0.2">
      <c r="A4" t="s">
        <v>6</v>
      </c>
      <c r="B4" s="3">
        <f>DATE(2024,4,H1)</f>
        <v>45412</v>
      </c>
      <c r="G4" t="s">
        <v>247</v>
      </c>
      <c r="H4" s="30">
        <f>[1]omie_dinamic_dia!$G$2</f>
        <v>25</v>
      </c>
      <c r="I4" s="29"/>
      <c r="K4" s="137"/>
      <c r="L4" s="138"/>
      <c r="M4" s="126"/>
      <c r="N4" s="134"/>
      <c r="O4" s="134"/>
      <c r="P4" s="127"/>
      <c r="Q4" s="127"/>
      <c r="R4" s="144"/>
      <c r="S4" s="145"/>
      <c r="T4" s="146"/>
      <c r="U4" s="115"/>
    </row>
    <row r="5" spans="1:21" ht="12" customHeight="1" x14ac:dyDescent="0.2">
      <c r="A5" t="s">
        <v>15</v>
      </c>
      <c r="B5" s="3">
        <f>MAX(omie_abril[fecha])</f>
        <v>45412</v>
      </c>
      <c r="I5" s="29"/>
      <c r="K5" s="139"/>
      <c r="L5" s="140"/>
      <c r="M5" s="126"/>
      <c r="N5" s="134"/>
      <c r="O5" s="134"/>
      <c r="P5" s="127"/>
      <c r="Q5" s="127"/>
      <c r="R5" s="147"/>
      <c r="S5" s="148"/>
      <c r="T5" s="149"/>
      <c r="U5" s="115"/>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4"/>
      <c r="T20" s="114"/>
      <c r="U20" s="114"/>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4"/>
      <c r="T21" s="114"/>
      <c r="U21" s="114"/>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4"/>
      <c r="T22" s="114"/>
      <c r="U22" s="114"/>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215" priority="17">
      <formula>$K7=3</formula>
    </cfRule>
    <cfRule type="expression" dxfId="214" priority="18">
      <formula>$K7=2</formula>
    </cfRule>
    <cfRule type="expression" dxfId="213"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5" t="s">
        <v>546</v>
      </c>
      <c r="L1" s="136"/>
      <c r="M1" s="124" t="s">
        <v>3</v>
      </c>
      <c r="N1" s="130" t="s">
        <v>654</v>
      </c>
      <c r="O1" s="131"/>
      <c r="P1" s="128" t="s">
        <v>4</v>
      </c>
      <c r="Q1" s="129"/>
      <c r="R1" s="141" t="s">
        <v>655</v>
      </c>
      <c r="S1" s="142"/>
      <c r="T1" s="143"/>
      <c r="U1" s="115"/>
    </row>
    <row r="2" spans="1:21" ht="12" customHeight="1" x14ac:dyDescent="0.2">
      <c r="A2" t="s">
        <v>3</v>
      </c>
      <c r="B2" s="23" t="str">
        <f>A7</f>
        <v>May 2024</v>
      </c>
      <c r="C2" s="4" t="s">
        <v>243</v>
      </c>
      <c r="G2" s="15" t="s">
        <v>253</v>
      </c>
      <c r="H2" s="24">
        <f ca="1">TODAY()</f>
        <v>45563</v>
      </c>
      <c r="I2" s="29"/>
      <c r="K2" s="137"/>
      <c r="L2" s="138"/>
      <c r="M2" s="125"/>
      <c r="N2" s="132"/>
      <c r="O2" s="133"/>
      <c r="P2" s="128"/>
      <c r="Q2" s="129"/>
      <c r="R2" s="144"/>
      <c r="S2" s="145"/>
      <c r="T2" s="146"/>
      <c r="U2" s="115"/>
    </row>
    <row r="3" spans="1:21" ht="12" customHeight="1" x14ac:dyDescent="0.2">
      <c r="A3" t="s">
        <v>229</v>
      </c>
      <c r="B3" s="44">
        <f ca="1">IF(C3="",ROUND(AVERAGE(omie!Q5:OFFSET(omie!Q5,MATCH(B4,omie_mayo[fecha],0)-1,0)),2),C3)</f>
        <v>30.4</v>
      </c>
      <c r="C3" s="65"/>
      <c r="G3" s="114" t="s">
        <v>248</v>
      </c>
      <c r="H3" s="114"/>
      <c r="I3" s="29"/>
      <c r="K3" s="137"/>
      <c r="L3" s="138"/>
      <c r="M3" s="126" t="s">
        <v>13</v>
      </c>
      <c r="N3" s="134">
        <f>H1</f>
        <v>31</v>
      </c>
      <c r="O3" s="134"/>
      <c r="P3" s="127">
        <f ca="1">B3</f>
        <v>30.4</v>
      </c>
      <c r="Q3" s="127"/>
      <c r="R3" s="144"/>
      <c r="S3" s="145"/>
      <c r="T3" s="146"/>
      <c r="U3" s="115"/>
    </row>
    <row r="4" spans="1:21" ht="12" customHeight="1" x14ac:dyDescent="0.2">
      <c r="A4" t="s">
        <v>6</v>
      </c>
      <c r="B4" s="3">
        <f>DATE(2024,5,H1)</f>
        <v>45443</v>
      </c>
      <c r="G4" t="s">
        <v>247</v>
      </c>
      <c r="H4" s="67">
        <f>[1]omie_dinamic_dia!$G$2</f>
        <v>25</v>
      </c>
      <c r="I4" s="29"/>
      <c r="K4" s="137"/>
      <c r="L4" s="138"/>
      <c r="M4" s="126"/>
      <c r="N4" s="134"/>
      <c r="O4" s="134"/>
      <c r="P4" s="127"/>
      <c r="Q4" s="127"/>
      <c r="R4" s="144"/>
      <c r="S4" s="145"/>
      <c r="T4" s="146"/>
      <c r="U4" s="115"/>
    </row>
    <row r="5" spans="1:21" ht="12" customHeight="1" x14ac:dyDescent="0.2">
      <c r="A5" t="s">
        <v>15</v>
      </c>
      <c r="B5" s="3">
        <f>MAX(omie_mayo[fecha])</f>
        <v>45443</v>
      </c>
      <c r="I5" s="29"/>
      <c r="K5" s="139"/>
      <c r="L5" s="140"/>
      <c r="M5" s="126"/>
      <c r="N5" s="134"/>
      <c r="O5" s="134"/>
      <c r="P5" s="127"/>
      <c r="Q5" s="127"/>
      <c r="R5" s="147"/>
      <c r="S5" s="148"/>
      <c r="T5" s="149"/>
      <c r="U5" s="115"/>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4"/>
      <c r="T20" s="114"/>
      <c r="U20" s="114"/>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4"/>
      <c r="T21" s="114"/>
      <c r="U21" s="114"/>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4"/>
      <c r="T22" s="114"/>
      <c r="U22" s="114"/>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201" priority="3">
      <formula>$K7=3</formula>
    </cfRule>
    <cfRule type="expression" dxfId="200" priority="4">
      <formula>$K7=2</formula>
    </cfRule>
    <cfRule type="expression" dxfId="199" priority="5">
      <formula>$K7=1</formula>
    </cfRule>
  </conditionalFormatting>
  <conditionalFormatting sqref="C7:C49">
    <cfRule type="duplicateValues" dxfId="198"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5" t="s">
        <v>546</v>
      </c>
      <c r="L1" s="136"/>
      <c r="M1" s="124" t="s">
        <v>3</v>
      </c>
      <c r="N1" s="130" t="s">
        <v>793</v>
      </c>
      <c r="O1" s="131"/>
      <c r="P1" s="128" t="s">
        <v>4</v>
      </c>
      <c r="Q1" s="129"/>
      <c r="R1" s="150" t="s">
        <v>794</v>
      </c>
      <c r="S1" s="151"/>
      <c r="T1" s="151"/>
      <c r="U1" s="79"/>
      <c r="Y1" s="114"/>
    </row>
    <row r="2" spans="1:25" ht="12" customHeight="1" x14ac:dyDescent="0.2">
      <c r="A2" t="s">
        <v>3</v>
      </c>
      <c r="B2" s="23" t="str">
        <f>A7</f>
        <v>Jun 2024</v>
      </c>
      <c r="C2" s="4" t="s">
        <v>243</v>
      </c>
      <c r="G2" s="15" t="s">
        <v>253</v>
      </c>
      <c r="H2" s="24">
        <f ca="1">TODAY()</f>
        <v>45563</v>
      </c>
      <c r="I2" s="29"/>
      <c r="K2" s="137"/>
      <c r="L2" s="138"/>
      <c r="M2" s="125"/>
      <c r="N2" s="132"/>
      <c r="O2" s="133"/>
      <c r="P2" s="128"/>
      <c r="Q2" s="129"/>
      <c r="R2" s="150"/>
      <c r="S2" s="151"/>
      <c r="T2" s="151"/>
      <c r="U2" s="79"/>
      <c r="Y2" s="114"/>
    </row>
    <row r="3" spans="1:25" ht="12" customHeight="1" x14ac:dyDescent="0.2">
      <c r="A3" t="s">
        <v>229</v>
      </c>
      <c r="B3" s="44">
        <f ca="1">IF(C3="",ROUND(AVERAGE(omie!T5:OFFSET(omie!T5,MATCH(B4,omie_junio[fecha],0)-1,0)),2),C3)</f>
        <v>56.08</v>
      </c>
      <c r="C3" s="65"/>
      <c r="G3" s="114" t="s">
        <v>248</v>
      </c>
      <c r="H3" s="114"/>
      <c r="I3" s="29"/>
      <c r="K3" s="137"/>
      <c r="L3" s="138"/>
      <c r="M3" s="126" t="s">
        <v>13</v>
      </c>
      <c r="N3" s="134">
        <f>H1</f>
        <v>30</v>
      </c>
      <c r="O3" s="134"/>
      <c r="P3" s="127">
        <f ca="1">B3</f>
        <v>56.08</v>
      </c>
      <c r="Q3" s="127"/>
      <c r="R3" s="150"/>
      <c r="S3" s="151"/>
      <c r="T3" s="151"/>
      <c r="U3" s="79"/>
      <c r="Y3" s="114"/>
    </row>
    <row r="4" spans="1:25" ht="12" customHeight="1" x14ac:dyDescent="0.2">
      <c r="A4" t="s">
        <v>6</v>
      </c>
      <c r="B4" s="3">
        <f>DATE(2024,6,H1)</f>
        <v>45473</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MAX(omie_junio[fecha])</f>
        <v>45473</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4"/>
      <c r="V20" s="114"/>
      <c r="W20" s="114"/>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4"/>
      <c r="V21" s="114"/>
      <c r="W21" s="114"/>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4"/>
      <c r="V22" s="114"/>
      <c r="W22" s="114"/>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185" priority="3">
      <formula>$K7=3</formula>
    </cfRule>
    <cfRule type="expression" dxfId="184" priority="4">
      <formula>$K7=2</formula>
    </cfRule>
    <cfRule type="expression" dxfId="183" priority="5">
      <formula>$K7=1</formula>
    </cfRule>
  </conditionalFormatting>
  <conditionalFormatting sqref="C7:C59">
    <cfRule type="duplicateValues" dxfId="182" priority="29"/>
  </conditionalFormatting>
  <conditionalFormatting sqref="B7:B59">
    <cfRule type="duplicateValues" dxfId="181" priority="31"/>
  </conditionalFormatting>
  <conditionalFormatting sqref="R8:S13 R17:S26">
    <cfRule type="expression" dxfId="180" priority="37">
      <formula>$K38=3</formula>
    </cfRule>
    <cfRule type="expression" dxfId="179" priority="38">
      <formula>$K38=2</formula>
    </cfRule>
    <cfRule type="expression" dxfId="178" priority="39">
      <formula>$K38=1</formula>
    </cfRule>
  </conditionalFormatting>
  <conditionalFormatting sqref="P38:Q59 Q37">
    <cfRule type="expression" dxfId="177" priority="60">
      <formula>$K34=3</formula>
    </cfRule>
    <cfRule type="expression" dxfId="176" priority="61">
      <formula>$K34=2</formula>
    </cfRule>
    <cfRule type="expression" dxfId="175"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5" t="s">
        <v>546</v>
      </c>
      <c r="L1" s="136"/>
      <c r="M1" s="124" t="s">
        <v>3</v>
      </c>
      <c r="N1" s="130" t="s">
        <v>940</v>
      </c>
      <c r="O1" s="131"/>
      <c r="P1" s="128" t="s">
        <v>4</v>
      </c>
      <c r="Q1" s="129"/>
      <c r="R1" s="150" t="s">
        <v>941</v>
      </c>
      <c r="S1" s="151"/>
      <c r="T1" s="151"/>
      <c r="U1" s="79"/>
      <c r="Y1" s="114"/>
    </row>
    <row r="2" spans="1:25" ht="12" customHeight="1" x14ac:dyDescent="0.2">
      <c r="A2" t="s">
        <v>3</v>
      </c>
      <c r="B2" s="23" t="str">
        <f>A7</f>
        <v>Jul 2024</v>
      </c>
      <c r="C2" s="4" t="s">
        <v>243</v>
      </c>
      <c r="G2" s="15" t="s">
        <v>253</v>
      </c>
      <c r="H2" s="24">
        <f ca="1">TODAY()</f>
        <v>45563</v>
      </c>
      <c r="I2" s="29"/>
      <c r="K2" s="137"/>
      <c r="L2" s="138"/>
      <c r="M2" s="125"/>
      <c r="N2" s="132"/>
      <c r="O2" s="133"/>
      <c r="P2" s="128"/>
      <c r="Q2" s="129"/>
      <c r="R2" s="150"/>
      <c r="S2" s="151"/>
      <c r="T2" s="151"/>
      <c r="U2" s="79"/>
      <c r="Y2" s="114"/>
    </row>
    <row r="3" spans="1:25" ht="12" customHeight="1" x14ac:dyDescent="0.2">
      <c r="A3" t="s">
        <v>229</v>
      </c>
      <c r="B3" s="44">
        <f ca="1">IF(C3="",ROUND(AVERAGE(omie!W5:OFFSET(omie!W5,MATCH(B4,omie_julio[fecha],0)-1,0)),2),C3)</f>
        <v>72.31</v>
      </c>
      <c r="C3" s="65"/>
      <c r="G3" s="114" t="s">
        <v>248</v>
      </c>
      <c r="H3" s="114"/>
      <c r="I3" s="29"/>
      <c r="K3" s="137"/>
      <c r="L3" s="138"/>
      <c r="M3" s="126" t="s">
        <v>13</v>
      </c>
      <c r="N3" s="134">
        <f>H1</f>
        <v>31</v>
      </c>
      <c r="O3" s="134"/>
      <c r="P3" s="127">
        <f ca="1">B3</f>
        <v>72.31</v>
      </c>
      <c r="Q3" s="127"/>
      <c r="R3" s="150"/>
      <c r="S3" s="151"/>
      <c r="T3" s="151"/>
      <c r="U3" s="79"/>
      <c r="Y3" s="114"/>
    </row>
    <row r="4" spans="1:25" ht="12" customHeight="1" x14ac:dyDescent="0.2">
      <c r="A4" t="s">
        <v>6</v>
      </c>
      <c r="B4" s="3">
        <f>DATE(2024,7,H1)</f>
        <v>45504</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MAX(omie_julio[fecha])</f>
        <v>45504</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4"/>
      <c r="V20" s="114"/>
      <c r="W20" s="114"/>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4"/>
      <c r="V21" s="114"/>
      <c r="W21" s="114"/>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4"/>
      <c r="V22" s="114"/>
      <c r="W22" s="114"/>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102">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4"/>
      <c r="L59" s="104"/>
      <c r="M59" s="104"/>
      <c r="N59" s="104"/>
      <c r="O59" s="104"/>
      <c r="U59" s="42"/>
    </row>
    <row r="60" spans="1:21" x14ac:dyDescent="0.2">
      <c r="K60" s="104"/>
      <c r="L60" s="104"/>
      <c r="M60" s="104"/>
      <c r="N60" s="104"/>
      <c r="O60" s="104"/>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160" priority="2">
      <formula>$K7=3</formula>
    </cfRule>
    <cfRule type="expression" dxfId="159" priority="3">
      <formula>$K7=2</formula>
    </cfRule>
    <cfRule type="expression" dxfId="158" priority="4">
      <formula>$K7=1</formula>
    </cfRule>
  </conditionalFormatting>
  <conditionalFormatting sqref="R8:S13 R17:S20 R25:S26">
    <cfRule type="expression" dxfId="157" priority="9">
      <formula>$K38=1</formula>
    </cfRule>
  </conditionalFormatting>
  <conditionalFormatting sqref="P39:Q54 Q38 P58:Q60">
    <cfRule type="expression" dxfId="156" priority="10">
      <formula>$K34=3</formula>
    </cfRule>
    <cfRule type="expression" dxfId="155" priority="11">
      <formula>$K34=2</formula>
    </cfRule>
    <cfRule type="expression" dxfId="154"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153" priority="81"/>
  </conditionalFormatting>
  <conditionalFormatting sqref="B7:B58">
    <cfRule type="duplicateValues" dxfId="152"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5" t="s">
        <v>546</v>
      </c>
      <c r="L1" s="136"/>
      <c r="M1" s="124" t="s">
        <v>3</v>
      </c>
      <c r="N1" s="130" t="s">
        <v>1031</v>
      </c>
      <c r="O1" s="131"/>
      <c r="P1" s="128" t="s">
        <v>4</v>
      </c>
      <c r="Q1" s="129"/>
      <c r="R1" s="150" t="s">
        <v>1032</v>
      </c>
      <c r="S1" s="151"/>
      <c r="T1" s="151"/>
      <c r="U1" s="79"/>
      <c r="Y1" s="114"/>
    </row>
    <row r="2" spans="1:25" ht="12" customHeight="1" x14ac:dyDescent="0.2">
      <c r="A2" t="s">
        <v>3</v>
      </c>
      <c r="B2" s="23" t="str">
        <f>A7</f>
        <v>Ago 2024</v>
      </c>
      <c r="C2" s="4" t="s">
        <v>243</v>
      </c>
      <c r="G2" s="15" t="s">
        <v>253</v>
      </c>
      <c r="H2" s="24">
        <f ca="1">TODAY()</f>
        <v>45563</v>
      </c>
      <c r="I2" s="29"/>
      <c r="K2" s="137"/>
      <c r="L2" s="138"/>
      <c r="M2" s="125"/>
      <c r="N2" s="132"/>
      <c r="O2" s="133"/>
      <c r="P2" s="128"/>
      <c r="Q2" s="129"/>
      <c r="R2" s="150"/>
      <c r="S2" s="151"/>
      <c r="T2" s="151"/>
      <c r="U2" s="79"/>
      <c r="Y2" s="114"/>
    </row>
    <row r="3" spans="1:25" ht="12" customHeight="1" x14ac:dyDescent="0.2">
      <c r="A3" t="s">
        <v>229</v>
      </c>
      <c r="B3" s="44">
        <f ca="1">IF(C3="",ROUND(AVERAGE(omie!Z5:OFFSET(omie!Z5,MATCH(B4,omie_agosto[fecha],0)-1,0)),2),C3)</f>
        <v>91.05</v>
      </c>
      <c r="C3" s="65"/>
      <c r="G3" s="114" t="s">
        <v>248</v>
      </c>
      <c r="H3" s="114"/>
      <c r="I3" s="29"/>
      <c r="K3" s="137"/>
      <c r="L3" s="138"/>
      <c r="M3" s="126" t="s">
        <v>13</v>
      </c>
      <c r="N3" s="134">
        <f>H1</f>
        <v>31</v>
      </c>
      <c r="O3" s="134"/>
      <c r="P3" s="127">
        <f ca="1">B3</f>
        <v>91.05</v>
      </c>
      <c r="Q3" s="127"/>
      <c r="R3" s="150"/>
      <c r="S3" s="151"/>
      <c r="T3" s="151"/>
      <c r="U3" s="79"/>
      <c r="Y3" s="114"/>
    </row>
    <row r="4" spans="1:25" ht="12" customHeight="1" x14ac:dyDescent="0.2">
      <c r="A4" t="s">
        <v>6</v>
      </c>
      <c r="B4" s="3">
        <f>DATE(2024,8,H1)</f>
        <v>45535</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MAX(omie_agosto[fecha])</f>
        <v>45535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7">
        <f ca="1">INDEX(apuestas_ago[orden],MATCH(resultados_ago[Apuesta MiniPorra],apuestas_ago[Apuesta Miniporra],0))</f>
        <v>4</v>
      </c>
      <c r="L10" s="108" t="str">
        <f>apuestas_ago[[#This Row],[Nombre]]</f>
        <v>Sergio Alfonso</v>
      </c>
      <c r="M10" s="109">
        <f>apuestas_ago[[#This Row],[Apuesta Miniporra]]</f>
        <v>82.28</v>
      </c>
      <c r="N10" s="109">
        <f ca="1">INDEX(apuestas_ago[desvio],MATCH(resultados_ago[[#This Row],[Apuesta MiniPorra]],apuestas_ago[Apuesta Miniporra],0))</f>
        <v>-8.769999999999996</v>
      </c>
      <c r="O10" s="110">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7">
        <f ca="1">INDEX(apuestas_ago[orden],MATCH(resultados_ago[Apuesta MiniPorra],apuestas_ago[Apuesta Miniporra],0))</f>
        <v>5</v>
      </c>
      <c r="L11" s="108" t="str">
        <f>apuestas_ago[[#This Row],[Nombre]]</f>
        <v>Jose F Vidal</v>
      </c>
      <c r="M11" s="109">
        <f>apuestas_ago[[#This Row],[Apuesta Miniporra]]</f>
        <v>81.599999999999994</v>
      </c>
      <c r="N11" s="109">
        <f ca="1">INDEX(apuestas_ago[desvio],MATCH(resultados_ago[[#This Row],[Apuesta MiniPorra]],apuestas_ago[Apuesta Miniporra],0))</f>
        <v>-9.4500000000000028</v>
      </c>
      <c r="O11" s="110">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7">
        <f ca="1">INDEX(apuestas_ago[orden],MATCH(resultados_ago[Apuesta MiniPorra],apuestas_ago[Apuesta Miniporra],0))</f>
        <v>6</v>
      </c>
      <c r="L12" s="108" t="str">
        <f>apuestas_ago[[#This Row],[Nombre]]</f>
        <v>Víctor Baeschlin Sánchez</v>
      </c>
      <c r="M12" s="109">
        <f>apuestas_ago[[#This Row],[Apuesta Miniporra]]</f>
        <v>80.650000000000006</v>
      </c>
      <c r="N12" s="109">
        <f ca="1">INDEX(apuestas_ago[desvio],MATCH(resultados_ago[[#This Row],[Apuesta MiniPorra]],apuestas_ago[Apuesta Miniporra],0))</f>
        <v>-10.399999999999991</v>
      </c>
      <c r="O12" s="110">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7">
        <f ca="1">INDEX(apuestas_ago[orden],MATCH(resultados_ago[Apuesta MiniPorra],apuestas_ago[Apuesta Miniporra],0))</f>
        <v>7</v>
      </c>
      <c r="L13" s="108" t="str">
        <f>apuestas_ago[[#This Row],[Nombre]]</f>
        <v>Jaime Larrañaga Juez</v>
      </c>
      <c r="M13" s="109">
        <f>apuestas_ago[[#This Row],[Apuesta Miniporra]]</f>
        <v>79.989999999999995</v>
      </c>
      <c r="N13" s="109">
        <f ca="1">INDEX(apuestas_ago[desvio],MATCH(resultados_ago[[#This Row],[Apuesta MiniPorra]],apuestas_ago[Apuesta Miniporra],0))</f>
        <v>-11.060000000000002</v>
      </c>
      <c r="O13" s="110">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7">
        <f ca="1">INDEX(apuestas_ago[orden],MATCH(resultados_ago[Apuesta MiniPorra],apuestas_ago[Apuesta Miniporra],0))</f>
        <v>8</v>
      </c>
      <c r="L14" s="108" t="str">
        <f>apuestas_ago[[#This Row],[Nombre]]</f>
        <v>Juan Pedro Conejo Sanchez</v>
      </c>
      <c r="M14" s="109">
        <f>apuestas_ago[[#This Row],[Apuesta Miniporra]]</f>
        <v>78.989999999999995</v>
      </c>
      <c r="N14" s="109">
        <f ca="1">INDEX(apuestas_ago[desvio],MATCH(resultados_ago[[#This Row],[Apuesta MiniPorra]],apuestas_ago[Apuesta Miniporra],0))</f>
        <v>-12.060000000000002</v>
      </c>
      <c r="O14" s="110">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4"/>
      <c r="V20" s="114"/>
      <c r="W20" s="114"/>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4"/>
      <c r="V21" s="114"/>
      <c r="W21" s="114"/>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4"/>
      <c r="V22" s="114"/>
      <c r="W22" s="114"/>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102">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7">
    <cfRule type="expression" dxfId="137" priority="1">
      <formula>$K7=3</formula>
    </cfRule>
    <cfRule type="expression" dxfId="136" priority="2">
      <formula>$K7=2</formula>
    </cfRule>
    <cfRule type="expression" dxfId="135" priority="3">
      <formula>$K7=1</formula>
    </cfRule>
  </conditionalFormatting>
  <conditionalFormatting sqref="R8:S13 R17:S20 R25:S26">
    <cfRule type="expression" dxfId="134" priority="4">
      <formula>$K38=1</formula>
    </cfRule>
  </conditionalFormatting>
  <conditionalFormatting sqref="P39:Q54 Q38 P58:Q60">
    <cfRule type="expression" dxfId="133" priority="5">
      <formula>$K34=3</formula>
    </cfRule>
    <cfRule type="expression" dxfId="132" priority="6">
      <formula>$K34=2</formula>
    </cfRule>
    <cfRule type="expression" dxfId="131"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130" priority="86"/>
  </conditionalFormatting>
  <conditionalFormatting sqref="B7:B47">
    <cfRule type="duplicateValues" dxfId="129"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00B050"/>
  </sheetPr>
  <dimension ref="A1:Y71"/>
  <sheetViews>
    <sheetView showGridLines="0" zoomScale="130" zoomScaleNormal="130" workbookViewId="0">
      <selection activeCell="Q8" sqref="Q8:Q34"/>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28</v>
      </c>
      <c r="I1" s="29"/>
      <c r="K1" s="135" t="s">
        <v>546</v>
      </c>
      <c r="L1" s="136"/>
      <c r="M1" s="124" t="s">
        <v>3</v>
      </c>
      <c r="N1" s="130" t="s">
        <v>1108</v>
      </c>
      <c r="O1" s="131"/>
      <c r="P1" s="128" t="s">
        <v>4</v>
      </c>
      <c r="Q1" s="129"/>
      <c r="R1" s="150" t="s">
        <v>1109</v>
      </c>
      <c r="S1" s="151"/>
      <c r="T1" s="151"/>
      <c r="U1" s="79"/>
      <c r="Y1" s="114"/>
    </row>
    <row r="2" spans="1:25" ht="12" customHeight="1" x14ac:dyDescent="0.2">
      <c r="A2" t="s">
        <v>3</v>
      </c>
      <c r="B2" s="23" t="str">
        <f>A7</f>
        <v>Sep 2024</v>
      </c>
      <c r="C2" s="4" t="s">
        <v>243</v>
      </c>
      <c r="G2" s="15" t="s">
        <v>253</v>
      </c>
      <c r="H2" s="24">
        <f ca="1">TODAY()</f>
        <v>45563</v>
      </c>
      <c r="I2" s="29"/>
      <c r="K2" s="137"/>
      <c r="L2" s="138"/>
      <c r="M2" s="125"/>
      <c r="N2" s="132"/>
      <c r="O2" s="133"/>
      <c r="P2" s="128"/>
      <c r="Q2" s="129"/>
      <c r="R2" s="150"/>
      <c r="S2" s="151"/>
      <c r="T2" s="151"/>
      <c r="U2" s="79"/>
      <c r="Y2" s="114"/>
    </row>
    <row r="3" spans="1:25" ht="12" customHeight="1" x14ac:dyDescent="0.2">
      <c r="A3" t="s">
        <v>229</v>
      </c>
      <c r="B3" s="44">
        <f ca="1">IF(C3="",ROUND(AVERAGE(omie!AC5:OFFSET(omie!AC5,MATCH(B4,omie_septiembre[fecha],0)-1,0)),2),C3)</f>
        <v>73.12</v>
      </c>
      <c r="C3" s="65"/>
      <c r="G3" s="114" t="s">
        <v>248</v>
      </c>
      <c r="H3" s="114"/>
      <c r="I3" s="29"/>
      <c r="K3" s="137"/>
      <c r="L3" s="138"/>
      <c r="M3" s="126" t="s">
        <v>13</v>
      </c>
      <c r="N3" s="134">
        <f>H1</f>
        <v>28</v>
      </c>
      <c r="O3" s="134"/>
      <c r="P3" s="127">
        <f ca="1">B3</f>
        <v>73.12</v>
      </c>
      <c r="Q3" s="127"/>
      <c r="R3" s="150"/>
      <c r="S3" s="151"/>
      <c r="T3" s="151"/>
      <c r="U3" s="79"/>
      <c r="Y3" s="114"/>
    </row>
    <row r="4" spans="1:25" ht="12" customHeight="1" x14ac:dyDescent="0.2">
      <c r="A4" t="s">
        <v>6</v>
      </c>
      <c r="B4" s="3">
        <f>DATE(2024,9,H1)</f>
        <v>45563</v>
      </c>
      <c r="G4" t="s">
        <v>247</v>
      </c>
      <c r="H4" s="67">
        <f>[1]omie_dinamic_dia!$G$2</f>
        <v>25</v>
      </c>
      <c r="I4" s="29"/>
      <c r="K4" s="137"/>
      <c r="L4" s="138"/>
      <c r="M4" s="126"/>
      <c r="N4" s="134"/>
      <c r="O4" s="134"/>
      <c r="P4" s="127"/>
      <c r="Q4" s="127"/>
      <c r="R4" s="150"/>
      <c r="S4" s="151"/>
      <c r="T4" s="151"/>
      <c r="U4" s="79"/>
      <c r="Y4" s="114"/>
    </row>
    <row r="5" spans="1:25" ht="12" customHeight="1" x14ac:dyDescent="0.2">
      <c r="A5" t="s">
        <v>15</v>
      </c>
      <c r="B5" s="3">
        <f>MAX(omie_septiembre[fecha])</f>
        <v>45563</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31.22</v>
      </c>
      <c r="G7" s="68">
        <f ca="1">ABS(apuestas_sep24[[#This Row],[desvio]])/$B$3</f>
        <v>0.42696936542669578</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31.22</v>
      </c>
      <c r="O7" s="13">
        <f ca="1">INDEX(apuestas_sep24[desvio %],MATCH(resultados_sep[[#This Row],[Apuesta MiniPorra]],apuestas_sep24[Apuesta Miniporra],0))</f>
        <v>0.42696936542669578</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25.379999999999995</v>
      </c>
      <c r="G8" s="68">
        <f ca="1">ABS(apuestas_sep24[[#This Row],[desvio]])/$B$3</f>
        <v>0.34710065645514215</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25.379999999999995</v>
      </c>
      <c r="O8" s="13">
        <f ca="1">INDEX(apuestas_sep24[desvio %],MATCH(resultados_sep[[#This Row],[Apuesta MiniPorra]],apuestas_sep24[Apuesta Miniporra],0))</f>
        <v>0.34710065645514215</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23.929999999999993</v>
      </c>
      <c r="G9" s="68">
        <f ca="1">ABS(apuestas_sep24[[#This Row],[desvio]])/$B$3</f>
        <v>0.32727024070021871</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23.929999999999993</v>
      </c>
      <c r="O9" s="13">
        <f ca="1">INDEX(apuestas_sep24[desvio %],MATCH(resultados_sep[[#This Row],[Apuesta MiniPorra]],apuestas_sep24[Apuesta Miniporra],0))</f>
        <v>0.32727024070021871</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22.42</v>
      </c>
      <c r="G10" s="68">
        <f ca="1">ABS(apuestas_sep24[[#This Row],[desvio]])/$B$3</f>
        <v>0.30661925601750545</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22.42</v>
      </c>
      <c r="O10" s="13">
        <f ca="1">INDEX(apuestas_sep24[desvio %],MATCH(resultados_sep[[#This Row],[Apuesta MiniPorra]],apuestas_sep24[Apuesta Miniporra],0))</f>
        <v>0.30661925601750545</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22.099999999999994</v>
      </c>
      <c r="G11" s="68">
        <f ca="1">ABS(apuestas_sep24[[#This Row],[desvio]])/$B$3</f>
        <v>0.3022428884026257</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22.099999999999994</v>
      </c>
      <c r="O11" s="13">
        <f ca="1">INDEX(apuestas_sep24[desvio %],MATCH(resultados_sep[[#This Row],[Apuesta MiniPorra]],apuestas_sep24[Apuesta Miniporra],0))</f>
        <v>0.3022428884026257</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21.67</v>
      </c>
      <c r="G12" s="68">
        <f ca="1">ABS(apuestas_sep24[[#This Row],[desvio]])/$B$3</f>
        <v>0.29636214442013131</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21.67</v>
      </c>
      <c r="O12" s="13">
        <f ca="1">INDEX(apuestas_sep24[desvio %],MATCH(resultados_sep[[#This Row],[Apuesta MiniPorra]],apuestas_sep24[Apuesta Miniporra],0))</f>
        <v>0.29636214442013131</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21.179999999999993</v>
      </c>
      <c r="G13" s="68">
        <f ca="1">ABS(apuestas_sep24[[#This Row],[desvio]])/$B$3</f>
        <v>0.28966083150984673</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21.179999999999993</v>
      </c>
      <c r="O13" s="13">
        <f ca="1">INDEX(apuestas_sep24[desvio %],MATCH(resultados_sep[[#This Row],[Apuesta MiniPorra]],apuestas_sep24[Apuesta Miniporra],0))</f>
        <v>0.28966083150984673</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20.769999999999996</v>
      </c>
      <c r="G14" s="68">
        <f ca="1">ABS(apuestas_sep24[[#This Row],[desvio]])/$B$3</f>
        <v>0.28405361050328221</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20.769999999999996</v>
      </c>
      <c r="O14" s="13">
        <f ca="1">INDEX(apuestas_sep24[desvio %],MATCH(resultados_sep[[#This Row],[Apuesta MiniPorra]],apuestas_sep24[Apuesta Miniporra],0))</f>
        <v>0.28405361050328221</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20.53</v>
      </c>
      <c r="G15" s="68">
        <f ca="1">ABS(apuestas_sep24[[#This Row],[desvio]])/$B$3</f>
        <v>0.28077133479212252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20.53</v>
      </c>
      <c r="O15" s="13">
        <f ca="1">INDEX(apuestas_sep24[desvio %],MATCH(resultados_sep[[#This Row],[Apuesta MiniPorra]],apuestas_sep24[Apuesta Miniporra],0))</f>
        <v>0.28077133479212252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19.75</v>
      </c>
      <c r="G16" s="68">
        <f ca="1">ABS(apuestas_sep24[[#This Row],[desvio]])/$B$3</f>
        <v>0.27010393873085337</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19.75</v>
      </c>
      <c r="O16" s="13">
        <f ca="1">INDEX(apuestas_sep24[desvio %],MATCH(resultados_sep[[#This Row],[Apuesta MiniPorra]],apuestas_sep24[Apuesta Miniporra],0))</f>
        <v>0.27010393873085337</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19.679999999999993</v>
      </c>
      <c r="G17" s="68">
        <f ca="1">ABS(apuestas_sep24[[#This Row],[desvio]])/$B$3</f>
        <v>0.26914660831509835</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19.679999999999993</v>
      </c>
      <c r="O17" s="13">
        <f ca="1">INDEX(apuestas_sep24[desvio %],MATCH(resultados_sep[[#This Row],[Apuesta MiniPorra]],apuestas_sep24[Apuesta Miniporra],0))</f>
        <v>0.26914660831509835</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18.739999999999995</v>
      </c>
      <c r="G18" s="68">
        <f ca="1">ABS(apuestas_sep24[[#This Row],[desvio]])/$B$3</f>
        <v>0.2562910284463894</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18.739999999999995</v>
      </c>
      <c r="O18" s="13">
        <f ca="1">INDEX(apuestas_sep24[desvio %],MATCH(resultados_sep[[#This Row],[Apuesta MiniPorra]],apuestas_sep24[Apuesta Miniporra],0))</f>
        <v>0.2562910284463894</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18.649999999999991</v>
      </c>
      <c r="G19" s="68">
        <f ca="1">ABS(apuestas_sep24[[#This Row],[desvio]])/$B$3</f>
        <v>0.25506017505470446</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18.649999999999991</v>
      </c>
      <c r="O19" s="13">
        <f ca="1">INDEX(apuestas_sep24[desvio %],MATCH(resultados_sep[[#This Row],[Apuesta MiniPorra]],apuestas_sep24[Apuesta Miniporra],0))</f>
        <v>0.25506017505470446</v>
      </c>
      <c r="P19" s="4">
        <v>13</v>
      </c>
      <c r="Q19" s="28">
        <f>IF(ISBLANK(omie!AB17),"",omie!AC17)</f>
        <v>47.1</v>
      </c>
      <c r="R19" s="71"/>
      <c r="S19" s="71"/>
      <c r="T19" s="28"/>
      <c r="U19"/>
    </row>
    <row r="20" spans="1:23" x14ac:dyDescent="0.2">
      <c r="A20" t="s">
        <v>1039</v>
      </c>
      <c r="B20" t="s">
        <v>1104</v>
      </c>
      <c r="C20" s="28">
        <v>91.26</v>
      </c>
      <c r="D20" t="s">
        <v>118</v>
      </c>
      <c r="E20" t="s">
        <v>1075</v>
      </c>
      <c r="F20" s="28">
        <f ca="1">apuestas_sep24[[#This Row],[Apuesta Miniporra]]-$B$3</f>
        <v>18.14</v>
      </c>
      <c r="G20" s="68">
        <f ca="1">ABS(apuestas_sep24[[#This Row],[desvio]])/$B$3</f>
        <v>0.24808533916849015</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18.14</v>
      </c>
      <c r="O20" s="13">
        <f ca="1">INDEX(apuestas_sep24[desvio %],MATCH(resultados_sep[[#This Row],[Apuesta MiniPorra]],apuestas_sep24[Apuesta Miniporra],0))</f>
        <v>0.24808533916849015</v>
      </c>
      <c r="P20" s="4">
        <v>14</v>
      </c>
      <c r="Q20" s="28">
        <f>IF(ISBLANK(omie!AB18),"",omie!AC18)</f>
        <v>45.61</v>
      </c>
      <c r="T20" s="28"/>
      <c r="U20" s="114"/>
      <c r="V20" s="114"/>
      <c r="W20" s="114"/>
    </row>
    <row r="21" spans="1:23" x14ac:dyDescent="0.2">
      <c r="A21" t="s">
        <v>1039</v>
      </c>
      <c r="B21" t="s">
        <v>219</v>
      </c>
      <c r="C21" s="28">
        <v>91.11</v>
      </c>
      <c r="D21" t="s">
        <v>118</v>
      </c>
      <c r="E21" t="s">
        <v>451</v>
      </c>
      <c r="F21" s="28">
        <f ca="1">apuestas_sep24[[#This Row],[Apuesta Miniporra]]-$B$3</f>
        <v>17.989999999999995</v>
      </c>
      <c r="G21" s="68">
        <f ca="1">ABS(apuestas_sep24[[#This Row],[desvio]])/$B$3</f>
        <v>0.24603391684901524</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17.989999999999995</v>
      </c>
      <c r="O21" s="13">
        <f ca="1">INDEX(apuestas_sep24[desvio %],MATCH(resultados_sep[[#This Row],[Apuesta MiniPorra]],apuestas_sep24[Apuesta Miniporra],0))</f>
        <v>0.24603391684901524</v>
      </c>
      <c r="P21" s="4">
        <v>15</v>
      </c>
      <c r="Q21" s="28">
        <f>IF(ISBLANK(omie!AB19),"",omie!AC19)</f>
        <v>32.520000000000003</v>
      </c>
      <c r="T21" s="28"/>
      <c r="U21" s="114"/>
      <c r="V21" s="114"/>
      <c r="W21" s="114"/>
    </row>
    <row r="22" spans="1:23" x14ac:dyDescent="0.2">
      <c r="A22" t="s">
        <v>1039</v>
      </c>
      <c r="B22" t="s">
        <v>215</v>
      </c>
      <c r="C22" s="28">
        <v>90.9</v>
      </c>
      <c r="D22" t="s">
        <v>118</v>
      </c>
      <c r="E22" t="s">
        <v>103</v>
      </c>
      <c r="F22" s="28">
        <f ca="1">apuestas_sep24[[#This Row],[Apuesta Miniporra]]-$B$3</f>
        <v>17.78</v>
      </c>
      <c r="G22" s="68">
        <f ca="1">ABS(apuestas_sep24[[#This Row],[desvio]])/$B$3</f>
        <v>0.24316192560175054</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17.78</v>
      </c>
      <c r="O22" s="13">
        <f ca="1">INDEX(apuestas_sep24[desvio %],MATCH(resultados_sep[[#This Row],[Apuesta MiniPorra]],apuestas_sep24[Apuesta Miniporra],0))</f>
        <v>0.24316192560175054</v>
      </c>
      <c r="P22" s="4">
        <v>16</v>
      </c>
      <c r="Q22" s="28">
        <f>IF(ISBLANK(omie!AB20),"",omie!AC20)</f>
        <v>27.19</v>
      </c>
      <c r="T22" s="28"/>
      <c r="U22" s="114"/>
      <c r="V22" s="114"/>
      <c r="W22" s="114"/>
    </row>
    <row r="23" spans="1:23" x14ac:dyDescent="0.2">
      <c r="A23" t="s">
        <v>1039</v>
      </c>
      <c r="B23" t="s">
        <v>942</v>
      </c>
      <c r="C23" s="28">
        <v>90.66</v>
      </c>
      <c r="D23" t="s">
        <v>118</v>
      </c>
      <c r="E23" t="s">
        <v>901</v>
      </c>
      <c r="F23" s="28">
        <f ca="1">apuestas_sep24[[#This Row],[Apuesta Miniporra]]-$B$3</f>
        <v>17.539999999999992</v>
      </c>
      <c r="G23" s="68">
        <f ca="1">ABS(apuestas_sep24[[#This Row],[desvio]])/$B$3</f>
        <v>0.23987964989059068</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17.539999999999992</v>
      </c>
      <c r="O23" s="13">
        <f ca="1">INDEX(apuestas_sep24[desvio %],MATCH(resultados_sep[[#This Row],[Apuesta MiniPorra]],apuestas_sep24[Apuesta Miniporra],0))</f>
        <v>0.23987964989059068</v>
      </c>
      <c r="P23" s="4">
        <v>17</v>
      </c>
      <c r="Q23" s="28">
        <f>IF(ISBLANK(omie!AB21),"",omie!AC21)</f>
        <v>25.7</v>
      </c>
      <c r="T23" s="28"/>
      <c r="U23"/>
    </row>
    <row r="24" spans="1:23" x14ac:dyDescent="0.2">
      <c r="A24" t="s">
        <v>1039</v>
      </c>
      <c r="B24" t="s">
        <v>381</v>
      </c>
      <c r="C24" s="28">
        <v>89.93</v>
      </c>
      <c r="D24" t="s">
        <v>1062</v>
      </c>
      <c r="E24" t="s">
        <v>37</v>
      </c>
      <c r="F24" s="28">
        <f ca="1">apuestas_sep24[[#This Row],[Apuesta Miniporra]]-$B$3</f>
        <v>16.810000000000002</v>
      </c>
      <c r="G24" s="68">
        <f ca="1">ABS(apuestas_sep24[[#This Row],[desvio]])/$B$3</f>
        <v>0.22989606126914663</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16.810000000000002</v>
      </c>
      <c r="O24" s="13">
        <f ca="1">INDEX(apuestas_sep24[desvio %],MATCH(resultados_sep[[#This Row],[Apuesta MiniPorra]],apuestas_sep24[Apuesta Miniporra],0))</f>
        <v>0.22989606126914663</v>
      </c>
      <c r="P24" s="4">
        <v>18</v>
      </c>
      <c r="Q24" s="28">
        <f>IF(ISBLANK(omie!AB22),"",omie!AC22)</f>
        <v>90.92</v>
      </c>
      <c r="T24" s="28"/>
      <c r="U24"/>
    </row>
    <row r="25" spans="1:23" x14ac:dyDescent="0.2">
      <c r="A25" t="s">
        <v>1039</v>
      </c>
      <c r="B25" t="s">
        <v>1105</v>
      </c>
      <c r="C25" s="28">
        <v>89.4</v>
      </c>
      <c r="D25" t="s">
        <v>118</v>
      </c>
      <c r="E25" t="s">
        <v>1041</v>
      </c>
      <c r="F25" s="28">
        <f ca="1">apuestas_sep24[[#This Row],[Apuesta Miniporra]]-$B$3</f>
        <v>16.28</v>
      </c>
      <c r="G25" s="68">
        <f ca="1">ABS(apuestas_sep24[[#This Row],[desvio]])/$B$3</f>
        <v>0.22264770240700218</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16.28</v>
      </c>
      <c r="O25" s="13">
        <f ca="1">INDEX(apuestas_sep24[desvio %],MATCH(resultados_sep[[#This Row],[Apuesta MiniPorra]],apuestas_sep24[Apuesta Miniporra],0))</f>
        <v>0.22264770240700218</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16.11</v>
      </c>
      <c r="G26" s="68">
        <f ca="1">ABS(apuestas_sep24[[#This Row],[desvio]])/$B$3</f>
        <v>0.22032275711159735</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16.11</v>
      </c>
      <c r="O26" s="13">
        <f ca="1">INDEX(apuestas_sep24[desvio %],MATCH(resultados_sep[[#This Row],[Apuesta MiniPorra]],apuestas_sep24[Apuesta Miniporra],0))</f>
        <v>0.22032275711159735</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15.759999999999991</v>
      </c>
      <c r="G27" s="68">
        <f ca="1">ABS(apuestas_sep24[[#This Row],[desvio]])/$B$3</f>
        <v>0.21553610503282261</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15.759999999999991</v>
      </c>
      <c r="O27" s="13">
        <f ca="1">INDEX(apuestas_sep24[desvio %],MATCH(resultados_sep[[#This Row],[Apuesta MiniPorra]],apuestas_sep24[Apuesta Miniporra],0))</f>
        <v>0.21553610503282261</v>
      </c>
      <c r="P27" s="4">
        <v>21</v>
      </c>
      <c r="Q27" s="28">
        <f>IF(ISBLANK(omie!AB25),"",omie!AC25)</f>
        <v>85.39</v>
      </c>
      <c r="T27" s="28"/>
      <c r="U27"/>
    </row>
    <row r="28" spans="1:23" x14ac:dyDescent="0.2">
      <c r="A28" t="s">
        <v>1039</v>
      </c>
      <c r="B28" t="s">
        <v>328</v>
      </c>
      <c r="C28" s="28">
        <v>88.05</v>
      </c>
      <c r="D28" t="s">
        <v>118</v>
      </c>
      <c r="E28" t="s">
        <v>328</v>
      </c>
      <c r="F28" s="28">
        <f ca="1">apuestas_sep24[[#This Row],[Apuesta Miniporra]]-$B$3</f>
        <v>14.929999999999993</v>
      </c>
      <c r="G28" s="68">
        <f ca="1">ABS(apuestas_sep24[[#This Row],[desvio]])/$B$3</f>
        <v>0.20418490153172855</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14.929999999999993</v>
      </c>
      <c r="O28" s="13">
        <f ca="1">INDEX(apuestas_sep24[desvio %],MATCH(resultados_sep[[#This Row],[Apuesta MiniPorra]],apuestas_sep24[Apuesta Miniporra],0))</f>
        <v>0.20418490153172855</v>
      </c>
      <c r="P28" s="4">
        <v>22</v>
      </c>
      <c r="Q28" s="28">
        <f>IF(ISBLANK(omie!AB26),"",omie!AC26)</f>
        <v>69.91</v>
      </c>
      <c r="T28" s="28"/>
      <c r="U28"/>
    </row>
    <row r="29" spans="1:23" x14ac:dyDescent="0.2">
      <c r="A29" t="s">
        <v>1039</v>
      </c>
      <c r="B29" t="s">
        <v>406</v>
      </c>
      <c r="C29" s="28">
        <v>88</v>
      </c>
      <c r="D29" t="s">
        <v>118</v>
      </c>
      <c r="E29" t="s">
        <v>271</v>
      </c>
      <c r="F29" s="28">
        <f ca="1">apuestas_sep24[[#This Row],[Apuesta Miniporra]]-$B$3</f>
        <v>14.879999999999995</v>
      </c>
      <c r="G29" s="68">
        <f ca="1">ABS(apuestas_sep24[[#This Row],[desvio]])/$B$3</f>
        <v>0.20350109409190364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14.879999999999995</v>
      </c>
      <c r="O29" s="13">
        <f ca="1">INDEX(apuestas_sep24[desvio %],MATCH(resultados_sep[[#This Row],[Apuesta MiniPorra]],apuestas_sep24[Apuesta Miniporra],0))</f>
        <v>0.20350109409190364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14.47999999999999</v>
      </c>
      <c r="G30" s="68">
        <f ca="1">ABS(apuestas_sep24[[#This Row],[desvio]])/$B$3</f>
        <v>0.198030634573304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14.47999999999999</v>
      </c>
      <c r="O30" s="13">
        <f ca="1">INDEX(apuestas_sep24[desvio %],MATCH(resultados_sep[[#This Row],[Apuesta MiniPorra]],apuestas_sep24[Apuesta Miniporra],0))</f>
        <v>0.198030634573304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14.280000000000001</v>
      </c>
      <c r="G31" s="68">
        <f ca="1">ABS(apuestas_sep24[[#This Row],[desvio]])/$B$3</f>
        <v>0.19529540481400437</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14.280000000000001</v>
      </c>
      <c r="O31" s="13">
        <f ca="1">INDEX(apuestas_sep24[desvio %],MATCH(resultados_sep[[#This Row],[Apuesta MiniPorra]],apuestas_sep24[Apuesta Miniporra],0))</f>
        <v>0.19529540481400437</v>
      </c>
      <c r="P31" s="4">
        <v>25</v>
      </c>
      <c r="Q31" s="28">
        <f>IF(ISBLANK(omie!AB29),"",omie!AC29)</f>
        <v>57.22</v>
      </c>
      <c r="T31" s="28"/>
      <c r="U31"/>
    </row>
    <row r="32" spans="1:23" x14ac:dyDescent="0.2">
      <c r="A32" t="s">
        <v>1039</v>
      </c>
      <c r="B32" t="s">
        <v>413</v>
      </c>
      <c r="C32" s="28">
        <v>86.86</v>
      </c>
      <c r="D32" t="s">
        <v>118</v>
      </c>
      <c r="E32" t="s">
        <v>317</v>
      </c>
      <c r="F32" s="28">
        <f ca="1">apuestas_sep24[[#This Row],[Apuesta Miniporra]]-$B$3</f>
        <v>13.739999999999995</v>
      </c>
      <c r="G32" s="68">
        <f ca="1">ABS(apuestas_sep24[[#This Row],[desvio]])/$B$3</f>
        <v>0.18791028446389488</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13.739999999999995</v>
      </c>
      <c r="O32" s="13">
        <f ca="1">INDEX(apuestas_sep24[desvio %],MATCH(resultados_sep[[#This Row],[Apuesta MiniPorra]],apuestas_sep24[Apuesta Miniporra],0))</f>
        <v>0.18791028446389488</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13.319999999999993</v>
      </c>
      <c r="G33" s="68">
        <f ca="1">ABS(apuestas_sep24[[#This Row],[desvio]])/$B$3</f>
        <v>0.18216630196936531</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13.319999999999993</v>
      </c>
      <c r="O33" s="13">
        <f ca="1">INDEX(apuestas_sep24[desvio %],MATCH(resultados_sep[[#This Row],[Apuesta MiniPorra]],apuestas_sep24[Apuesta Miniporra],0))</f>
        <v>0.18216630196936531</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12.86</v>
      </c>
      <c r="G34" s="68">
        <f ca="1">ABS(apuestas_sep24[[#This Row],[desvio]])/$B$3</f>
        <v>0.17587527352297591</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12.86</v>
      </c>
      <c r="O34" s="13">
        <f ca="1">INDEX(apuestas_sep24[desvio %],MATCH(resultados_sep[[#This Row],[Apuesta MiniPorra]],apuestas_sep24[Apuesta Miniporra],0))</f>
        <v>0.17587527352297591</v>
      </c>
      <c r="P34" s="4">
        <v>28</v>
      </c>
      <c r="Q34" s="28">
        <f>IF(ISBLANK(omie!AB32),"",omie!AC32)</f>
        <v>46.81</v>
      </c>
      <c r="T34" s="28"/>
      <c r="U34"/>
    </row>
    <row r="35" spans="1:21" x14ac:dyDescent="0.2">
      <c r="A35" t="s">
        <v>1039</v>
      </c>
      <c r="B35" t="s">
        <v>403</v>
      </c>
      <c r="C35" s="28">
        <v>85.5</v>
      </c>
      <c r="D35" t="s">
        <v>1059</v>
      </c>
      <c r="E35" t="s">
        <v>67</v>
      </c>
      <c r="F35" s="28">
        <f ca="1">apuestas_sep24[[#This Row],[Apuesta Miniporra]]-$B$3</f>
        <v>12.379999999999995</v>
      </c>
      <c r="G35" s="68">
        <f ca="1">ABS(apuestas_sep24[[#This Row],[desvio]])/$B$3</f>
        <v>0.16931072210065637</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12.379999999999995</v>
      </c>
      <c r="O35" s="13">
        <f ca="1">INDEX(apuestas_sep24[desvio %],MATCH(resultados_sep[[#This Row],[Apuesta MiniPorra]],apuestas_sep24[Apuesta Miniporra],0))</f>
        <v>0.16931072210065637</v>
      </c>
      <c r="P35" s="4">
        <v>29</v>
      </c>
      <c r="Q35" s="28" t="str">
        <f>IF(ISBLANK(omie!AB35),"",omie!AC35)</f>
        <v/>
      </c>
      <c r="T35" s="28"/>
      <c r="U35"/>
    </row>
    <row r="36" spans="1:21" x14ac:dyDescent="0.2">
      <c r="A36" t="s">
        <v>1039</v>
      </c>
      <c r="B36" t="s">
        <v>1107</v>
      </c>
      <c r="C36" s="28">
        <v>85.23</v>
      </c>
      <c r="D36" t="s">
        <v>1086</v>
      </c>
      <c r="E36" t="s">
        <v>1087</v>
      </c>
      <c r="F36" s="28">
        <f ca="1">apuestas_sep24[[#This Row],[Apuesta Miniporra]]-$B$3</f>
        <v>12.11</v>
      </c>
      <c r="G36" s="68">
        <f ca="1">ABS(apuestas_sep24[[#This Row],[desvio]])/$B$3</f>
        <v>0.16561816192560172</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12.11</v>
      </c>
      <c r="O36" s="13">
        <f ca="1">INDEX(apuestas_sep24[desvio %],MATCH(resultados_sep[[#This Row],[Apuesta MiniPorra]],apuestas_sep24[Apuesta Miniporra],0))</f>
        <v>0.16561816192560172</v>
      </c>
      <c r="P36" s="4">
        <v>30</v>
      </c>
      <c r="Q36" s="28" t="str">
        <f>IF(ISBLANK(omie!AB36),"",omie!AC36)</f>
        <v/>
      </c>
      <c r="T36"/>
      <c r="U36"/>
    </row>
    <row r="37" spans="1:21" x14ac:dyDescent="0.2">
      <c r="A37" t="s">
        <v>1039</v>
      </c>
      <c r="B37" t="s">
        <v>336</v>
      </c>
      <c r="C37" s="28">
        <v>84.9</v>
      </c>
      <c r="D37" t="s">
        <v>1044</v>
      </c>
      <c r="E37" t="s">
        <v>2</v>
      </c>
      <c r="F37" s="28">
        <f ca="1">apuestas_sep24[[#This Row],[Apuesta Miniporra]]-$B$3</f>
        <v>11.780000000000001</v>
      </c>
      <c r="G37" s="68">
        <f ca="1">ABS(apuestas_sep24[[#This Row],[desvio]])/$B$3</f>
        <v>0.16110503282275712</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11.780000000000001</v>
      </c>
      <c r="O37" s="13">
        <f ca="1">INDEX(apuestas_sep24[desvio %],MATCH(resultados_sep[[#This Row],[Apuesta MiniPorra]],apuestas_sep24[Apuesta Miniporra],0))</f>
        <v>0.16110503282275712</v>
      </c>
      <c r="P37" s="4">
        <v>31</v>
      </c>
      <c r="Q37" s="28" t="str">
        <f>IF(ISBLANK(omie!AB62),"",omie!AC62)</f>
        <v/>
      </c>
      <c r="T37"/>
      <c r="U37"/>
    </row>
    <row r="38" spans="1:21" x14ac:dyDescent="0.2">
      <c r="A38" t="s">
        <v>1039</v>
      </c>
      <c r="B38" t="s">
        <v>652</v>
      </c>
      <c r="C38" s="28">
        <v>82.44</v>
      </c>
      <c r="D38" t="s">
        <v>118</v>
      </c>
      <c r="E38" t="s">
        <v>637</v>
      </c>
      <c r="F38" s="28">
        <f ca="1">apuestas_sep24[[#This Row],[Apuesta Miniporra]]-$B$3</f>
        <v>9.3199999999999932</v>
      </c>
      <c r="G38" s="68">
        <f ca="1">ABS(apuestas_sep24[[#This Row],[desvio]])/$B$3</f>
        <v>0.12746170678336971</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9.3199999999999932</v>
      </c>
      <c r="O38" s="13">
        <f ca="1">INDEX(apuestas_sep24[desvio %],MATCH(resultados_sep[[#This Row],[Apuesta MiniPorra]],apuestas_sep24[Apuesta Miniporra],0))</f>
        <v>0.12746170678336971</v>
      </c>
      <c r="Q38" s="78"/>
      <c r="U38" s="42"/>
    </row>
    <row r="39" spans="1:21" x14ac:dyDescent="0.2">
      <c r="A39" t="s">
        <v>1039</v>
      </c>
      <c r="B39" t="s">
        <v>786</v>
      </c>
      <c r="C39" s="28">
        <v>81.73</v>
      </c>
      <c r="D39" t="s">
        <v>1091</v>
      </c>
      <c r="E39" t="s">
        <v>1092</v>
      </c>
      <c r="F39" s="28">
        <f ca="1">apuestas_sep24[[#This Row],[Apuesta Miniporra]]-$B$3</f>
        <v>8.61</v>
      </c>
      <c r="G39" s="68">
        <f ca="1">ABS(apuestas_sep24[[#This Row],[desvio]])/$B$3</f>
        <v>0.11775164113785556</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8.61</v>
      </c>
      <c r="O39" s="13">
        <f ca="1">INDEX(apuestas_sep24[desvio %],MATCH(resultados_sep[[#This Row],[Apuesta MiniPorra]],apuestas_sep24[Apuesta Miniporra],0))</f>
        <v>0.11775164113785556</v>
      </c>
      <c r="P39" s="78"/>
      <c r="Q39" s="78"/>
      <c r="U39" s="42"/>
    </row>
    <row r="40" spans="1:21" x14ac:dyDescent="0.2">
      <c r="A40" t="s">
        <v>1039</v>
      </c>
      <c r="B40" t="s">
        <v>784</v>
      </c>
      <c r="C40" s="28">
        <v>81.459999999999994</v>
      </c>
      <c r="D40" t="s">
        <v>1069</v>
      </c>
      <c r="E40" t="s">
        <v>727</v>
      </c>
      <c r="F40" s="28">
        <f ca="1">apuestas_sep24[[#This Row],[Apuesta Miniporra]]-$B$3</f>
        <v>8.3399999999999892</v>
      </c>
      <c r="G40" s="68">
        <f ca="1">ABS(apuestas_sep24[[#This Row],[desvio]])/$B$3</f>
        <v>0.11405908096280072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8.3399999999999892</v>
      </c>
      <c r="O40" s="13">
        <f ca="1">INDEX(apuestas_sep24[desvio %],MATCH(resultados_sep[[#This Row],[Apuesta MiniPorra]],apuestas_sep24[Apuesta Miniporra],0))</f>
        <v>0.11405908096280072</v>
      </c>
      <c r="P40" s="78"/>
      <c r="Q40" s="78"/>
      <c r="U40" s="42"/>
    </row>
    <row r="41" spans="1:21" x14ac:dyDescent="0.2">
      <c r="A41" t="s">
        <v>1039</v>
      </c>
      <c r="B41" t="s">
        <v>292</v>
      </c>
      <c r="C41" s="28">
        <v>79.89</v>
      </c>
      <c r="D41" t="s">
        <v>118</v>
      </c>
      <c r="E41" t="s">
        <v>531</v>
      </c>
      <c r="F41" s="28">
        <f ca="1">apuestas_sep24[[#This Row],[Apuesta Miniporra]]-$B$3</f>
        <v>6.769999999999996</v>
      </c>
      <c r="G41" s="68">
        <f ca="1">ABS(apuestas_sep24[[#This Row],[desvio]])/$B$3</f>
        <v>9.2587527352297527E-2</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6.769999999999996</v>
      </c>
      <c r="O41" s="13">
        <f ca="1">INDEX(apuestas_sep24[desvio %],MATCH(resultados_sep[[#This Row],[Apuesta MiniPorra]],apuestas_sep24[Apuesta Miniporra],0))</f>
        <v>9.2587527352297527E-2</v>
      </c>
      <c r="P41" s="78"/>
      <c r="Q41" s="78"/>
      <c r="U41" s="42"/>
    </row>
    <row r="42" spans="1:21" x14ac:dyDescent="0.2">
      <c r="A42" t="s">
        <v>1039</v>
      </c>
      <c r="B42" t="s">
        <v>217</v>
      </c>
      <c r="C42" s="28">
        <v>77.77</v>
      </c>
      <c r="D42" t="s">
        <v>118</v>
      </c>
      <c r="E42" t="s">
        <v>123</v>
      </c>
      <c r="F42" s="28">
        <f ca="1">apuestas_sep24[[#This Row],[Apuesta Miniporra]]-$B$3</f>
        <v>4.6499999999999915</v>
      </c>
      <c r="G42" s="68">
        <f ca="1">ABS(apuestas_sep24[[#This Row],[desvio]])/$B$3</f>
        <v>6.3594091903719799E-2</v>
      </c>
      <c r="H42" s="4">
        <f ca="1">_xlfn.RANK.EQ(apuestas_sep24[[#This Row],[desvio %]],apuestas_sep24[desvio %],1)</f>
        <v>2</v>
      </c>
      <c r="J42" s="66" t="s">
        <v>1039</v>
      </c>
      <c r="K42" s="4">
        <f ca="1">INDEX(apuestas_sep24[orden],MATCH(resultados_sep[Apuesta MiniPorra],apuestas_sep24[Apuesta Miniporra],0))</f>
        <v>2</v>
      </c>
      <c r="L42" t="str">
        <f>apuestas_sep24[[#This Row],[Nombre]]</f>
        <v>Fernando Sánchez-Rey Maeso</v>
      </c>
      <c r="M42" s="28">
        <f>apuestas_sep24[[#This Row],[Apuesta Miniporra]]</f>
        <v>77.77</v>
      </c>
      <c r="N42" s="4">
        <f ca="1">INDEX(apuestas_sep24[desvio],MATCH(resultados_sep[[#This Row],[Apuesta MiniPorra]],apuestas_sep24[Apuesta Miniporra],0))</f>
        <v>4.6499999999999915</v>
      </c>
      <c r="O42" s="13">
        <f ca="1">INDEX(apuestas_sep24[desvio %],MATCH(resultados_sep[[#This Row],[Apuesta MiniPorra]],apuestas_sep24[Apuesta Miniporra],0))</f>
        <v>6.3594091903719799E-2</v>
      </c>
      <c r="P42" s="78"/>
      <c r="Q42" s="78"/>
      <c r="U42" s="42"/>
    </row>
    <row r="43" spans="1:21" x14ac:dyDescent="0.2">
      <c r="A43" t="s">
        <v>1039</v>
      </c>
      <c r="B43" t="s">
        <v>409</v>
      </c>
      <c r="C43" s="28">
        <v>73.55</v>
      </c>
      <c r="D43" t="s">
        <v>1100</v>
      </c>
      <c r="E43" t="s">
        <v>462</v>
      </c>
      <c r="F43" s="28">
        <f ca="1">apuestas_sep24[[#This Row],[Apuesta Miniporra]]-$B$3</f>
        <v>0.42999999999999261</v>
      </c>
      <c r="G43" s="68">
        <f ca="1">ABS(apuestas_sep24[[#This Row],[desvio]])/$B$3</f>
        <v>5.8807439824944277E-3</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0.42999999999999261</v>
      </c>
      <c r="O43" s="13">
        <f ca="1">INDEX(apuestas_sep24[desvio %],MATCH(resultados_sep[[#This Row],[Apuesta MiniPorra]],apuestas_sep24[Apuesta Miniporra],0))</f>
        <v>5.8807439824944277E-3</v>
      </c>
      <c r="P43" s="78"/>
      <c r="Q43" s="78"/>
      <c r="U43" s="42"/>
    </row>
    <row r="44" spans="1:21" x14ac:dyDescent="0.2">
      <c r="A44" t="s">
        <v>1039</v>
      </c>
      <c r="B44" t="s">
        <v>803</v>
      </c>
      <c r="C44" s="28">
        <v>68.239999999999995</v>
      </c>
      <c r="D44" t="s">
        <v>1053</v>
      </c>
      <c r="E44" t="s">
        <v>860</v>
      </c>
      <c r="F44" s="28">
        <f ca="1">apuestas_sep24[[#This Row],[Apuesta Miniporra]]-$B$3</f>
        <v>-4.8800000000000097</v>
      </c>
      <c r="G44" s="68">
        <f ca="1">ABS(apuestas_sep24[[#This Row],[desvio]])/$B$3</f>
        <v>6.6739606126914791E-2</v>
      </c>
      <c r="H44" s="4">
        <f ca="1">_xlfn.RANK.EQ(apuestas_sep24[[#This Row],[desvio %]],apuestas_sep24[desvio %],1)</f>
        <v>3</v>
      </c>
      <c r="J44" s="66" t="s">
        <v>1039</v>
      </c>
      <c r="K44" s="4">
        <f ca="1">INDEX(apuestas_sep24[orden],MATCH(resultados_sep[Apuesta MiniPorra],apuestas_sep24[Apuesta Miniporra],0))</f>
        <v>3</v>
      </c>
      <c r="L44" t="str">
        <f>apuestas_sep24[[#This Row],[Nombre]]</f>
        <v>Jorge González Arconada</v>
      </c>
      <c r="M44" s="28">
        <f>apuestas_sep24[[#This Row],[Apuesta Miniporra]]</f>
        <v>68.239999999999995</v>
      </c>
      <c r="N44" s="4">
        <f ca="1">INDEX(apuestas_sep24[desvio],MATCH(resultados_sep[[#This Row],[Apuesta MiniPorra]],apuestas_sep24[Apuesta Miniporra],0))</f>
        <v>-4.8800000000000097</v>
      </c>
      <c r="O44" s="13">
        <f ca="1">INDEX(apuestas_sep24[desvio %],MATCH(resultados_sep[[#This Row],[Apuesta MiniPorra]],apuestas_sep24[Apuesta Miniporra],0))</f>
        <v>6.6739606126914791E-2</v>
      </c>
      <c r="P44" s="78"/>
      <c r="Q44" s="78"/>
      <c r="U44" s="42"/>
    </row>
    <row r="45" spans="1:21" x14ac:dyDescent="0.2">
      <c r="A45" t="s">
        <v>1039</v>
      </c>
      <c r="B45" t="s">
        <v>9</v>
      </c>
      <c r="C45" s="28">
        <v>65</v>
      </c>
      <c r="D45" t="s">
        <v>1079</v>
      </c>
      <c r="E45" t="s">
        <v>561</v>
      </c>
      <c r="F45" s="28">
        <f ca="1">apuestas_sep24[[#This Row],[Apuesta Miniporra]]-$B$3</f>
        <v>-8.1200000000000045</v>
      </c>
      <c r="G45" s="68">
        <f ca="1">ABS(apuestas_sep24[[#This Row],[desvio]])/$B$3</f>
        <v>0.11105032822757117</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-8.1200000000000045</v>
      </c>
      <c r="O45" s="13">
        <f ca="1">INDEX(apuestas_sep24[desvio %],MATCH(resultados_sep[[#This Row],[Apuesta MiniPorra]],apuestas_sep24[Apuesta Miniporra],0))</f>
        <v>0.11105032822757117</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114" priority="1">
      <formula>$K7=3</formula>
    </cfRule>
    <cfRule type="expression" dxfId="113" priority="2">
      <formula>$K7=2</formula>
    </cfRule>
    <cfRule type="expression" dxfId="112" priority="3">
      <formula>$K7=1</formula>
    </cfRule>
  </conditionalFormatting>
  <conditionalFormatting sqref="R8:S10 R17:S20 R25:S26 R13:S13">
    <cfRule type="expression" dxfId="111" priority="4">
      <formula>$K38=1</formula>
    </cfRule>
  </conditionalFormatting>
  <conditionalFormatting sqref="P39:Q54 Q38 P58:Q60">
    <cfRule type="expression" dxfId="110" priority="5">
      <formula>$K34=3</formula>
    </cfRule>
    <cfRule type="expression" dxfId="109" priority="6">
      <formula>$K34=2</formula>
    </cfRule>
    <cfRule type="expression" dxfId="108"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107" priority="95"/>
  </conditionalFormatting>
  <conditionalFormatting sqref="B7:B45">
    <cfRule type="duplicateValues" dxfId="106"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S41" sqref="S41"/>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3" t="s">
        <v>675</v>
      </c>
      <c r="L2" s="113"/>
      <c r="M2" s="2" t="s">
        <v>674</v>
      </c>
      <c r="O2" s="2" t="s">
        <v>830</v>
      </c>
      <c r="P2" s="2" t="s">
        <v>673</v>
      </c>
      <c r="Q2" s="155" t="s">
        <v>833</v>
      </c>
      <c r="R2" s="155"/>
      <c r="T2" s="4"/>
      <c r="V2" t="s">
        <v>832</v>
      </c>
    </row>
    <row r="3" spans="2:24" ht="12" customHeight="1" x14ac:dyDescent="0.2">
      <c r="K3" s="113"/>
      <c r="L3" s="113"/>
      <c r="M3" s="152" t="s">
        <v>1101</v>
      </c>
      <c r="O3" s="153">
        <f>F18</f>
        <v>28</v>
      </c>
      <c r="P3" s="154">
        <f ca="1">F15</f>
        <v>73.12</v>
      </c>
      <c r="Q3" s="155"/>
      <c r="R3" s="155"/>
      <c r="V3" t="s">
        <v>833</v>
      </c>
    </row>
    <row r="4" spans="2:24" ht="4.5" customHeight="1" x14ac:dyDescent="0.2">
      <c r="K4" s="113"/>
      <c r="L4" s="113"/>
      <c r="M4" s="152"/>
      <c r="O4" s="153"/>
      <c r="P4" s="154"/>
      <c r="Q4" s="155"/>
      <c r="R4" s="155"/>
    </row>
    <row r="5" spans="2:24" ht="15.75" customHeight="1" x14ac:dyDescent="0.2">
      <c r="K5" s="113"/>
      <c r="L5" s="113"/>
      <c r="M5" s="152"/>
      <c r="O5" s="153"/>
      <c r="P5" s="154"/>
      <c r="Q5" s="155"/>
      <c r="R5" s="155"/>
    </row>
    <row r="6" spans="2:24" ht="6.75" customHeight="1" x14ac:dyDescent="0.2">
      <c r="O6" s="92"/>
    </row>
    <row r="7" spans="2:24" s="88" customFormat="1" ht="19.5" customHeight="1" x14ac:dyDescent="0.2">
      <c r="K7" s="89" t="s">
        <v>831</v>
      </c>
      <c r="L7" s="89" t="s">
        <v>672</v>
      </c>
      <c r="M7" s="89" t="s">
        <v>669</v>
      </c>
      <c r="N7" s="90" t="s">
        <v>826</v>
      </c>
      <c r="O7" s="93" t="s">
        <v>678</v>
      </c>
      <c r="P7" s="94" t="s">
        <v>677</v>
      </c>
      <c r="Q7" s="105" t="s">
        <v>679</v>
      </c>
      <c r="R7" s="106" t="s">
        <v>680</v>
      </c>
    </row>
    <row r="8" spans="2:24" x14ac:dyDescent="0.2">
      <c r="B8" s="4" t="s">
        <v>244</v>
      </c>
      <c r="C8" s="4" t="s">
        <v>245</v>
      </c>
      <c r="K8" s="42">
        <f ca="1">sep!K7</f>
        <v>39</v>
      </c>
      <c r="L8" s="42" t="str">
        <f>sep!L7</f>
        <v>Andrea Zarbano</v>
      </c>
      <c r="M8" s="28">
        <f>sep!M7</f>
        <v>104.34</v>
      </c>
      <c r="N8" s="77">
        <f>M8-M9</f>
        <v>5.8400000000000034</v>
      </c>
      <c r="O8" s="95">
        <f>M8-N8/2</f>
        <v>101.42</v>
      </c>
      <c r="P8" s="96"/>
      <c r="Q8" s="95">
        <f t="shared" ref="Q8:Q24" ca="1" si="0">R9</f>
        <v>497.65499999999997</v>
      </c>
      <c r="R8" s="96"/>
      <c r="T8" t="s">
        <v>1110</v>
      </c>
      <c r="W8" s="77"/>
      <c r="X8" s="28"/>
    </row>
    <row r="9" spans="2:24" x14ac:dyDescent="0.2">
      <c r="B9" s="4">
        <v>1</v>
      </c>
      <c r="C9" s="28">
        <f>IFERROR(sep!Q7,"")</f>
        <v>99.64</v>
      </c>
      <c r="E9" s="28"/>
      <c r="F9" s="4"/>
      <c r="K9" s="42">
        <f ca="1">sep!K8</f>
        <v>38</v>
      </c>
      <c r="L9" s="42" t="str">
        <f>sep!L8</f>
        <v>Javier Espelta</v>
      </c>
      <c r="M9" s="28">
        <f>sep!M8</f>
        <v>98.5</v>
      </c>
      <c r="N9" s="77">
        <f t="shared" ref="N9:N46" si="1">M9-M10</f>
        <v>1.4500000000000028</v>
      </c>
      <c r="O9" s="95">
        <f t="shared" ref="O9:O46" si="2">M9-N9/2</f>
        <v>97.775000000000006</v>
      </c>
      <c r="P9" s="96">
        <f>O8</f>
        <v>101.42</v>
      </c>
      <c r="Q9" s="95">
        <f t="shared" ca="1" si="0"/>
        <v>442.98</v>
      </c>
      <c r="R9" s="96">
        <f ca="1">IF($Q$2=$V$2,$F$21*Tabla43[[#This Row],[límite sup]]-$F$19,($F$22*Tabla43[[#This Row],[límite sup]]-$F$19)/$F$23)</f>
        <v>497.65499999999997</v>
      </c>
      <c r="T9" t="s">
        <v>846</v>
      </c>
      <c r="U9" s="65">
        <v>68</v>
      </c>
    </row>
    <row r="10" spans="2:24" x14ac:dyDescent="0.2">
      <c r="B10" s="4">
        <v>2</v>
      </c>
      <c r="C10" s="28">
        <f>IFERROR(sep!Q8,"")</f>
        <v>116.66</v>
      </c>
      <c r="K10" s="42">
        <f ca="1">sep!K9</f>
        <v>37</v>
      </c>
      <c r="L10" s="42" t="str">
        <f>sep!L9</f>
        <v>Víctor Baeschlin Sánchez</v>
      </c>
      <c r="M10" s="28">
        <f>sep!M9</f>
        <v>97.05</v>
      </c>
      <c r="N10" s="77">
        <f t="shared" si="1"/>
        <v>1.5099999999999909</v>
      </c>
      <c r="O10" s="95">
        <f t="shared" si="2"/>
        <v>96.295000000000002</v>
      </c>
      <c r="P10" s="96">
        <f t="shared" ref="P10:P46" si="3">O9</f>
        <v>97.775000000000006</v>
      </c>
      <c r="Q10" s="95">
        <f t="shared" ca="1" si="0"/>
        <v>420.78</v>
      </c>
      <c r="R10" s="96">
        <f ca="1">IF($Q$2=$V$2,$F$21*Tabla43[[#This Row],[límite sup]]-$F$19,($F$22*Tabla43[[#This Row],[límite sup]]-$F$19)/$F$23)</f>
        <v>442.98</v>
      </c>
      <c r="T10" t="s">
        <v>847</v>
      </c>
      <c r="U10" s="65">
        <v>73</v>
      </c>
    </row>
    <row r="11" spans="2:24" x14ac:dyDescent="0.2">
      <c r="B11" s="4">
        <v>3</v>
      </c>
      <c r="C11" s="28">
        <f>IFERROR(sep!Q9,"")</f>
        <v>108.44</v>
      </c>
      <c r="K11" s="42">
        <f ca="1">sep!K10</f>
        <v>36</v>
      </c>
      <c r="L11" s="42" t="str">
        <f>sep!L10</f>
        <v>Sergio Alfonso</v>
      </c>
      <c r="M11" s="28">
        <f>sep!M10</f>
        <v>95.54</v>
      </c>
      <c r="N11" s="77">
        <f t="shared" si="1"/>
        <v>0.32000000000000739</v>
      </c>
      <c r="O11" s="95">
        <f t="shared" si="2"/>
        <v>95.38</v>
      </c>
      <c r="P11" s="96">
        <f t="shared" si="3"/>
        <v>96.295000000000002</v>
      </c>
      <c r="Q11" s="95">
        <f t="shared" ca="1" si="0"/>
        <v>407.05499999999984</v>
      </c>
      <c r="R11" s="96">
        <f ca="1">IF($Q$2=$V$2,$F$21*Tabla43[[#This Row],[límite sup]]-$F$19,($F$22*Tabla43[[#This Row],[límite sup]]-$F$19)/$F$23)</f>
        <v>420.78</v>
      </c>
      <c r="T11" t="s">
        <v>1111</v>
      </c>
    </row>
    <row r="12" spans="2:24" x14ac:dyDescent="0.2">
      <c r="B12" s="4">
        <v>4</v>
      </c>
      <c r="C12" s="28">
        <f>IFERROR(sep!Q10,"")</f>
        <v>95.41</v>
      </c>
      <c r="K12" s="42">
        <f ca="1">sep!K11</f>
        <v>35</v>
      </c>
      <c r="L12" s="42" t="str">
        <f>sep!L11</f>
        <v>Pablo Herrero Del Barrio</v>
      </c>
      <c r="M12" s="28">
        <f>sep!M11</f>
        <v>95.22</v>
      </c>
      <c r="N12" s="77">
        <f t="shared" si="1"/>
        <v>0.42999999999999261</v>
      </c>
      <c r="O12" s="95">
        <f t="shared" si="2"/>
        <v>95.004999999999995</v>
      </c>
      <c r="P12" s="96">
        <f t="shared" si="3"/>
        <v>95.38</v>
      </c>
      <c r="Q12" s="95">
        <f t="shared" ca="1" si="0"/>
        <v>401.42999999999984</v>
      </c>
      <c r="R12" s="96">
        <f ca="1">IF($Q$2=$V$2,$F$21*Tabla43[[#This Row],[límite sup]]-$F$19,($F$22*Tabla43[[#This Row],[límite sup]]-$F$19)/$F$23)</f>
        <v>407.05499999999984</v>
      </c>
      <c r="T12" t="s">
        <v>846</v>
      </c>
      <c r="U12" s="65">
        <v>73</v>
      </c>
    </row>
    <row r="13" spans="2:24" x14ac:dyDescent="0.2">
      <c r="B13" s="4">
        <v>5</v>
      </c>
      <c r="C13" s="28">
        <f>IFERROR(sep!Q11,"")</f>
        <v>104.28</v>
      </c>
      <c r="F13" s="4"/>
      <c r="K13" s="42">
        <f ca="1">sep!K12</f>
        <v>34</v>
      </c>
      <c r="L13" s="42" t="str">
        <f>sep!L12</f>
        <v>Jose F Vidal</v>
      </c>
      <c r="M13" s="28">
        <f>sep!M12</f>
        <v>94.79</v>
      </c>
      <c r="N13" s="77">
        <f t="shared" si="1"/>
        <v>0.49000000000000909</v>
      </c>
      <c r="O13" s="95">
        <f t="shared" si="2"/>
        <v>94.545000000000002</v>
      </c>
      <c r="P13" s="96">
        <f t="shared" si="3"/>
        <v>95.004999999999995</v>
      </c>
      <c r="Q13" s="95">
        <f t="shared" ca="1" si="0"/>
        <v>394.53</v>
      </c>
      <c r="R13" s="96">
        <f ca="1">IF($Q$2=$V$2,$F$21*Tabla43[[#This Row],[límite sup]]-$F$19,($F$22*Tabla43[[#This Row],[límite sup]]-$F$19)/$F$23)</f>
        <v>401.42999999999984</v>
      </c>
      <c r="T13" t="s">
        <v>847</v>
      </c>
      <c r="U13" s="65">
        <v>77</v>
      </c>
    </row>
    <row r="14" spans="2:24" x14ac:dyDescent="0.2">
      <c r="B14" s="4">
        <v>6</v>
      </c>
      <c r="C14" s="28">
        <f>IFERROR(sep!Q12,"")</f>
        <v>86.72</v>
      </c>
      <c r="G14" s="21"/>
      <c r="K14" s="42">
        <f ca="1">sep!K13</f>
        <v>33</v>
      </c>
      <c r="L14" s="42" t="str">
        <f>sep!L13</f>
        <v>Laura Gómez López</v>
      </c>
      <c r="M14" s="28">
        <f>sep!M13</f>
        <v>94.3</v>
      </c>
      <c r="N14" s="77">
        <f t="shared" si="1"/>
        <v>0.40999999999999659</v>
      </c>
      <c r="O14" s="95">
        <f t="shared" si="2"/>
        <v>94.094999999999999</v>
      </c>
      <c r="P14" s="96">
        <f t="shared" si="3"/>
        <v>94.545000000000002</v>
      </c>
      <c r="Q14" s="95">
        <f t="shared" ca="1" si="0"/>
        <v>387.78</v>
      </c>
      <c r="R14" s="96">
        <f ca="1">IF($Q$2=$V$2,$F$21*Tabla43[[#This Row],[límite sup]]-$F$19,($F$22*Tabla43[[#This Row],[límite sup]]-$F$19)/$F$23)</f>
        <v>394.53</v>
      </c>
    </row>
    <row r="15" spans="2:24" ht="12" customHeight="1" x14ac:dyDescent="0.2">
      <c r="B15" s="4">
        <v>7</v>
      </c>
      <c r="C15" s="28">
        <f>IFERROR(sep!Q13,"")</f>
        <v>79.010000000000005</v>
      </c>
      <c r="E15" t="s">
        <v>1033</v>
      </c>
      <c r="F15" s="103">
        <f ca="1">sep!B3</f>
        <v>73.12</v>
      </c>
      <c r="K15" s="42">
        <f ca="1">sep!K14</f>
        <v>32</v>
      </c>
      <c r="L15" s="42" t="str">
        <f>sep!L14</f>
        <v>Juan Pedro Conejo Sanchez</v>
      </c>
      <c r="M15" s="28">
        <f>sep!M14</f>
        <v>93.89</v>
      </c>
      <c r="N15" s="77">
        <f t="shared" si="1"/>
        <v>0.23999999999999488</v>
      </c>
      <c r="O15" s="95">
        <f t="shared" si="2"/>
        <v>93.77000000000001</v>
      </c>
      <c r="P15" s="96">
        <f t="shared" si="3"/>
        <v>94.094999999999999</v>
      </c>
      <c r="Q15" s="95">
        <f t="shared" ca="1" si="0"/>
        <v>382.9050000000002</v>
      </c>
      <c r="R15" s="96">
        <f ca="1">IF($Q$2=$V$2,$F$21*Tabla43[[#This Row],[límite sup]]-$F$19,($F$22*Tabla43[[#This Row],[límite sup]]-$F$19)/$F$23)</f>
        <v>387.78</v>
      </c>
    </row>
    <row r="16" spans="2:24" ht="12" customHeight="1" x14ac:dyDescent="0.2">
      <c r="B16" s="4">
        <v>8</v>
      </c>
      <c r="C16" s="28">
        <f>IFERROR(sep!Q14,"")</f>
        <v>67.760000000000005</v>
      </c>
      <c r="E16" t="s">
        <v>676</v>
      </c>
      <c r="F16" s="65">
        <f ca="1">INDEX(resultados_ago[Apuesta MiniPorra],MATCH(1,resultados_sep[Posición],0))</f>
        <v>69.099999999999994</v>
      </c>
      <c r="K16" s="42">
        <f ca="1">sep!K15</f>
        <v>31</v>
      </c>
      <c r="L16" s="42" t="str">
        <f>sep!L15</f>
        <v>Inés Monroy</v>
      </c>
      <c r="M16" s="28">
        <f>sep!M15</f>
        <v>93.65</v>
      </c>
      <c r="N16" s="77">
        <f t="shared" si="1"/>
        <v>0.78000000000000114</v>
      </c>
      <c r="O16" s="95">
        <f t="shared" si="2"/>
        <v>93.26</v>
      </c>
      <c r="P16" s="96">
        <f t="shared" si="3"/>
        <v>93.77000000000001</v>
      </c>
      <c r="Q16" s="95">
        <f t="shared" ca="1" si="0"/>
        <v>375.25500000000011</v>
      </c>
      <c r="R16" s="96">
        <f ca="1">IF($Q$2=$V$2,$F$21*Tabla43[[#This Row],[límite sup]]-$F$19,($F$22*Tabla43[[#This Row],[límite sup]]-$F$19)/$F$23)</f>
        <v>382.9050000000002</v>
      </c>
      <c r="U16" s="91"/>
    </row>
    <row r="17" spans="2:21" x14ac:dyDescent="0.2">
      <c r="B17" s="4">
        <v>9</v>
      </c>
      <c r="C17" s="28">
        <f>IFERROR(sep!Q15,"")</f>
        <v>86.54</v>
      </c>
      <c r="K17" s="42">
        <f ca="1">sep!K16</f>
        <v>30</v>
      </c>
      <c r="L17" s="42" t="str">
        <f>sep!L16</f>
        <v>Javier Colón Cortegoso</v>
      </c>
      <c r="M17" s="28">
        <f>sep!M16</f>
        <v>92.87</v>
      </c>
      <c r="N17" s="77">
        <f t="shared" si="1"/>
        <v>7.000000000000739E-2</v>
      </c>
      <c r="O17" s="95">
        <f t="shared" si="2"/>
        <v>92.835000000000008</v>
      </c>
      <c r="P17" s="96">
        <f t="shared" si="3"/>
        <v>93.26</v>
      </c>
      <c r="Q17" s="95">
        <f t="shared" ca="1" si="0"/>
        <v>368.88000000000011</v>
      </c>
      <c r="R17" s="96">
        <f ca="1">IF($Q$2=$V$2,$F$21*Tabla43[[#This Row],[límite sup]]-$F$19,($F$22*Tabla43[[#This Row],[límite sup]]-$F$19)/$F$23)</f>
        <v>375.25500000000011</v>
      </c>
      <c r="T17" t="s">
        <v>874</v>
      </c>
      <c r="U17" s="23">
        <f>gauss!R44</f>
        <v>91.18</v>
      </c>
    </row>
    <row r="18" spans="2:21" x14ac:dyDescent="0.2">
      <c r="B18" s="4">
        <v>10</v>
      </c>
      <c r="C18" s="28">
        <f>IFERROR(sep!Q16,"")</f>
        <v>75.209999999999994</v>
      </c>
      <c r="E18" t="s">
        <v>670</v>
      </c>
      <c r="F18" s="65">
        <f>sep!H1</f>
        <v>28</v>
      </c>
      <c r="G18" t="s">
        <v>827</v>
      </c>
      <c r="K18" s="42">
        <f ca="1">sep!K17</f>
        <v>29</v>
      </c>
      <c r="L18" s="42" t="str">
        <f>sep!L17</f>
        <v>Elena Muñoz Vioque</v>
      </c>
      <c r="M18" s="28">
        <f>sep!M17</f>
        <v>92.8</v>
      </c>
      <c r="N18" s="77">
        <f t="shared" si="1"/>
        <v>0.93999999999999773</v>
      </c>
      <c r="O18" s="95">
        <f t="shared" si="2"/>
        <v>92.33</v>
      </c>
      <c r="P18" s="96">
        <f t="shared" si="3"/>
        <v>92.835000000000008</v>
      </c>
      <c r="Q18" s="95">
        <f t="shared" ca="1" si="0"/>
        <v>361.30500000000006</v>
      </c>
      <c r="R18" s="96">
        <f ca="1">IF($Q$2=$V$2,$F$21*Tabla43[[#This Row],[límite sup]]-$F$19,($F$22*Tabla43[[#This Row],[límite sup]]-$F$19)/$F$23)</f>
        <v>368.88000000000011</v>
      </c>
    </row>
    <row r="19" spans="2:21" x14ac:dyDescent="0.2">
      <c r="B19" s="4">
        <v>11</v>
      </c>
      <c r="C19" s="28">
        <f>IFERROR(sep!Q17,"")</f>
        <v>76.739999999999995</v>
      </c>
      <c r="E19" t="s">
        <v>671</v>
      </c>
      <c r="F19" s="76">
        <f ca="1">SUM(C9:OFFSET($C$9,F18-1,1))</f>
        <v>2047.29</v>
      </c>
      <c r="G19" t="s">
        <v>828</v>
      </c>
      <c r="K19" s="42">
        <f ca="1">sep!K18</f>
        <v>28</v>
      </c>
      <c r="L19" s="42" t="str">
        <f>sep!L18</f>
        <v>Rafael Leiva</v>
      </c>
      <c r="M19" s="28">
        <f>sep!M18</f>
        <v>91.86</v>
      </c>
      <c r="N19" s="77">
        <f t="shared" si="1"/>
        <v>9.0000000000003411E-2</v>
      </c>
      <c r="O19" s="95">
        <f t="shared" si="2"/>
        <v>91.814999999999998</v>
      </c>
      <c r="P19" s="96">
        <f t="shared" si="3"/>
        <v>92.33</v>
      </c>
      <c r="Q19" s="95">
        <f t="shared" ca="1" si="0"/>
        <v>353.57999999999993</v>
      </c>
      <c r="R19" s="96">
        <f ca="1">IF($Q$2=$V$2,$F$21*Tabla43[[#This Row],[límite sup]]-$F$19,($F$22*Tabla43[[#This Row],[límite sup]]-$F$19)/$F$23)</f>
        <v>361.30500000000006</v>
      </c>
    </row>
    <row r="20" spans="2:21" x14ac:dyDescent="0.2">
      <c r="B20" s="4">
        <v>12</v>
      </c>
      <c r="C20" s="28">
        <f>IFERROR(sep!Q18,"")</f>
        <v>72.209999999999994</v>
      </c>
      <c r="E20" t="s">
        <v>829</v>
      </c>
      <c r="F20" s="28">
        <f ca="1">F19/F18</f>
        <v>73.117499999999993</v>
      </c>
      <c r="K20" s="42">
        <f ca="1">sep!K19</f>
        <v>27</v>
      </c>
      <c r="L20" s="42" t="str">
        <f>sep!L19</f>
        <v>Gorka Arratibel Pastor</v>
      </c>
      <c r="M20" s="28">
        <f>sep!M19</f>
        <v>91.77</v>
      </c>
      <c r="N20" s="77">
        <f t="shared" si="1"/>
        <v>0.50999999999999091</v>
      </c>
      <c r="O20" s="95">
        <f t="shared" si="2"/>
        <v>91.515000000000001</v>
      </c>
      <c r="P20" s="96">
        <f t="shared" si="3"/>
        <v>91.814999999999998</v>
      </c>
      <c r="Q20" s="95">
        <f t="shared" ca="1" si="0"/>
        <v>349.07999999999993</v>
      </c>
      <c r="R20" s="96">
        <f ca="1">IF($Q$2=$V$2,$F$21*Tabla43[[#This Row],[límite sup]]-$F$19,($F$22*Tabla43[[#This Row],[límite sup]]-$F$19)/$F$23)</f>
        <v>353.57999999999993</v>
      </c>
    </row>
    <row r="21" spans="2:21" x14ac:dyDescent="0.2">
      <c r="B21" s="4">
        <v>13</v>
      </c>
      <c r="C21" s="28">
        <f>IFERROR(sep!Q19,"")</f>
        <v>47.1</v>
      </c>
      <c r="E21" t="s">
        <v>834</v>
      </c>
      <c r="F21" s="74">
        <f>F18+1</f>
        <v>29</v>
      </c>
      <c r="K21" s="42">
        <f ca="1">sep!K20</f>
        <v>26</v>
      </c>
      <c r="L21" s="42" t="str">
        <f>sep!L20</f>
        <v>Josep Vidal</v>
      </c>
      <c r="M21" s="28">
        <f>sep!M20</f>
        <v>91.26</v>
      </c>
      <c r="N21" s="77">
        <f t="shared" si="1"/>
        <v>0.15000000000000568</v>
      </c>
      <c r="O21" s="95">
        <f t="shared" si="2"/>
        <v>91.185000000000002</v>
      </c>
      <c r="P21" s="96">
        <f t="shared" si="3"/>
        <v>91.515000000000001</v>
      </c>
      <c r="Q21" s="95">
        <f t="shared" ca="1" si="0"/>
        <v>344.13000000000011</v>
      </c>
      <c r="R21" s="96">
        <f ca="1">IF($Q$2=$V$2,$F$21*Tabla43[[#This Row],[límite sup]]-$F$19,($F$22*Tabla43[[#This Row],[límite sup]]-$F$19)/$F$23)</f>
        <v>349.07999999999993</v>
      </c>
    </row>
    <row r="22" spans="2:21" x14ac:dyDescent="0.2">
      <c r="B22" s="4">
        <v>14</v>
      </c>
      <c r="C22" s="28">
        <f>IFERROR(sep!Q20,"")</f>
        <v>45.61</v>
      </c>
      <c r="E22" t="s">
        <v>835</v>
      </c>
      <c r="F22" s="74">
        <f>COUNT(Tabla2336[dia])</f>
        <v>30</v>
      </c>
      <c r="K22" s="42">
        <f ca="1">sep!K21</f>
        <v>25</v>
      </c>
      <c r="L22" s="42" t="str">
        <f>sep!L21</f>
        <v>Jaime Larrañaga Juez</v>
      </c>
      <c r="M22" s="28">
        <f>sep!M21</f>
        <v>91.11</v>
      </c>
      <c r="N22" s="77">
        <f t="shared" si="1"/>
        <v>0.20999999999999375</v>
      </c>
      <c r="O22" s="95">
        <f t="shared" si="2"/>
        <v>91.004999999999995</v>
      </c>
      <c r="P22" s="96">
        <f t="shared" si="3"/>
        <v>91.185000000000002</v>
      </c>
      <c r="Q22" s="95">
        <f t="shared" ca="1" si="0"/>
        <v>341.42999999999984</v>
      </c>
      <c r="R22" s="96">
        <f ca="1">IF($Q$2=$V$2,$F$21*Tabla43[[#This Row],[límite sup]]-$F$19,($F$22*Tabla43[[#This Row],[límite sup]]-$F$19)/$F$23)</f>
        <v>344.13000000000011</v>
      </c>
    </row>
    <row r="23" spans="2:21" x14ac:dyDescent="0.2">
      <c r="B23" s="4">
        <v>15</v>
      </c>
      <c r="C23" s="28">
        <f>IFERROR(sep!Q21,"")</f>
        <v>32.520000000000003</v>
      </c>
      <c r="E23" t="s">
        <v>836</v>
      </c>
      <c r="F23" s="74">
        <f>F22-F18</f>
        <v>2</v>
      </c>
      <c r="K23" s="42">
        <f ca="1">sep!K22</f>
        <v>24</v>
      </c>
      <c r="L23" s="42" t="str">
        <f>sep!L22</f>
        <v>Carles Estruch Puig</v>
      </c>
      <c r="M23" s="28">
        <f>sep!M22</f>
        <v>90.9</v>
      </c>
      <c r="N23" s="77">
        <f t="shared" si="1"/>
        <v>0.24000000000000909</v>
      </c>
      <c r="O23" s="95">
        <f t="shared" si="2"/>
        <v>90.78</v>
      </c>
      <c r="P23" s="96">
        <f t="shared" si="3"/>
        <v>91.004999999999995</v>
      </c>
      <c r="Q23" s="95">
        <f t="shared" ca="1" si="0"/>
        <v>338.05500000000006</v>
      </c>
      <c r="R23" s="96">
        <f ca="1">IF($Q$2=$V$2,$F$21*Tabla43[[#This Row],[límite sup]]-$F$19,($F$22*Tabla43[[#This Row],[límite sup]]-$F$19)/$F$23)</f>
        <v>341.42999999999984</v>
      </c>
    </row>
    <row r="24" spans="2:21" x14ac:dyDescent="0.2">
      <c r="B24" s="4">
        <v>16</v>
      </c>
      <c r="C24" s="28">
        <f>IFERROR(sep!Q22,"")</f>
        <v>27.19</v>
      </c>
      <c r="K24" s="42">
        <f ca="1">sep!K23</f>
        <v>23</v>
      </c>
      <c r="L24" s="42" t="str">
        <f>sep!L23</f>
        <v>Rafael Tejada Bonilla</v>
      </c>
      <c r="M24" s="28">
        <f>sep!M23</f>
        <v>90.66</v>
      </c>
      <c r="N24" s="77">
        <f t="shared" si="1"/>
        <v>0.72999999999998977</v>
      </c>
      <c r="O24" s="95">
        <f t="shared" si="2"/>
        <v>90.295000000000002</v>
      </c>
      <c r="P24" s="96">
        <f t="shared" si="3"/>
        <v>90.78</v>
      </c>
      <c r="Q24" s="95">
        <f t="shared" ca="1" si="0"/>
        <v>330.78</v>
      </c>
      <c r="R24" s="96">
        <f ca="1">IF($Q$2=$V$2,$F$21*Tabla43[[#This Row],[límite sup]]-$F$19,($F$22*Tabla43[[#This Row],[límite sup]]-$F$19)/$F$23)</f>
        <v>338.05500000000006</v>
      </c>
    </row>
    <row r="25" spans="2:21" x14ac:dyDescent="0.2">
      <c r="B25" s="4">
        <v>17</v>
      </c>
      <c r="C25" s="28">
        <f>IFERROR(sep!Q23,"")</f>
        <v>25.7</v>
      </c>
      <c r="E25" t="s">
        <v>668</v>
      </c>
      <c r="F25" s="75">
        <f>AVERAGE(C9:C38)</f>
        <v>70.742999999999995</v>
      </c>
      <c r="K25" s="42">
        <f ca="1">sep!K24</f>
        <v>22</v>
      </c>
      <c r="L25" s="42" t="str">
        <f>sep!L24</f>
        <v>Roberto Cavero García</v>
      </c>
      <c r="M25" s="28">
        <f>sep!M24</f>
        <v>89.93</v>
      </c>
      <c r="N25" s="77">
        <f t="shared" si="1"/>
        <v>0.53000000000000114</v>
      </c>
      <c r="O25" s="95">
        <f t="shared" si="2"/>
        <v>89.665000000000006</v>
      </c>
      <c r="P25" s="96">
        <f t="shared" si="3"/>
        <v>90.295000000000002</v>
      </c>
      <c r="Q25" s="95">
        <f ca="1">R26</f>
        <v>321.33000000000015</v>
      </c>
      <c r="R25" s="96">
        <f ca="1">IF($Q$2=$V$2,$F$21*Tabla43[[#This Row],[límite sup]]-$F$19,($F$22*Tabla43[[#This Row],[límite sup]]-$F$19)/$F$23)</f>
        <v>330.78</v>
      </c>
    </row>
    <row r="26" spans="2:21" x14ac:dyDescent="0.2">
      <c r="B26" s="4">
        <v>18</v>
      </c>
      <c r="C26" s="28">
        <f>IFERROR(sep!Q24,"")</f>
        <v>90.92</v>
      </c>
      <c r="F26" s="28"/>
      <c r="K26" s="42">
        <f ca="1">sep!K25</f>
        <v>21</v>
      </c>
      <c r="L26" s="42" t="str">
        <f>sep!L25</f>
        <v>Jagoba Riveiro Zafra</v>
      </c>
      <c r="M26" s="28">
        <f>sep!M25</f>
        <v>89.4</v>
      </c>
      <c r="N26" s="77">
        <f t="shared" si="1"/>
        <v>0.17000000000000171</v>
      </c>
      <c r="O26" s="95">
        <f t="shared" si="2"/>
        <v>89.314999999999998</v>
      </c>
      <c r="P26" s="96">
        <f t="shared" si="3"/>
        <v>89.665000000000006</v>
      </c>
      <c r="Q26" s="95">
        <f t="shared" ref="Q26:Q46" ca="1" si="4">R27</f>
        <v>316.07999999999993</v>
      </c>
      <c r="R26" s="96">
        <f ca="1">IF($Q$2=$V$2,$F$21*Tabla43[[#This Row],[límite sup]]-$F$19,($F$22*Tabla43[[#This Row],[límite sup]]-$F$19)/$F$23)</f>
        <v>321.33000000000015</v>
      </c>
    </row>
    <row r="27" spans="2:21" x14ac:dyDescent="0.2">
      <c r="B27" s="4">
        <v>19</v>
      </c>
      <c r="C27" s="28">
        <f>IFERROR(sep!Q25,"")</f>
        <v>106.98</v>
      </c>
      <c r="K27" s="42">
        <f ca="1">sep!K26</f>
        <v>20</v>
      </c>
      <c r="L27" s="42" t="str">
        <f>sep!L26</f>
        <v>Ricardo Estévez Solís</v>
      </c>
      <c r="M27" s="28">
        <f>sep!M26</f>
        <v>89.23</v>
      </c>
      <c r="N27" s="77">
        <f t="shared" si="1"/>
        <v>0.35000000000000853</v>
      </c>
      <c r="O27" s="95">
        <f t="shared" si="2"/>
        <v>89.055000000000007</v>
      </c>
      <c r="P27" s="96">
        <f t="shared" si="3"/>
        <v>89.314999999999998</v>
      </c>
      <c r="Q27" s="95">
        <f t="shared" ca="1" si="4"/>
        <v>312.18000000000006</v>
      </c>
      <c r="R27" s="96">
        <f ca="1">IF($Q$2=$V$2,$F$21*Tabla43[[#This Row],[límite sup]]-$F$19,($F$22*Tabla43[[#This Row],[límite sup]]-$F$19)/$F$23)</f>
        <v>316.07999999999993</v>
      </c>
    </row>
    <row r="28" spans="2:21" x14ac:dyDescent="0.2">
      <c r="B28" s="4">
        <v>20</v>
      </c>
      <c r="C28" s="28">
        <f>IFERROR(sep!Q26,"")</f>
        <v>107.69</v>
      </c>
      <c r="F28">
        <f ca="1">jul!B3/75.23</f>
        <v>0.96118569719526781</v>
      </c>
      <c r="K28" s="42">
        <f ca="1">sep!K27</f>
        <v>19</v>
      </c>
      <c r="L28" s="42" t="str">
        <f>sep!L27</f>
        <v>Jorge Antonio González Sánchez</v>
      </c>
      <c r="M28" s="28">
        <f>sep!M27</f>
        <v>88.88</v>
      </c>
      <c r="N28" s="77">
        <f t="shared" si="1"/>
        <v>0.82999999999999829</v>
      </c>
      <c r="O28" s="95">
        <f t="shared" si="2"/>
        <v>88.465000000000003</v>
      </c>
      <c r="P28" s="96">
        <f t="shared" si="3"/>
        <v>89.055000000000007</v>
      </c>
      <c r="Q28" s="95">
        <f t="shared" ca="1" si="4"/>
        <v>303.33000000000015</v>
      </c>
      <c r="R28" s="96">
        <f ca="1">IF($Q$2=$V$2,$F$21*Tabla43[[#This Row],[límite sup]]-$F$19,($F$22*Tabla43[[#This Row],[límite sup]]-$F$19)/$F$23)</f>
        <v>312.18000000000006</v>
      </c>
    </row>
    <row r="29" spans="2:21" x14ac:dyDescent="0.2">
      <c r="B29" s="4">
        <v>21</v>
      </c>
      <c r="C29" s="28">
        <f>IFERROR(sep!Q27,"")</f>
        <v>85.39</v>
      </c>
      <c r="F29" s="43">
        <f ca="1">F28/75.93</f>
        <v>1.2658839683857075E-2</v>
      </c>
      <c r="K29" s="42">
        <f ca="1">sep!K28</f>
        <v>18</v>
      </c>
      <c r="L29" s="42" t="str">
        <f>sep!L28</f>
        <v>Aitor Folch</v>
      </c>
      <c r="M29" s="28">
        <f>sep!M28</f>
        <v>88.05</v>
      </c>
      <c r="N29" s="77">
        <f t="shared" si="1"/>
        <v>4.9999999999997158E-2</v>
      </c>
      <c r="O29" s="95">
        <f t="shared" si="2"/>
        <v>88.025000000000006</v>
      </c>
      <c r="P29" s="96">
        <f t="shared" si="3"/>
        <v>88.465000000000003</v>
      </c>
      <c r="Q29" s="95">
        <f t="shared" ca="1" si="4"/>
        <v>296.73</v>
      </c>
      <c r="R29" s="96">
        <f ca="1">IF($Q$2=$V$2,$F$21*Tabla43[[#This Row],[límite sup]]-$F$19,($F$22*Tabla43[[#This Row],[límite sup]]-$F$19)/$F$23)</f>
        <v>303.33000000000015</v>
      </c>
    </row>
    <row r="30" spans="2:21" x14ac:dyDescent="0.2">
      <c r="B30" s="4">
        <v>22</v>
      </c>
      <c r="C30" s="28">
        <f>IFERROR(sep!Q28,"")</f>
        <v>69.91</v>
      </c>
      <c r="K30" s="42">
        <f ca="1">sep!K29</f>
        <v>17</v>
      </c>
      <c r="L30" s="42" t="str">
        <f>sep!L29</f>
        <v>Javier Pérez Salazar</v>
      </c>
      <c r="M30" s="28">
        <f>sep!M29</f>
        <v>88</v>
      </c>
      <c r="N30" s="77">
        <f t="shared" si="1"/>
        <v>0.40000000000000568</v>
      </c>
      <c r="O30" s="95">
        <f t="shared" si="2"/>
        <v>87.8</v>
      </c>
      <c r="P30" s="96">
        <f t="shared" si="3"/>
        <v>88.025000000000006</v>
      </c>
      <c r="Q30" s="95">
        <f t="shared" ca="1" si="4"/>
        <v>293.35500000000002</v>
      </c>
      <c r="R30" s="96">
        <f ca="1">IF($Q$2=$V$2,$F$21*Tabla43[[#This Row],[límite sup]]-$F$19,($F$22*Tabla43[[#This Row],[límite sup]]-$F$19)/$F$23)</f>
        <v>296.73</v>
      </c>
    </row>
    <row r="31" spans="2:21" x14ac:dyDescent="0.2">
      <c r="B31" s="4">
        <v>23</v>
      </c>
      <c r="C31" s="28">
        <f>IFERROR(sep!Q29,"")</f>
        <v>90.03</v>
      </c>
      <c r="K31" s="42">
        <f ca="1">sep!K30</f>
        <v>16</v>
      </c>
      <c r="L31" s="42" t="str">
        <f>sep!L30</f>
        <v>Jose Manuel Otero López</v>
      </c>
      <c r="M31" s="28">
        <f>sep!M30</f>
        <v>87.6</v>
      </c>
      <c r="N31" s="77">
        <f t="shared" si="1"/>
        <v>0.19999999999998863</v>
      </c>
      <c r="O31" s="95">
        <f t="shared" si="2"/>
        <v>87.5</v>
      </c>
      <c r="P31" s="96">
        <f t="shared" si="3"/>
        <v>87.8</v>
      </c>
      <c r="Q31" s="95">
        <f t="shared" ca="1" si="4"/>
        <v>288.85500000000002</v>
      </c>
      <c r="R31" s="96">
        <f ca="1">IF($Q$2=$V$2,$F$21*Tabla43[[#This Row],[límite sup]]-$F$19,($F$22*Tabla43[[#This Row],[límite sup]]-$F$19)/$F$23)</f>
        <v>293.35500000000002</v>
      </c>
      <c r="T31">
        <v>52</v>
      </c>
    </row>
    <row r="32" spans="2:21" x14ac:dyDescent="0.2">
      <c r="B32" s="4">
        <v>24</v>
      </c>
      <c r="C32" s="28">
        <f>IFERROR(sep!Q30,"")</f>
        <v>95.81</v>
      </c>
      <c r="F32" s="4"/>
      <c r="H32" s="4"/>
      <c r="K32" s="42">
        <f ca="1">sep!K31</f>
        <v>15</v>
      </c>
      <c r="L32" s="42" t="str">
        <f>sep!L31</f>
        <v>Roque Alonso Alonso</v>
      </c>
      <c r="M32" s="28">
        <f>sep!M31</f>
        <v>87.4</v>
      </c>
      <c r="N32" s="77">
        <f t="shared" si="1"/>
        <v>0.54000000000000625</v>
      </c>
      <c r="O32" s="95">
        <f t="shared" si="2"/>
        <v>87.13</v>
      </c>
      <c r="P32" s="96">
        <f t="shared" si="3"/>
        <v>87.5</v>
      </c>
      <c r="Q32" s="95">
        <f t="shared" ca="1" si="4"/>
        <v>283.30499999999984</v>
      </c>
      <c r="R32" s="96">
        <f ca="1">IF($Q$2=$V$2,$F$21*Tabla43[[#This Row],[límite sup]]-$F$19,($F$22*Tabla43[[#This Row],[límite sup]]-$F$19)/$F$23)</f>
        <v>288.85500000000002</v>
      </c>
      <c r="T32">
        <v>75</v>
      </c>
    </row>
    <row r="33" spans="2:21" x14ac:dyDescent="0.2">
      <c r="B33" s="4">
        <v>25</v>
      </c>
      <c r="C33" s="28">
        <f>IFERROR(sep!Q31,"")</f>
        <v>57.22</v>
      </c>
      <c r="F33" s="4"/>
      <c r="H33" s="28"/>
      <c r="K33" s="42">
        <f ca="1">sep!K32</f>
        <v>14</v>
      </c>
      <c r="L33" s="42" t="str">
        <f>sep!L32</f>
        <v>Beatriz Muñoz Rioboo</v>
      </c>
      <c r="M33" s="28">
        <f>sep!M32</f>
        <v>86.86</v>
      </c>
      <c r="N33" s="77">
        <f t="shared" si="1"/>
        <v>0.42000000000000171</v>
      </c>
      <c r="O33" s="95">
        <f t="shared" si="2"/>
        <v>86.65</v>
      </c>
      <c r="P33" s="96">
        <f t="shared" si="3"/>
        <v>87.13</v>
      </c>
      <c r="Q33" s="95">
        <f t="shared" ca="1" si="4"/>
        <v>276.10500000000002</v>
      </c>
      <c r="R33" s="96">
        <f ca="1">IF($Q$2=$V$2,$F$21*Tabla43[[#This Row],[límite sup]]-$F$19,($F$22*Tabla43[[#This Row],[límite sup]]-$F$19)/$F$23)</f>
        <v>283.30499999999984</v>
      </c>
      <c r="T33">
        <v>75</v>
      </c>
    </row>
    <row r="34" spans="2:21" x14ac:dyDescent="0.2">
      <c r="B34" s="4">
        <v>26</v>
      </c>
      <c r="C34" s="28">
        <f>IFERROR(sep!Q32,"")</f>
        <v>24.18</v>
      </c>
      <c r="F34" s="28"/>
      <c r="H34" s="28"/>
      <c r="K34" s="42">
        <f ca="1">sep!K33</f>
        <v>13</v>
      </c>
      <c r="L34" s="42" t="str">
        <f>sep!L33</f>
        <v>Jose Antonio Quidiello Antuña</v>
      </c>
      <c r="M34" s="28">
        <f>sep!M33</f>
        <v>86.44</v>
      </c>
      <c r="N34" s="77">
        <f t="shared" si="1"/>
        <v>0.45999999999999375</v>
      </c>
      <c r="O34" s="95">
        <f t="shared" si="2"/>
        <v>86.210000000000008</v>
      </c>
      <c r="P34" s="96">
        <f t="shared" si="3"/>
        <v>86.65</v>
      </c>
      <c r="Q34" s="95">
        <f t="shared" ca="1" si="4"/>
        <v>269.50500000000011</v>
      </c>
      <c r="R34" s="96">
        <f ca="1">IF($Q$2=$V$2,$F$21*Tabla43[[#This Row],[límite sup]]-$F$19,($F$22*Tabla43[[#This Row],[límite sup]]-$F$19)/$F$23)</f>
        <v>276.10500000000002</v>
      </c>
      <c r="T34">
        <v>75</v>
      </c>
      <c r="U34">
        <f>AVERAGE(T31:T34)</f>
        <v>69.25</v>
      </c>
    </row>
    <row r="35" spans="2:21" x14ac:dyDescent="0.2">
      <c r="B35" s="4">
        <v>27</v>
      </c>
      <c r="C35" s="28">
        <f>IFERROR(sep!Q33,"")</f>
        <v>25.61</v>
      </c>
      <c r="F35" s="4"/>
      <c r="H35" s="4"/>
      <c r="K35" s="42">
        <f ca="1">sep!K34</f>
        <v>12</v>
      </c>
      <c r="L35" s="42" t="str">
        <f>sep!L34</f>
        <v>Julián Mateo Muñoz</v>
      </c>
      <c r="M35" s="28">
        <f>sep!M34</f>
        <v>85.98</v>
      </c>
      <c r="N35" s="77">
        <f t="shared" si="1"/>
        <v>0.48000000000000398</v>
      </c>
      <c r="O35" s="95">
        <f t="shared" si="2"/>
        <v>85.740000000000009</v>
      </c>
      <c r="P35" s="96">
        <f t="shared" si="3"/>
        <v>86.210000000000008</v>
      </c>
      <c r="Q35" s="95">
        <f t="shared" ca="1" si="4"/>
        <v>262.45500000000015</v>
      </c>
      <c r="R35" s="96">
        <f ca="1">IF($Q$2=$V$2,$F$21*Tabla43[[#This Row],[límite sup]]-$F$19,($F$22*Tabla43[[#This Row],[límite sup]]-$F$19)/$F$23)</f>
        <v>269.50500000000011</v>
      </c>
    </row>
    <row r="36" spans="2:21" x14ac:dyDescent="0.2">
      <c r="B36" s="4">
        <v>28</v>
      </c>
      <c r="C36" s="28">
        <f>IFERROR(sep!Q34,"")</f>
        <v>46.81</v>
      </c>
      <c r="F36" s="28"/>
      <c r="H36" s="28"/>
      <c r="K36" s="42">
        <f ca="1">sep!K35</f>
        <v>11</v>
      </c>
      <c r="L36" s="42" t="str">
        <f>sep!L35</f>
        <v>Luis Angel Garzon Velasco</v>
      </c>
      <c r="M36" s="28">
        <f>sep!M35</f>
        <v>85.5</v>
      </c>
      <c r="N36" s="77">
        <f t="shared" si="1"/>
        <v>0.26999999999999602</v>
      </c>
      <c r="O36" s="95">
        <f t="shared" si="2"/>
        <v>85.365000000000009</v>
      </c>
      <c r="P36" s="96">
        <f t="shared" si="3"/>
        <v>85.740000000000009</v>
      </c>
      <c r="Q36" s="95">
        <f t="shared" ca="1" si="4"/>
        <v>256.83000000000015</v>
      </c>
      <c r="R36" s="96">
        <f ca="1">IF($Q$2=$V$2,$F$21*Tabla43[[#This Row],[límite sup]]-$F$19,($F$22*Tabla43[[#This Row],[límite sup]]-$F$19)/$F$23)</f>
        <v>262.45500000000015</v>
      </c>
    </row>
    <row r="37" spans="2:21" x14ac:dyDescent="0.2">
      <c r="B37" s="4">
        <v>29</v>
      </c>
      <c r="C37" s="28">
        <v>25</v>
      </c>
      <c r="K37" s="42">
        <f ca="1">sep!K36</f>
        <v>10</v>
      </c>
      <c r="L37" s="42" t="str">
        <f>sep!L36</f>
        <v>Ruben Sanjuan Escribano</v>
      </c>
      <c r="M37" s="28">
        <f>sep!M36</f>
        <v>85.23</v>
      </c>
      <c r="N37" s="77">
        <f t="shared" si="1"/>
        <v>0.32999999999999829</v>
      </c>
      <c r="O37" s="95">
        <f t="shared" si="2"/>
        <v>85.064999999999998</v>
      </c>
      <c r="P37" s="96">
        <f t="shared" si="3"/>
        <v>85.365000000000009</v>
      </c>
      <c r="Q37" s="95">
        <f t="shared" ca="1" si="4"/>
        <v>252.32999999999993</v>
      </c>
      <c r="R37" s="96">
        <f ca="1">IF($Q$2=$V$2,$F$21*Tabla43[[#This Row],[límite sup]]-$F$19,($F$22*Tabla43[[#This Row],[límite sup]]-$F$19)/$F$23)</f>
        <v>256.83000000000015</v>
      </c>
    </row>
    <row r="38" spans="2:21" x14ac:dyDescent="0.2">
      <c r="B38" s="4">
        <v>30</v>
      </c>
      <c r="C38" s="28">
        <v>50</v>
      </c>
      <c r="K38" s="42">
        <f ca="1">sep!K37</f>
        <v>9</v>
      </c>
      <c r="L38" s="42" t="str">
        <f>sep!L37</f>
        <v>Javier Revuelta Alonso</v>
      </c>
      <c r="M38" s="28">
        <f>sep!M37</f>
        <v>84.9</v>
      </c>
      <c r="N38" s="77">
        <f t="shared" si="1"/>
        <v>2.460000000000008</v>
      </c>
      <c r="O38" s="95">
        <f t="shared" si="2"/>
        <v>83.67</v>
      </c>
      <c r="P38" s="96">
        <f t="shared" si="3"/>
        <v>85.064999999999998</v>
      </c>
      <c r="Q38" s="95">
        <f t="shared" ca="1" si="4"/>
        <v>231.40499999999997</v>
      </c>
      <c r="R38" s="96">
        <f ca="1">IF($Q$2=$V$2,$F$21*Tabla43[[#This Row],[límite sup]]-$F$19,($F$22*Tabla43[[#This Row],[límite sup]]-$F$19)/$F$23)</f>
        <v>252.32999999999993</v>
      </c>
    </row>
    <row r="39" spans="2:21" x14ac:dyDescent="0.2">
      <c r="B39" s="4"/>
      <c r="C39" s="28"/>
      <c r="K39" s="42">
        <f ca="1">sep!K38</f>
        <v>8</v>
      </c>
      <c r="L39" s="42" t="str">
        <f>sep!L38</f>
        <v>Carlos Martin</v>
      </c>
      <c r="M39" s="28">
        <f>sep!M38</f>
        <v>82.44</v>
      </c>
      <c r="N39" s="77">
        <f t="shared" si="1"/>
        <v>0.70999999999999375</v>
      </c>
      <c r="O39" s="95">
        <f t="shared" si="2"/>
        <v>82.085000000000008</v>
      </c>
      <c r="P39" s="96">
        <f t="shared" si="3"/>
        <v>83.67</v>
      </c>
      <c r="Q39" s="95">
        <f t="shared" ca="1" si="4"/>
        <v>207.63000000000011</v>
      </c>
      <c r="R39" s="96">
        <f ca="1">IF($Q$2=$V$2,$F$21*Tabla43[[#This Row],[límite sup]]-$F$19,($F$22*Tabla43[[#This Row],[límite sup]]-$F$19)/$F$23)</f>
        <v>231.40499999999997</v>
      </c>
    </row>
    <row r="40" spans="2:21" x14ac:dyDescent="0.2">
      <c r="B40" s="4"/>
      <c r="C40" s="28" t="str">
        <f>IFERROR(omie_mayo_miniporra[[#This Row],[€/MWh]],"")</f>
        <v/>
      </c>
      <c r="K40" s="42">
        <f ca="1">sep!K39</f>
        <v>7</v>
      </c>
      <c r="L40" s="42" t="str">
        <f>sep!L39</f>
        <v>Jesús Aceituno López</v>
      </c>
      <c r="M40" s="28">
        <f>sep!M39</f>
        <v>81.73</v>
      </c>
      <c r="N40" s="77">
        <f t="shared" si="1"/>
        <v>0.27000000000001023</v>
      </c>
      <c r="O40" s="95">
        <f t="shared" si="2"/>
        <v>81.594999999999999</v>
      </c>
      <c r="P40" s="96">
        <f t="shared" si="3"/>
        <v>82.085000000000008</v>
      </c>
      <c r="Q40" s="95">
        <f t="shared" ca="1" si="4"/>
        <v>200.27999999999997</v>
      </c>
      <c r="R40" s="96">
        <f ca="1">IF($Q$2=$V$2,$F$21*Tabla43[[#This Row],[límite sup]]-$F$19,($F$22*Tabla43[[#This Row],[límite sup]]-$F$19)/$F$23)</f>
        <v>207.63000000000011</v>
      </c>
    </row>
    <row r="41" spans="2:21" x14ac:dyDescent="0.2">
      <c r="B41" s="4"/>
      <c r="C41" s="28" t="str">
        <f>IFERROR(omie_mayo_miniporra[[#This Row],[€/MWh]],"")</f>
        <v/>
      </c>
      <c r="K41" s="42">
        <f ca="1">sep!K40</f>
        <v>6</v>
      </c>
      <c r="L41" s="42" t="str">
        <f>sep!L40</f>
        <v>Paco Cuadrado</v>
      </c>
      <c r="M41" s="28">
        <f>sep!M40</f>
        <v>81.459999999999994</v>
      </c>
      <c r="N41" s="77">
        <f t="shared" si="1"/>
        <v>1.5699999999999932</v>
      </c>
      <c r="O41" s="95">
        <f t="shared" si="2"/>
        <v>80.674999999999997</v>
      </c>
      <c r="P41" s="96">
        <f t="shared" si="3"/>
        <v>81.594999999999999</v>
      </c>
      <c r="Q41" s="95">
        <f t="shared" ca="1" si="4"/>
        <v>186.48000000000002</v>
      </c>
      <c r="R41" s="96">
        <f ca="1">IF($Q$2=$V$2,$F$21*Tabla43[[#This Row],[límite sup]]-$F$19,($F$22*Tabla43[[#This Row],[límite sup]]-$F$19)/$F$23)</f>
        <v>200.27999999999997</v>
      </c>
    </row>
    <row r="42" spans="2:21" x14ac:dyDescent="0.2">
      <c r="B42" s="4"/>
      <c r="C42" s="28" t="str">
        <f>IFERROR(omie_mayo_miniporra[[#This Row],[€/MWh]],"")</f>
        <v/>
      </c>
      <c r="K42" s="42">
        <f ca="1">sep!K41</f>
        <v>4</v>
      </c>
      <c r="L42" s="42" t="str">
        <f>sep!L41</f>
        <v>Oscar Mulas Crespo</v>
      </c>
      <c r="M42" s="28">
        <f>sep!M41</f>
        <v>79.89</v>
      </c>
      <c r="N42" s="77">
        <f t="shared" si="1"/>
        <v>2.1200000000000045</v>
      </c>
      <c r="O42" s="95">
        <f t="shared" si="2"/>
        <v>78.83</v>
      </c>
      <c r="P42" s="96">
        <f t="shared" si="3"/>
        <v>80.674999999999997</v>
      </c>
      <c r="Q42" s="95">
        <f t="shared" ca="1" si="4"/>
        <v>158.80500000000006</v>
      </c>
      <c r="R42" s="96">
        <f ca="1">IF($Q$2=$V$2,$F$21*Tabla43[[#This Row],[límite sup]]-$F$19,($F$22*Tabla43[[#This Row],[límite sup]]-$F$19)/$F$23)</f>
        <v>186.48000000000002</v>
      </c>
    </row>
    <row r="43" spans="2:21" x14ac:dyDescent="0.2">
      <c r="B43" s="4"/>
      <c r="C43" s="28" t="str">
        <f>IFERROR(omie_mayo_miniporra[[#This Row],[€/MWh]],"")</f>
        <v/>
      </c>
      <c r="F43" s="4"/>
      <c r="K43" s="42">
        <f ca="1">sep!K42</f>
        <v>2</v>
      </c>
      <c r="L43" s="42" t="str">
        <f>sep!L42</f>
        <v>Fernando Sánchez-Rey Maeso</v>
      </c>
      <c r="M43" s="28">
        <f>sep!M42</f>
        <v>77.77</v>
      </c>
      <c r="N43" s="77">
        <f t="shared" si="1"/>
        <v>4.2199999999999989</v>
      </c>
      <c r="O43" s="95">
        <f t="shared" si="2"/>
        <v>75.66</v>
      </c>
      <c r="P43" s="96">
        <f t="shared" si="3"/>
        <v>78.83</v>
      </c>
      <c r="Q43" s="95">
        <f t="shared" ca="1" si="4"/>
        <v>111.25499999999988</v>
      </c>
      <c r="R43" s="96">
        <f ca="1">IF($Q$2=$V$2,$F$21*Tabla43[[#This Row],[límite sup]]-$F$19,($F$22*Tabla43[[#This Row],[límite sup]]-$F$19)/$F$23)</f>
        <v>158.80500000000006</v>
      </c>
    </row>
    <row r="44" spans="2:21" x14ac:dyDescent="0.2">
      <c r="K44" s="42">
        <f ca="1">sep!K43</f>
        <v>1</v>
      </c>
      <c r="L44" s="42" t="str">
        <f>sep!L43</f>
        <v>Gladys Rocha Blanco</v>
      </c>
      <c r="M44" s="28">
        <f>sep!M43</f>
        <v>73.55</v>
      </c>
      <c r="N44" s="77">
        <f t="shared" si="1"/>
        <v>5.3100000000000023</v>
      </c>
      <c r="O44" s="95">
        <f t="shared" si="2"/>
        <v>70.894999999999996</v>
      </c>
      <c r="P44" s="96">
        <f t="shared" si="3"/>
        <v>75.66</v>
      </c>
      <c r="Q44" s="95">
        <f t="shared" ca="1" si="4"/>
        <v>39.779999999999973</v>
      </c>
      <c r="R44" s="96">
        <f ca="1">IF($Q$2=$V$2,$F$21*Tabla43[[#This Row],[límite sup]]-$F$19,($F$22*Tabla43[[#This Row],[límite sup]]-$F$19)/$F$23)</f>
        <v>111.25499999999988</v>
      </c>
    </row>
    <row r="45" spans="2:21" x14ac:dyDescent="0.2">
      <c r="K45" s="42">
        <f ca="1">sep!K44</f>
        <v>3</v>
      </c>
      <c r="L45" s="42" t="str">
        <f>sep!L44</f>
        <v>Jorge González Arconada</v>
      </c>
      <c r="M45" s="28">
        <f>sep!M44</f>
        <v>68.239999999999995</v>
      </c>
      <c r="N45" s="77">
        <f t="shared" si="1"/>
        <v>3.2399999999999949</v>
      </c>
      <c r="O45" s="95">
        <f t="shared" si="2"/>
        <v>66.62</v>
      </c>
      <c r="P45" s="96">
        <f t="shared" si="3"/>
        <v>70.894999999999996</v>
      </c>
      <c r="Q45" s="95">
        <f t="shared" ca="1" si="4"/>
        <v>-24.344999999999914</v>
      </c>
      <c r="R45" s="96">
        <f ca="1">IF($Q$2=$V$2,$F$21*Tabla43[[#This Row],[límite sup]]-$F$19,($F$22*Tabla43[[#This Row],[límite sup]]-$F$19)/$F$23)</f>
        <v>39.779999999999973</v>
      </c>
    </row>
    <row r="46" spans="2:21" x14ac:dyDescent="0.2">
      <c r="K46" s="42">
        <f ca="1">sep!K45</f>
        <v>5</v>
      </c>
      <c r="L46" s="42" t="str">
        <f>sep!L45</f>
        <v>Alfonso Zárate Conde</v>
      </c>
      <c r="M46" s="28">
        <f>sep!M45</f>
        <v>65</v>
      </c>
      <c r="N46" s="77">
        <f t="shared" si="1"/>
        <v>65</v>
      </c>
      <c r="O46" s="95">
        <f t="shared" si="2"/>
        <v>32.5</v>
      </c>
      <c r="P46" s="96">
        <f t="shared" si="3"/>
        <v>66.62</v>
      </c>
      <c r="Q46" s="95">
        <f t="shared" si="4"/>
        <v>0</v>
      </c>
      <c r="R46" s="96">
        <f ca="1">IF($Q$2=$V$2,$F$21*Tabla43[[#This Row],[límite sup]]-$F$19,($F$22*Tabla43[[#This Row],[límite sup]]-$F$19)/$F$23)</f>
        <v>-24.344999999999914</v>
      </c>
    </row>
    <row r="47" spans="2:21" x14ac:dyDescent="0.2">
      <c r="K47" s="42"/>
      <c r="L47" s="42"/>
      <c r="M47" s="28"/>
      <c r="N47" s="77"/>
      <c r="O47" s="95"/>
      <c r="P47" s="96"/>
      <c r="Q47" s="95"/>
      <c r="R47" s="96"/>
    </row>
    <row r="48" spans="2:21" x14ac:dyDescent="0.2">
      <c r="K48" s="42"/>
      <c r="L48" s="42"/>
      <c r="M48" s="28"/>
      <c r="N48" s="77"/>
      <c r="O48" s="95"/>
      <c r="P48" s="96"/>
      <c r="Q48" s="95"/>
      <c r="R48" s="96"/>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8">
    <cfRule type="expression" dxfId="91" priority="5">
      <formula>$B9&gt;$F$18</formula>
    </cfRule>
  </conditionalFormatting>
  <conditionalFormatting sqref="K8:R58">
    <cfRule type="expression" dxfId="90" priority="1" stopIfTrue="1">
      <formula>$K8:$K58=1</formula>
    </cfRule>
    <cfRule type="expression" priority="2" stopIfTrue="1">
      <formula>$M8:$M58&gt;=$U$13+1</formula>
    </cfRule>
    <cfRule type="expression" dxfId="89" priority="74">
      <formula>$M8:$M58&gt;=$U$10+1</formula>
    </cfRule>
    <cfRule type="expression" dxfId="88" priority="75">
      <formula>$M8:$M58&gt;=$U$9</formula>
    </cfRule>
    <cfRule type="expression" dxfId="87" priority="77">
      <formula>$M8:$M58&gt;=$U$12</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M51" sqref="M51"/>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561</v>
      </c>
      <c r="B3" s="80">
        <v>65</v>
      </c>
      <c r="C3">
        <f>_xlfn.NORM.DIST(B3,$F$3,$F$4,FALSE)</f>
        <v>6.1874987405170355E-4</v>
      </c>
      <c r="D3">
        <f>_xlfn.NORM.DIST(B3,$F$3,$F$4,TRUE)</f>
        <v>1.4720324814160998E-3</v>
      </c>
      <c r="E3" t="s">
        <v>489</v>
      </c>
      <c r="F3" s="21">
        <f>AVERAGE(B3:B41)</f>
        <v>88.05102564102566</v>
      </c>
    </row>
    <row r="4" spans="1:26" x14ac:dyDescent="0.2">
      <c r="A4" t="s">
        <v>803</v>
      </c>
      <c r="B4" s="81">
        <v>68.239999999999995</v>
      </c>
      <c r="C4">
        <f t="shared" ref="C4:C41" si="0">_xlfn.NORM.DIST(B4,$F$3,$F$4,FALSE)</f>
        <v>1.964798222678464E-3</v>
      </c>
      <c r="D4">
        <f t="shared" ref="D4:D41" si="1">_xlfn.NORM.DIST(B4,$F$3,$F$4,TRUE)</f>
        <v>5.3007381128846219E-3</v>
      </c>
      <c r="E4" t="s">
        <v>809</v>
      </c>
      <c r="F4">
        <f>_xlfn.STDEV.S(B3:B41)</f>
        <v>7.7521038892581657</v>
      </c>
      <c r="Y4" t="s">
        <v>960</v>
      </c>
    </row>
    <row r="5" spans="1:26" x14ac:dyDescent="0.2">
      <c r="A5" t="s">
        <v>409</v>
      </c>
      <c r="B5" s="80">
        <v>73.55</v>
      </c>
      <c r="C5">
        <f t="shared" si="0"/>
        <v>8.9467894051809913E-3</v>
      </c>
      <c r="D5">
        <f t="shared" si="1"/>
        <v>3.070080816465811E-2</v>
      </c>
      <c r="E5" s="45" t="s">
        <v>808</v>
      </c>
      <c r="F5" s="83">
        <f>MEDIAN(B3:B41)</f>
        <v>89.23</v>
      </c>
      <c r="Y5" t="s">
        <v>553</v>
      </c>
      <c r="Z5" s="23">
        <f>powerrange!U9</f>
        <v>68</v>
      </c>
    </row>
    <row r="6" spans="1:26" x14ac:dyDescent="0.2">
      <c r="A6" t="s">
        <v>217</v>
      </c>
      <c r="B6" s="81">
        <v>77.77</v>
      </c>
      <c r="C6">
        <f t="shared" si="0"/>
        <v>2.1357810861365283E-2</v>
      </c>
      <c r="D6">
        <f t="shared" si="1"/>
        <v>9.2382768505894983E-2</v>
      </c>
      <c r="Y6" t="s">
        <v>959</v>
      </c>
      <c r="Z6" s="23">
        <f>powerrange!U10</f>
        <v>73</v>
      </c>
    </row>
    <row r="7" spans="1:26" x14ac:dyDescent="0.2">
      <c r="A7" t="s">
        <v>292</v>
      </c>
      <c r="B7" s="80">
        <v>79.89</v>
      </c>
      <c r="C7">
        <f t="shared" si="0"/>
        <v>2.9568553745259289E-2</v>
      </c>
      <c r="D7">
        <f t="shared" si="1"/>
        <v>0.14622784421620022</v>
      </c>
    </row>
    <row r="8" spans="1:26" x14ac:dyDescent="0.2">
      <c r="A8" t="s">
        <v>784</v>
      </c>
      <c r="B8" s="81">
        <v>81.459999999999994</v>
      </c>
      <c r="C8">
        <f t="shared" si="0"/>
        <v>3.5852451606849606E-2</v>
      </c>
      <c r="D8">
        <f t="shared" si="1"/>
        <v>0.1976002494639178</v>
      </c>
    </row>
    <row r="9" spans="1:26" x14ac:dyDescent="0.2">
      <c r="A9" t="s">
        <v>786</v>
      </c>
      <c r="B9" s="80">
        <v>81.73</v>
      </c>
      <c r="C9">
        <f t="shared" si="0"/>
        <v>3.6907621830431746E-2</v>
      </c>
      <c r="D9">
        <f t="shared" si="1"/>
        <v>0.20742316368526625</v>
      </c>
    </row>
    <row r="10" spans="1:26" x14ac:dyDescent="0.2">
      <c r="A10" t="s">
        <v>652</v>
      </c>
      <c r="B10" s="81">
        <v>82.44</v>
      </c>
      <c r="C10">
        <f t="shared" si="0"/>
        <v>3.9602977923217278E-2</v>
      </c>
      <c r="D10">
        <f t="shared" si="1"/>
        <v>0.23459217181121039</v>
      </c>
    </row>
    <row r="11" spans="1:26" x14ac:dyDescent="0.2">
      <c r="A11" t="s">
        <v>2</v>
      </c>
      <c r="B11" s="80">
        <v>84.9</v>
      </c>
      <c r="C11">
        <f t="shared" si="0"/>
        <v>4.7381984019989859E-2</v>
      </c>
      <c r="D11">
        <f t="shared" si="1"/>
        <v>0.34219732231438071</v>
      </c>
    </row>
    <row r="12" spans="1:26" x14ac:dyDescent="0.2">
      <c r="A12" t="s">
        <v>1107</v>
      </c>
      <c r="B12" s="81">
        <v>85.23</v>
      </c>
      <c r="C12">
        <f t="shared" si="0"/>
        <v>4.816531807315353E-2</v>
      </c>
      <c r="D12">
        <f t="shared" si="1"/>
        <v>0.35796465481914996</v>
      </c>
    </row>
    <row r="13" spans="1:26" x14ac:dyDescent="0.2">
      <c r="A13" t="s">
        <v>403</v>
      </c>
      <c r="B13" s="80">
        <v>85.5</v>
      </c>
      <c r="C13">
        <f t="shared" si="0"/>
        <v>4.8750097852930711E-2</v>
      </c>
      <c r="D13">
        <f t="shared" si="1"/>
        <v>0.37104939986138769</v>
      </c>
      <c r="F13">
        <f>_xlfn.PERCENTILE.INC(C3:C41,0.75)</f>
        <v>4.9815539263053724E-2</v>
      </c>
    </row>
    <row r="14" spans="1:26" x14ac:dyDescent="0.2">
      <c r="A14" t="s">
        <v>408</v>
      </c>
      <c r="B14" s="81">
        <v>85.98</v>
      </c>
      <c r="C14">
        <f t="shared" si="0"/>
        <v>4.9658329852001727E-2</v>
      </c>
      <c r="D14">
        <f t="shared" si="1"/>
        <v>0.39467429890910732</v>
      </c>
    </row>
    <row r="15" spans="1:26" x14ac:dyDescent="0.2">
      <c r="A15" t="s">
        <v>645</v>
      </c>
      <c r="B15" s="80">
        <v>86.44</v>
      </c>
      <c r="C15">
        <f t="shared" si="0"/>
        <v>5.0363078551593041E-2</v>
      </c>
      <c r="D15">
        <f t="shared" si="1"/>
        <v>0.41768559338280353</v>
      </c>
    </row>
    <row r="16" spans="1:26" x14ac:dyDescent="0.2">
      <c r="A16" t="s">
        <v>413</v>
      </c>
      <c r="B16" s="81">
        <v>86.86</v>
      </c>
      <c r="C16">
        <f t="shared" si="0"/>
        <v>5.0858638776407117E-2</v>
      </c>
      <c r="D16">
        <f t="shared" si="1"/>
        <v>0.43894718451754522</v>
      </c>
    </row>
    <row r="17" spans="1:4" x14ac:dyDescent="0.2">
      <c r="A17" t="s">
        <v>363</v>
      </c>
      <c r="B17" s="80">
        <v>87.4</v>
      </c>
      <c r="C17">
        <f t="shared" si="0"/>
        <v>5.1281297092656407E-2</v>
      </c>
      <c r="D17">
        <f t="shared" si="1"/>
        <v>0.46653596374780593</v>
      </c>
    </row>
    <row r="18" spans="1:4" x14ac:dyDescent="0.2">
      <c r="A18" t="s">
        <v>1106</v>
      </c>
      <c r="B18" s="81">
        <v>87.6</v>
      </c>
      <c r="C18">
        <f t="shared" si="0"/>
        <v>5.1375425327035054E-2</v>
      </c>
      <c r="D18">
        <f t="shared" si="1"/>
        <v>0.47680220254405692</v>
      </c>
    </row>
    <row r="19" spans="1:4" x14ac:dyDescent="0.2">
      <c r="A19" t="s">
        <v>406</v>
      </c>
      <c r="B19" s="80">
        <v>88</v>
      </c>
      <c r="C19">
        <f t="shared" si="0"/>
        <v>5.1461337995820429E-2</v>
      </c>
      <c r="D19">
        <f t="shared" si="1"/>
        <v>0.49737411431884843</v>
      </c>
    </row>
    <row r="20" spans="1:4" x14ac:dyDescent="0.2">
      <c r="A20" t="s">
        <v>328</v>
      </c>
      <c r="B20" s="81">
        <v>88.05</v>
      </c>
      <c r="C20">
        <f t="shared" si="0"/>
        <v>5.1462452336658714E-2</v>
      </c>
      <c r="D20">
        <f t="shared" si="1"/>
        <v>0.4999472179972943</v>
      </c>
    </row>
    <row r="21" spans="1:4" x14ac:dyDescent="0.2">
      <c r="A21" t="s">
        <v>218</v>
      </c>
      <c r="B21" s="80">
        <v>88.88</v>
      </c>
      <c r="C21">
        <f t="shared" si="0"/>
        <v>5.116905114157394E-2</v>
      </c>
      <c r="D21">
        <f t="shared" si="1"/>
        <v>0.54257988694108716</v>
      </c>
    </row>
    <row r="22" spans="1:4" x14ac:dyDescent="0.2">
      <c r="A22" t="s">
        <v>1028</v>
      </c>
      <c r="B22" s="81">
        <v>89.23</v>
      </c>
      <c r="C22">
        <f t="shared" si="0"/>
        <v>5.0870726061566875E-2</v>
      </c>
      <c r="D22">
        <f t="shared" si="1"/>
        <v>0.56043983072760617</v>
      </c>
    </row>
    <row r="23" spans="1:4" x14ac:dyDescent="0.2">
      <c r="A23" t="s">
        <v>1105</v>
      </c>
      <c r="B23" s="80">
        <v>89.4</v>
      </c>
      <c r="C23">
        <f t="shared" si="0"/>
        <v>5.068915787570983E-2</v>
      </c>
      <c r="D23">
        <f t="shared" si="1"/>
        <v>0.56907275762711118</v>
      </c>
    </row>
    <row r="24" spans="1:4" x14ac:dyDescent="0.2">
      <c r="A24" t="s">
        <v>381</v>
      </c>
      <c r="B24" s="81">
        <v>89.93</v>
      </c>
      <c r="C24">
        <f t="shared" si="0"/>
        <v>4.9972748674105713E-2</v>
      </c>
      <c r="D24">
        <f t="shared" si="1"/>
        <v>0.59575810533344931</v>
      </c>
    </row>
    <row r="25" spans="1:4" x14ac:dyDescent="0.2">
      <c r="A25" t="s">
        <v>942</v>
      </c>
      <c r="B25" s="80">
        <v>90.66</v>
      </c>
      <c r="C25">
        <f t="shared" si="0"/>
        <v>4.8628965614319397E-2</v>
      </c>
      <c r="D25">
        <f t="shared" si="1"/>
        <v>0.63177210776337256</v>
      </c>
    </row>
    <row r="26" spans="1:4" x14ac:dyDescent="0.2">
      <c r="A26" t="s">
        <v>215</v>
      </c>
      <c r="B26" s="81">
        <v>90.9</v>
      </c>
      <c r="C26">
        <f t="shared" si="0"/>
        <v>4.8101854584220304E-2</v>
      </c>
      <c r="D26">
        <f t="shared" si="1"/>
        <v>0.64338061847130523</v>
      </c>
    </row>
    <row r="27" spans="1:4" x14ac:dyDescent="0.2">
      <c r="A27" t="s">
        <v>219</v>
      </c>
      <c r="B27" s="80">
        <v>91.11</v>
      </c>
      <c r="C27">
        <f t="shared" si="0"/>
        <v>4.7607874904472339E-2</v>
      </c>
      <c r="D27">
        <f t="shared" si="1"/>
        <v>0.65343066540800487</v>
      </c>
    </row>
    <row r="28" spans="1:4" x14ac:dyDescent="0.2">
      <c r="A28" t="s">
        <v>1104</v>
      </c>
      <c r="B28" s="81">
        <v>91.26</v>
      </c>
      <c r="C28">
        <f t="shared" si="0"/>
        <v>4.7236913445521923E-2</v>
      </c>
      <c r="D28">
        <f t="shared" si="1"/>
        <v>0.66054421020449217</v>
      </c>
    </row>
    <row r="29" spans="1:4" x14ac:dyDescent="0.2">
      <c r="A29" t="s">
        <v>792</v>
      </c>
      <c r="B29" s="80">
        <v>91.77</v>
      </c>
      <c r="C29">
        <f t="shared" si="0"/>
        <v>4.5868493770428398E-2</v>
      </c>
      <c r="D29">
        <f t="shared" si="1"/>
        <v>0.6842929436850651</v>
      </c>
    </row>
    <row r="30" spans="1:4" x14ac:dyDescent="0.2">
      <c r="A30" t="s">
        <v>1027</v>
      </c>
      <c r="B30" s="81">
        <v>91.86</v>
      </c>
      <c r="C30">
        <f t="shared" si="0"/>
        <v>4.5610659295222372E-2</v>
      </c>
      <c r="D30">
        <f t="shared" si="1"/>
        <v>0.68840954091056639</v>
      </c>
    </row>
    <row r="31" spans="1:4" x14ac:dyDescent="0.2">
      <c r="A31" t="s">
        <v>225</v>
      </c>
      <c r="B31" s="80">
        <v>92.8</v>
      </c>
      <c r="C31">
        <f t="shared" si="0"/>
        <v>4.265780605173021E-2</v>
      </c>
      <c r="D31">
        <f t="shared" si="1"/>
        <v>0.72993108593332212</v>
      </c>
    </row>
    <row r="32" spans="1:4" x14ac:dyDescent="0.2">
      <c r="A32" t="s">
        <v>474</v>
      </c>
      <c r="B32" s="81">
        <v>92.87</v>
      </c>
      <c r="C32">
        <f t="shared" si="0"/>
        <v>4.2420757806034437E-2</v>
      </c>
      <c r="D32">
        <f t="shared" si="1"/>
        <v>0.73290884819602686</v>
      </c>
    </row>
    <row r="33" spans="1:18" x14ac:dyDescent="0.2">
      <c r="A33" t="s">
        <v>362</v>
      </c>
      <c r="B33" s="80">
        <v>93.65</v>
      </c>
      <c r="C33">
        <f t="shared" si="0"/>
        <v>3.9647517044166733E-2</v>
      </c>
      <c r="D33">
        <f t="shared" si="1"/>
        <v>0.7649302931091142</v>
      </c>
    </row>
    <row r="34" spans="1:18" x14ac:dyDescent="0.2">
      <c r="A34" t="s">
        <v>1103</v>
      </c>
      <c r="B34" s="81">
        <v>93.89</v>
      </c>
      <c r="C34">
        <f t="shared" si="0"/>
        <v>3.875224282025555E-2</v>
      </c>
      <c r="D34">
        <f t="shared" si="1"/>
        <v>0.77433860678395083</v>
      </c>
    </row>
    <row r="35" spans="1:18" x14ac:dyDescent="0.2">
      <c r="A35" t="s">
        <v>414</v>
      </c>
      <c r="B35" s="80">
        <v>94.3</v>
      </c>
      <c r="C35">
        <f t="shared" si="0"/>
        <v>3.7186786987781405E-2</v>
      </c>
      <c r="D35">
        <f t="shared" si="1"/>
        <v>0.78990753115554013</v>
      </c>
    </row>
    <row r="36" spans="1:18" x14ac:dyDescent="0.2">
      <c r="A36" t="s">
        <v>222</v>
      </c>
      <c r="B36" s="81">
        <v>94.79</v>
      </c>
      <c r="C36">
        <f t="shared" si="0"/>
        <v>3.5268962390528152E-2</v>
      </c>
      <c r="D36">
        <f t="shared" si="1"/>
        <v>0.80766095319561138</v>
      </c>
    </row>
    <row r="37" spans="1:18" x14ac:dyDescent="0.2">
      <c r="A37" t="s">
        <v>1026</v>
      </c>
      <c r="B37" s="80">
        <v>95.22</v>
      </c>
      <c r="C37">
        <f t="shared" si="0"/>
        <v>3.3556996697930531E-2</v>
      </c>
      <c r="D37">
        <f t="shared" si="1"/>
        <v>0.82245927583409895</v>
      </c>
    </row>
    <row r="38" spans="1:18" x14ac:dyDescent="0.2">
      <c r="A38" t="s">
        <v>542</v>
      </c>
      <c r="B38" s="81">
        <v>95.54</v>
      </c>
      <c r="C38">
        <f t="shared" si="0"/>
        <v>3.2272626353383398E-2</v>
      </c>
      <c r="D38">
        <f t="shared" si="1"/>
        <v>0.83299217443904994</v>
      </c>
    </row>
    <row r="39" spans="1:18" x14ac:dyDescent="0.2">
      <c r="A39" t="s">
        <v>785</v>
      </c>
      <c r="B39" s="80">
        <v>97.05</v>
      </c>
      <c r="C39">
        <f t="shared" si="0"/>
        <v>2.6234475654973798E-2</v>
      </c>
      <c r="D39">
        <f t="shared" si="1"/>
        <v>0.87714709287317993</v>
      </c>
    </row>
    <row r="40" spans="1:18" x14ac:dyDescent="0.2">
      <c r="A40" t="s">
        <v>1102</v>
      </c>
      <c r="B40" s="81">
        <v>98.5</v>
      </c>
      <c r="C40">
        <f t="shared" si="0"/>
        <v>2.0748009206055577E-2</v>
      </c>
      <c r="D40">
        <f t="shared" si="1"/>
        <v>0.9111529318141921</v>
      </c>
    </row>
    <row r="41" spans="1:18" x14ac:dyDescent="0.2">
      <c r="A41" t="s">
        <v>944</v>
      </c>
      <c r="B41" s="82">
        <v>104.34</v>
      </c>
      <c r="C41">
        <f t="shared" si="0"/>
        <v>5.6590893836265949E-3</v>
      </c>
      <c r="D41">
        <f t="shared" si="1"/>
        <v>0.98218972886516231</v>
      </c>
    </row>
    <row r="42" spans="1:18" x14ac:dyDescent="0.2">
      <c r="B42" s="28"/>
    </row>
    <row r="43" spans="1:18" x14ac:dyDescent="0.2">
      <c r="B43" s="28"/>
    </row>
    <row r="44" spans="1:18" x14ac:dyDescent="0.2">
      <c r="B44" s="28"/>
      <c r="Q44" t="s">
        <v>874</v>
      </c>
      <c r="R44" s="26">
        <v>91.18</v>
      </c>
    </row>
    <row r="45" spans="1:18" x14ac:dyDescent="0.2">
      <c r="B45" s="28"/>
      <c r="K45" s="15" t="s">
        <v>222</v>
      </c>
      <c r="L45" s="103">
        <v>81.599999999999994</v>
      </c>
      <c r="M45" s="4">
        <v>0</v>
      </c>
      <c r="Q45" t="s">
        <v>4</v>
      </c>
      <c r="R45" s="111">
        <f ca="1">sep!B3</f>
        <v>73.12</v>
      </c>
    </row>
    <row r="46" spans="1:18" x14ac:dyDescent="0.2">
      <c r="B46" s="28"/>
      <c r="L46" s="4">
        <f>L45</f>
        <v>81.599999999999994</v>
      </c>
      <c r="M46" t="e">
        <f>INDEX(C3:C55,MATCH(L46,B3:B53,-1))</f>
        <v>#N/A</v>
      </c>
      <c r="Q46" t="s">
        <v>1034</v>
      </c>
      <c r="R46" s="21">
        <f ca="1">ABS(+R44-R45)</f>
        <v>18.060000000000002</v>
      </c>
    </row>
    <row r="47" spans="1:18" x14ac:dyDescent="0.2">
      <c r="B47" s="28"/>
      <c r="L47" s="4"/>
      <c r="M47" s="4"/>
      <c r="Q47" t="s">
        <v>1035</v>
      </c>
      <c r="R47" s="43">
        <f ca="1">R46/R45</f>
        <v>0.24699124726477026</v>
      </c>
    </row>
    <row r="48" spans="1:18" x14ac:dyDescent="0.2">
      <c r="B48" s="28"/>
      <c r="L48" s="4"/>
      <c r="M48" s="4"/>
    </row>
    <row r="49" spans="1:13" x14ac:dyDescent="0.2">
      <c r="B49" s="28"/>
      <c r="K49" t="s">
        <v>229</v>
      </c>
      <c r="L49" s="44">
        <f ca="1">sep!$B$3</f>
        <v>73.12</v>
      </c>
      <c r="M49" s="4">
        <v>0</v>
      </c>
    </row>
    <row r="50" spans="1:13" x14ac:dyDescent="0.2">
      <c r="B50" s="28"/>
      <c r="L50" s="28">
        <f ca="1">L49</f>
        <v>73.12</v>
      </c>
      <c r="M50" s="4">
        <f ca="1">INDEX(C3:C41,MATCH(L49,C3:C41,1))</f>
        <v>5.6590893836265949E-3</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561</v>
      </c>
      <c r="B59" s="80">
        <v>65</v>
      </c>
    </row>
    <row r="60" spans="1:13" x14ac:dyDescent="0.2">
      <c r="A60" t="s">
        <v>803</v>
      </c>
      <c r="B60" s="81">
        <v>68.239999999999995</v>
      </c>
    </row>
    <row r="61" spans="1:13" x14ac:dyDescent="0.2">
      <c r="A61" t="s">
        <v>409</v>
      </c>
      <c r="B61" s="81">
        <v>73.55</v>
      </c>
    </row>
    <row r="62" spans="1:13" x14ac:dyDescent="0.2">
      <c r="A62" t="s">
        <v>217</v>
      </c>
      <c r="B62" s="80">
        <v>77.77</v>
      </c>
    </row>
    <row r="63" spans="1:13" x14ac:dyDescent="0.2">
      <c r="A63" t="s">
        <v>292</v>
      </c>
      <c r="B63" s="80">
        <v>79.89</v>
      </c>
    </row>
    <row r="64" spans="1:13" x14ac:dyDescent="0.2">
      <c r="A64" t="s">
        <v>784</v>
      </c>
      <c r="B64" s="81">
        <v>81.459999999999994</v>
      </c>
    </row>
    <row r="65" spans="1:2" x14ac:dyDescent="0.2">
      <c r="A65" t="s">
        <v>786</v>
      </c>
      <c r="B65" s="80">
        <v>81.73</v>
      </c>
    </row>
    <row r="66" spans="1:2" x14ac:dyDescent="0.2">
      <c r="A66" t="s">
        <v>652</v>
      </c>
      <c r="B66" s="81">
        <v>82.44</v>
      </c>
    </row>
    <row r="67" spans="1:2" x14ac:dyDescent="0.2">
      <c r="A67" t="s">
        <v>2</v>
      </c>
      <c r="B67" s="81">
        <v>84.9</v>
      </c>
    </row>
    <row r="68" spans="1:2" x14ac:dyDescent="0.2">
      <c r="A68" t="s">
        <v>1107</v>
      </c>
      <c r="B68" s="80">
        <v>85.23</v>
      </c>
    </row>
    <row r="69" spans="1:2" x14ac:dyDescent="0.2">
      <c r="A69" t="s">
        <v>403</v>
      </c>
      <c r="B69" s="80">
        <v>85.5</v>
      </c>
    </row>
    <row r="70" spans="1:2" x14ac:dyDescent="0.2">
      <c r="A70" t="s">
        <v>408</v>
      </c>
      <c r="B70" s="80">
        <v>85.98</v>
      </c>
    </row>
    <row r="71" spans="1:2" x14ac:dyDescent="0.2">
      <c r="A71" t="s">
        <v>645</v>
      </c>
      <c r="B71" s="80">
        <v>86.44</v>
      </c>
    </row>
    <row r="72" spans="1:2" x14ac:dyDescent="0.2">
      <c r="A72" t="s">
        <v>413</v>
      </c>
      <c r="B72" s="80">
        <v>86.86</v>
      </c>
    </row>
    <row r="73" spans="1:2" x14ac:dyDescent="0.2">
      <c r="A73" t="s">
        <v>363</v>
      </c>
      <c r="B73" s="81">
        <v>87.4</v>
      </c>
    </row>
    <row r="74" spans="1:2" x14ac:dyDescent="0.2">
      <c r="A74" t="s">
        <v>1106</v>
      </c>
      <c r="B74" s="81">
        <v>87.6</v>
      </c>
    </row>
    <row r="75" spans="1:2" x14ac:dyDescent="0.2">
      <c r="A75" t="s">
        <v>406</v>
      </c>
      <c r="B75" s="80">
        <v>88</v>
      </c>
    </row>
    <row r="76" spans="1:2" x14ac:dyDescent="0.2">
      <c r="A76" t="s">
        <v>328</v>
      </c>
      <c r="B76" s="80">
        <v>88.05</v>
      </c>
    </row>
    <row r="77" spans="1:2" x14ac:dyDescent="0.2">
      <c r="A77" t="s">
        <v>218</v>
      </c>
      <c r="B77" s="80">
        <v>88.88</v>
      </c>
    </row>
    <row r="78" spans="1:2" x14ac:dyDescent="0.2">
      <c r="A78" t="s">
        <v>1028</v>
      </c>
      <c r="B78" s="80">
        <v>89.23</v>
      </c>
    </row>
    <row r="79" spans="1:2" x14ac:dyDescent="0.2">
      <c r="A79" t="s">
        <v>1105</v>
      </c>
      <c r="B79" s="81">
        <v>89.4</v>
      </c>
    </row>
    <row r="80" spans="1:2" x14ac:dyDescent="0.2">
      <c r="A80" t="s">
        <v>381</v>
      </c>
      <c r="B80" s="81">
        <v>89.93</v>
      </c>
    </row>
    <row r="81" spans="1:2" x14ac:dyDescent="0.2">
      <c r="A81" t="s">
        <v>942</v>
      </c>
      <c r="B81" s="80">
        <v>90.66</v>
      </c>
    </row>
    <row r="82" spans="1:2" x14ac:dyDescent="0.2">
      <c r="A82" t="s">
        <v>215</v>
      </c>
      <c r="B82" s="80">
        <v>90.9</v>
      </c>
    </row>
    <row r="83" spans="1:2" x14ac:dyDescent="0.2">
      <c r="A83" t="s">
        <v>219</v>
      </c>
      <c r="B83" s="81">
        <v>91.11</v>
      </c>
    </row>
    <row r="84" spans="1:2" x14ac:dyDescent="0.2">
      <c r="A84" t="s">
        <v>1104</v>
      </c>
      <c r="B84" s="81">
        <v>91.26</v>
      </c>
    </row>
    <row r="85" spans="1:2" x14ac:dyDescent="0.2">
      <c r="A85" t="s">
        <v>792</v>
      </c>
      <c r="B85" s="80">
        <v>91.77</v>
      </c>
    </row>
    <row r="86" spans="1:2" x14ac:dyDescent="0.2">
      <c r="A86" t="s">
        <v>1027</v>
      </c>
      <c r="B86" s="80">
        <v>91.86</v>
      </c>
    </row>
    <row r="87" spans="1:2" x14ac:dyDescent="0.2">
      <c r="A87" t="s">
        <v>225</v>
      </c>
      <c r="B87" s="81">
        <v>92.8</v>
      </c>
    </row>
    <row r="88" spans="1:2" x14ac:dyDescent="0.2">
      <c r="A88" t="s">
        <v>474</v>
      </c>
      <c r="B88" s="81">
        <v>92.87</v>
      </c>
    </row>
    <row r="89" spans="1:2" x14ac:dyDescent="0.2">
      <c r="A89" t="s">
        <v>362</v>
      </c>
      <c r="B89" s="81">
        <v>93.65</v>
      </c>
    </row>
    <row r="90" spans="1:2" x14ac:dyDescent="0.2">
      <c r="A90" t="s">
        <v>1103</v>
      </c>
      <c r="B90" s="80">
        <v>93.89</v>
      </c>
    </row>
    <row r="91" spans="1:2" x14ac:dyDescent="0.2">
      <c r="A91" t="s">
        <v>414</v>
      </c>
      <c r="B91" s="81">
        <v>94.3</v>
      </c>
    </row>
    <row r="92" spans="1:2" x14ac:dyDescent="0.2">
      <c r="A92" t="s">
        <v>222</v>
      </c>
      <c r="B92" s="80">
        <v>94.79</v>
      </c>
    </row>
    <row r="93" spans="1:2" x14ac:dyDescent="0.2">
      <c r="A93" t="s">
        <v>1026</v>
      </c>
      <c r="B93" s="81">
        <v>95.22</v>
      </c>
    </row>
    <row r="94" spans="1:2" x14ac:dyDescent="0.2">
      <c r="A94" t="s">
        <v>542</v>
      </c>
      <c r="B94" s="80">
        <v>95.54</v>
      </c>
    </row>
    <row r="95" spans="1:2" x14ac:dyDescent="0.2">
      <c r="A95" t="s">
        <v>785</v>
      </c>
      <c r="B95" s="81">
        <v>97.05</v>
      </c>
    </row>
    <row r="96" spans="1:2" x14ac:dyDescent="0.2">
      <c r="A96" t="s">
        <v>1102</v>
      </c>
      <c r="B96" s="80">
        <v>98.5</v>
      </c>
    </row>
    <row r="97" spans="1:2" x14ac:dyDescent="0.2">
      <c r="A97" t="s">
        <v>944</v>
      </c>
      <c r="B97" s="81">
        <v>104.34</v>
      </c>
    </row>
    <row r="98" spans="1:2" x14ac:dyDescent="0.2">
      <c r="B98" s="81"/>
    </row>
    <row r="99" spans="1:2" x14ac:dyDescent="0.2">
      <c r="B99" s="81"/>
    </row>
    <row r="100" spans="1:2" x14ac:dyDescent="0.2">
      <c r="B100" s="81"/>
    </row>
    <row r="101" spans="1:2" x14ac:dyDescent="0.2">
      <c r="B101" s="80"/>
    </row>
    <row r="102" spans="1:2" x14ac:dyDescent="0.2">
      <c r="B102" s="81"/>
    </row>
    <row r="103" spans="1:2" x14ac:dyDescent="0.2">
      <c r="B103" s="80"/>
    </row>
    <row r="104" spans="1:2" x14ac:dyDescent="0.2">
      <c r="B104" s="80"/>
    </row>
    <row r="105" spans="1:2" x14ac:dyDescent="0.2">
      <c r="B105" s="80"/>
    </row>
    <row r="106" spans="1:2" x14ac:dyDescent="0.2">
      <c r="B106" s="81"/>
    </row>
    <row r="107" spans="1:2" x14ac:dyDescent="0.2">
      <c r="B107" s="80"/>
    </row>
    <row r="108" spans="1:2" x14ac:dyDescent="0.2">
      <c r="B108" s="80"/>
    </row>
    <row r="109" spans="1:2" x14ac:dyDescent="0.2">
      <c r="B109" s="81"/>
    </row>
    <row r="110" spans="1:2" x14ac:dyDescent="0.2">
      <c r="B110" s="81"/>
    </row>
    <row r="111" spans="1:2" x14ac:dyDescent="0.2">
      <c r="B111" s="84"/>
    </row>
  </sheetData>
  <conditionalFormatting sqref="B3:B45 B47:B55">
    <cfRule type="expression" dxfId="74" priority="7">
      <formula>$L3=3</formula>
    </cfRule>
    <cfRule type="expression" dxfId="73" priority="8">
      <formula>$L3=2</formula>
    </cfRule>
    <cfRule type="expression" dxfId="72" priority="9">
      <formula>$L3=1</formula>
    </cfRule>
  </conditionalFormatting>
  <conditionalFormatting sqref="B46">
    <cfRule type="expression" dxfId="71" priority="49">
      <formula>#REF!=3</formula>
    </cfRule>
    <cfRule type="expression" dxfId="70" priority="50">
      <formula>#REF!=2</formula>
    </cfRule>
    <cfRule type="expression" dxfId="69" priority="51">
      <formula>#REF!=1</formula>
    </cfRule>
  </conditionalFormatting>
  <conditionalFormatting sqref="B59:B101 B103:B111">
    <cfRule type="expression" dxfId="68" priority="1">
      <formula>$L59=3</formula>
    </cfRule>
    <cfRule type="expression" dxfId="67" priority="2">
      <formula>$L59=2</formula>
    </cfRule>
    <cfRule type="expression" dxfId="66" priority="3">
      <formula>$L59=1</formula>
    </cfRule>
  </conditionalFormatting>
  <conditionalFormatting sqref="B102">
    <cfRule type="expression" dxfId="65" priority="4">
      <formula>#REF!=3</formula>
    </cfRule>
    <cfRule type="expression" dxfId="64" priority="5">
      <formula>#REF!=2</formula>
    </cfRule>
    <cfRule type="expression" dxfId="63" priority="6">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6" t="s">
        <v>254</v>
      </c>
      <c r="B1" s="156"/>
      <c r="C1" s="156"/>
      <c r="D1" s="156"/>
      <c r="E1" s="156"/>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76.930000000000007</v>
      </c>
      <c r="C4" s="4">
        <v>110.24</v>
      </c>
      <c r="D4" s="4">
        <v>106.46</v>
      </c>
      <c r="E4" s="4">
        <v>95.84</v>
      </c>
      <c r="G4" s="4">
        <v>1</v>
      </c>
      <c r="H4" s="4">
        <v>41.360000000000007</v>
      </c>
      <c r="I4" s="4">
        <v>36.409999999999997</v>
      </c>
      <c r="K4" s="4">
        <v>1</v>
      </c>
      <c r="L4" s="4">
        <v>69.450000000000031</v>
      </c>
      <c r="M4" s="4">
        <v>64.959999999999994</v>
      </c>
      <c r="O4" s="4">
        <v>1</v>
      </c>
      <c r="P4" s="4">
        <v>78.028000000000006</v>
      </c>
      <c r="Q4" s="4">
        <v>99.64458333333333</v>
      </c>
      <c r="R4" s="4">
        <v>0.375</v>
      </c>
      <c r="S4" s="4">
        <v>0.39</v>
      </c>
      <c r="T4" s="4">
        <v>0.20833333333333337</v>
      </c>
      <c r="U4" s="4">
        <v>7.4999999999999997E-2</v>
      </c>
      <c r="V4" s="4">
        <v>0.33333333333333331</v>
      </c>
      <c r="W4" s="4">
        <v>0.40699999999999997</v>
      </c>
      <c r="X4" s="4">
        <v>584</v>
      </c>
      <c r="Y4" s="4">
        <v>58.56333333333334</v>
      </c>
      <c r="Z4" s="4">
        <v>51.84</v>
      </c>
      <c r="AA4" s="4">
        <v>117.08200000000002</v>
      </c>
      <c r="AB4" s="4">
        <v>71.602999999999994</v>
      </c>
      <c r="AC4" s="4">
        <v>126.01874999999998</v>
      </c>
      <c r="AD4" s="4">
        <v>93.677000000000007</v>
      </c>
      <c r="AE4" s="4">
        <f>IF(ISBLANK(t_omie_evol[[#This Row],[Omie media diaria]]),$X$39,t_omie_evol[[#This Row],[demanda GWh]])</f>
        <v>584</v>
      </c>
    </row>
    <row r="5" spans="1:31" x14ac:dyDescent="0.2">
      <c r="A5" s="4">
        <v>2</v>
      </c>
      <c r="B5" s="4">
        <v>34.32</v>
      </c>
      <c r="D5" s="4">
        <v>99.58</v>
      </c>
      <c r="E5" s="4">
        <v>91.33</v>
      </c>
      <c r="G5" s="4">
        <v>2</v>
      </c>
      <c r="H5" s="4">
        <v>42.100000000000016</v>
      </c>
      <c r="I5" s="4">
        <v>36.409999999999997</v>
      </c>
      <c r="K5" s="4">
        <v>2</v>
      </c>
      <c r="L5" s="4">
        <v>69.700000000000031</v>
      </c>
      <c r="M5" s="4">
        <v>64.959999999999994</v>
      </c>
      <c r="O5" s="4">
        <v>2</v>
      </c>
      <c r="P5" s="4">
        <v>78.028000000000006</v>
      </c>
      <c r="Q5" s="4">
        <v>116.66083333333334</v>
      </c>
      <c r="R5" s="4">
        <v>0.20833333333333337</v>
      </c>
      <c r="S5" s="4">
        <v>0.39</v>
      </c>
      <c r="T5" s="4">
        <v>4.1666666666666664E-2</v>
      </c>
      <c r="U5" s="4">
        <v>6.9000000000000006E-2</v>
      </c>
      <c r="V5" s="4">
        <v>0.5</v>
      </c>
      <c r="W5" s="4">
        <v>0.41</v>
      </c>
      <c r="X5" s="4">
        <v>695</v>
      </c>
      <c r="Y5" s="4">
        <v>91.622</v>
      </c>
      <c r="Z5" s="4">
        <v>51.84</v>
      </c>
      <c r="AA5" s="4">
        <v>131.94999999999999</v>
      </c>
      <c r="AB5" s="4">
        <v>71.602999999999994</v>
      </c>
      <c r="AC5" s="4">
        <v>120.75416666666668</v>
      </c>
      <c r="AD5" s="4">
        <v>93.677000000000007</v>
      </c>
      <c r="AE5" s="4">
        <f>IF(ISBLANK(t_omie_evol[[#This Row],[Omie media diaria]]),$X$39,t_omie_evol[[#This Row],[demanda GWh]])</f>
        <v>695</v>
      </c>
    </row>
    <row r="6" spans="1:31" x14ac:dyDescent="0.2">
      <c r="A6" s="4">
        <v>3</v>
      </c>
      <c r="B6" s="4">
        <v>31.79</v>
      </c>
      <c r="C6" s="4">
        <v>111.63</v>
      </c>
      <c r="D6" s="4">
        <v>97.59</v>
      </c>
      <c r="E6" s="4">
        <v>88.06</v>
      </c>
      <c r="G6" s="4">
        <v>3</v>
      </c>
      <c r="H6" s="4">
        <v>39.639999999999993</v>
      </c>
      <c r="I6" s="4">
        <v>36.409999999999997</v>
      </c>
      <c r="K6" s="4">
        <v>3</v>
      </c>
      <c r="L6" s="4">
        <v>67.27</v>
      </c>
      <c r="M6" s="4">
        <v>64.959999999999994</v>
      </c>
      <c r="O6" s="4">
        <v>3</v>
      </c>
      <c r="P6" s="4">
        <v>78.028000000000006</v>
      </c>
      <c r="Q6" s="4">
        <v>108.44333333333334</v>
      </c>
      <c r="R6" s="4">
        <v>0.33333333333333331</v>
      </c>
      <c r="S6" s="4">
        <v>0.39</v>
      </c>
      <c r="T6" s="4">
        <v>8.3333333333333329E-2</v>
      </c>
      <c r="U6" s="4">
        <v>7.0999999999999994E-2</v>
      </c>
      <c r="V6" s="4">
        <v>0.375</v>
      </c>
      <c r="W6" s="4">
        <v>0.40600000000000003</v>
      </c>
      <c r="X6" s="4">
        <v>698</v>
      </c>
      <c r="Y6" s="4">
        <v>88.178749999999994</v>
      </c>
      <c r="Z6" s="4">
        <v>51.84</v>
      </c>
      <c r="AA6" s="4">
        <v>119.705</v>
      </c>
      <c r="AB6" s="4">
        <v>71.602999999999994</v>
      </c>
      <c r="AC6" s="4">
        <v>115.56333333333332</v>
      </c>
      <c r="AD6" s="4">
        <v>93.677000000000007</v>
      </c>
      <c r="AE6" s="4">
        <f>IF(ISBLANK(t_omie_evol[[#This Row],[Omie media diaria]]),$X$39,t_omie_evol[[#This Row],[demanda GWh]])</f>
        <v>698</v>
      </c>
    </row>
    <row r="7" spans="1:31" x14ac:dyDescent="0.2">
      <c r="A7" s="4">
        <v>4</v>
      </c>
      <c r="B7" s="4">
        <v>55.1</v>
      </c>
      <c r="C7" s="4">
        <v>108.66</v>
      </c>
      <c r="D7" s="4">
        <v>92.06</v>
      </c>
      <c r="E7" s="4">
        <v>87.6</v>
      </c>
      <c r="G7" s="4">
        <v>4</v>
      </c>
      <c r="H7" s="4">
        <v>37.480000000000011</v>
      </c>
      <c r="I7" s="4">
        <v>36.409999999999997</v>
      </c>
      <c r="K7" s="4">
        <v>4</v>
      </c>
      <c r="L7" s="4">
        <v>66.239999999999995</v>
      </c>
      <c r="M7" s="4">
        <v>64.959999999999994</v>
      </c>
      <c r="O7" s="4">
        <v>4</v>
      </c>
      <c r="P7" s="4">
        <v>78.028000000000006</v>
      </c>
      <c r="Q7" s="4">
        <v>95.412500000000009</v>
      </c>
      <c r="R7" s="4">
        <v>0.45833333333333326</v>
      </c>
      <c r="S7" s="4">
        <v>0.39</v>
      </c>
      <c r="T7" s="4">
        <v>8.3333333333333329E-2</v>
      </c>
      <c r="U7" s="4">
        <v>7.0000000000000007E-2</v>
      </c>
      <c r="V7" s="4">
        <v>0.45833333333333326</v>
      </c>
      <c r="W7" s="4">
        <v>0.40799999999999997</v>
      </c>
      <c r="X7" s="4">
        <v>671</v>
      </c>
      <c r="Y7" s="4">
        <v>76.84</v>
      </c>
      <c r="Z7" s="4">
        <v>51.84</v>
      </c>
      <c r="AA7" s="4">
        <v>116.045</v>
      </c>
      <c r="AB7" s="4">
        <v>71.602999999999994</v>
      </c>
      <c r="AC7" s="4">
        <v>110.23363636363634</v>
      </c>
      <c r="AD7" s="4">
        <v>93.677000000000007</v>
      </c>
      <c r="AE7" s="4">
        <f>IF(ISBLANK(t_omie_evol[[#This Row],[Omie media diaria]]),$X$39,t_omie_evol[[#This Row],[demanda GWh]])</f>
        <v>671</v>
      </c>
    </row>
    <row r="8" spans="1:31" x14ac:dyDescent="0.2">
      <c r="A8" s="4">
        <v>5</v>
      </c>
      <c r="B8" s="4">
        <v>49.21</v>
      </c>
      <c r="C8" s="4">
        <v>107.51</v>
      </c>
      <c r="D8" s="4">
        <v>93.28</v>
      </c>
      <c r="E8" s="4">
        <v>85.74</v>
      </c>
      <c r="G8" s="4">
        <v>5</v>
      </c>
      <c r="H8" s="4">
        <v>36.29999999999999</v>
      </c>
      <c r="I8" s="4">
        <v>36.409999999999997</v>
      </c>
      <c r="K8" s="4">
        <v>5</v>
      </c>
      <c r="L8" s="4">
        <v>65.460000000000022</v>
      </c>
      <c r="M8" s="4">
        <v>64.959999999999994</v>
      </c>
      <c r="O8" s="4">
        <v>5</v>
      </c>
      <c r="P8" s="4">
        <v>78.028000000000006</v>
      </c>
      <c r="Q8" s="4">
        <v>104.28291666666665</v>
      </c>
      <c r="R8" s="4">
        <v>0.33333333333333331</v>
      </c>
      <c r="S8" s="4">
        <v>0.39</v>
      </c>
      <c r="T8" s="4">
        <v>0</v>
      </c>
      <c r="U8" s="4">
        <v>6.9000000000000006E-2</v>
      </c>
      <c r="V8" s="4">
        <v>0.54166666666666663</v>
      </c>
      <c r="W8" s="4">
        <v>0.40500000000000003</v>
      </c>
      <c r="X8" s="4">
        <v>662</v>
      </c>
      <c r="Y8" s="4">
        <v>94.394999999999996</v>
      </c>
      <c r="Z8" s="4">
        <v>51.84</v>
      </c>
      <c r="AA8" s="4">
        <v>0</v>
      </c>
      <c r="AB8" s="4">
        <v>71.602999999999994</v>
      </c>
      <c r="AC8" s="4">
        <v>108.55307692307692</v>
      </c>
      <c r="AD8" s="4">
        <v>93.677000000000007</v>
      </c>
      <c r="AE8" s="4">
        <f>IF(ISBLANK(t_omie_evol[[#This Row],[Omie media diaria]]),$X$39,t_omie_evol[[#This Row],[demanda GWh]])</f>
        <v>662</v>
      </c>
    </row>
    <row r="9" spans="1:31" x14ac:dyDescent="0.2">
      <c r="A9" s="4">
        <v>6</v>
      </c>
      <c r="B9" s="4">
        <v>63.13</v>
      </c>
      <c r="D9" s="4">
        <v>98.06</v>
      </c>
      <c r="E9" s="4">
        <v>86.66</v>
      </c>
      <c r="G9" s="4">
        <v>6</v>
      </c>
      <c r="H9" s="4">
        <v>36.429999999999986</v>
      </c>
      <c r="I9" s="4">
        <v>36.409999999999997</v>
      </c>
      <c r="K9" s="4">
        <v>6</v>
      </c>
      <c r="L9" s="4">
        <v>65.77</v>
      </c>
      <c r="M9" s="4">
        <v>64.959999999999994</v>
      </c>
      <c r="O9" s="4">
        <v>6</v>
      </c>
      <c r="P9" s="4">
        <v>78.028000000000006</v>
      </c>
      <c r="Q9" s="4">
        <v>86.723749999999995</v>
      </c>
      <c r="R9" s="4">
        <v>0.41666666666666674</v>
      </c>
      <c r="S9" s="4">
        <v>0.39</v>
      </c>
      <c r="T9" s="4">
        <v>8.3333333333333329E-2</v>
      </c>
      <c r="U9" s="4">
        <v>7.2999999999999995E-2</v>
      </c>
      <c r="V9" s="4">
        <v>0.375</v>
      </c>
      <c r="W9" s="4">
        <v>0.39800000000000002</v>
      </c>
      <c r="X9" s="4">
        <v>661</v>
      </c>
      <c r="Y9" s="4">
        <v>63.766000000000005</v>
      </c>
      <c r="Z9" s="4">
        <v>51.84</v>
      </c>
      <c r="AA9" s="4">
        <v>111.30500000000001</v>
      </c>
      <c r="AB9" s="4">
        <v>71.602999999999994</v>
      </c>
      <c r="AC9" s="4">
        <v>98.628888888888881</v>
      </c>
      <c r="AD9" s="4">
        <v>93.677000000000007</v>
      </c>
      <c r="AE9" s="4">
        <f>IF(ISBLANK(t_omie_evol[[#This Row],[Omie media diaria]]),$X$39,t_omie_evol[[#This Row],[demanda GWh]])</f>
        <v>661</v>
      </c>
    </row>
    <row r="10" spans="1:31" x14ac:dyDescent="0.2">
      <c r="A10" s="4">
        <v>7</v>
      </c>
      <c r="B10" s="4">
        <v>80.91</v>
      </c>
      <c r="C10" s="4">
        <v>110.86</v>
      </c>
      <c r="D10" s="4">
        <v>99.09</v>
      </c>
      <c r="E10" s="4">
        <v>95.31</v>
      </c>
      <c r="G10" s="4">
        <v>7</v>
      </c>
      <c r="H10" s="4">
        <v>36.320000000000014</v>
      </c>
      <c r="I10" s="4">
        <v>36.409999999999997</v>
      </c>
      <c r="K10" s="4">
        <v>7</v>
      </c>
      <c r="L10" s="4">
        <v>65.77</v>
      </c>
      <c r="M10" s="4">
        <v>64.959999999999994</v>
      </c>
      <c r="O10" s="4">
        <v>7</v>
      </c>
      <c r="P10" s="4">
        <v>78.028000000000006</v>
      </c>
      <c r="Q10" s="4">
        <v>79.012500000000003</v>
      </c>
      <c r="R10" s="4">
        <v>0.5</v>
      </c>
      <c r="S10" s="4">
        <v>0.39</v>
      </c>
      <c r="T10" s="4">
        <v>4.1666666666666664E-2</v>
      </c>
      <c r="U10" s="4">
        <v>7.1999999999999995E-2</v>
      </c>
      <c r="V10" s="4">
        <v>0.41666666666666674</v>
      </c>
      <c r="W10" s="4">
        <v>0.4</v>
      </c>
      <c r="X10" s="4">
        <v>582</v>
      </c>
      <c r="Y10" s="4">
        <v>41.773333333333333</v>
      </c>
      <c r="Z10" s="4">
        <v>51.84</v>
      </c>
      <c r="AA10" s="4">
        <v>104.68</v>
      </c>
      <c r="AB10" s="4">
        <v>71.602999999999994</v>
      </c>
      <c r="AC10" s="4">
        <v>115.42700000000001</v>
      </c>
      <c r="AD10" s="4">
        <v>93.677000000000007</v>
      </c>
      <c r="AE10" s="4">
        <f>IF(ISBLANK(t_omie_evol[[#This Row],[Omie media diaria]]),$X$39,t_omie_evol[[#This Row],[demanda GWh]])</f>
        <v>582</v>
      </c>
    </row>
    <row r="11" spans="1:31" x14ac:dyDescent="0.2">
      <c r="A11" s="4">
        <v>8</v>
      </c>
      <c r="B11" s="4">
        <v>79.27</v>
      </c>
      <c r="C11" s="4">
        <v>118.63</v>
      </c>
      <c r="D11" s="4">
        <v>99.46</v>
      </c>
      <c r="E11" s="4">
        <v>104.39</v>
      </c>
      <c r="G11" s="4">
        <v>8</v>
      </c>
      <c r="H11" s="4">
        <v>35.850000000000016</v>
      </c>
      <c r="I11" s="4">
        <v>36.409999999999997</v>
      </c>
      <c r="K11" s="4">
        <v>8</v>
      </c>
      <c r="L11" s="4">
        <v>65.77</v>
      </c>
      <c r="M11" s="4">
        <v>64.959999999999994</v>
      </c>
      <c r="O11" s="4">
        <v>8</v>
      </c>
      <c r="P11" s="4">
        <v>78.028000000000006</v>
      </c>
      <c r="Q11" s="4">
        <v>67.757499999999993</v>
      </c>
      <c r="R11" s="4">
        <v>0.41666666666666674</v>
      </c>
      <c r="S11" s="4">
        <v>0.39</v>
      </c>
      <c r="T11" s="4">
        <v>4.1666666666666664E-2</v>
      </c>
      <c r="U11" s="4">
        <v>7.3999999999999996E-2</v>
      </c>
      <c r="V11" s="4">
        <v>0.45833333333333326</v>
      </c>
      <c r="W11" s="4">
        <v>0.39900000000000002</v>
      </c>
      <c r="X11" s="4">
        <v>540</v>
      </c>
      <c r="Y11" s="4">
        <v>16.707999999999998</v>
      </c>
      <c r="Z11" s="4">
        <v>51.84</v>
      </c>
      <c r="AA11" s="4">
        <v>113.3</v>
      </c>
      <c r="AB11" s="4">
        <v>71.602999999999994</v>
      </c>
      <c r="AC11" s="4">
        <v>101.68909090909092</v>
      </c>
      <c r="AD11" s="4">
        <v>93.677000000000007</v>
      </c>
      <c r="AE11" s="4">
        <f>IF(ISBLANK(t_omie_evol[[#This Row],[Omie media diaria]]),$X$39,t_omie_evol[[#This Row],[demanda GWh]])</f>
        <v>540</v>
      </c>
    </row>
    <row r="12" spans="1:31" x14ac:dyDescent="0.2">
      <c r="A12" s="4">
        <v>9</v>
      </c>
      <c r="B12" s="4">
        <v>78.11</v>
      </c>
      <c r="C12" s="4">
        <v>111.01</v>
      </c>
      <c r="D12" s="4">
        <v>111.51</v>
      </c>
      <c r="E12" s="4">
        <v>104.57</v>
      </c>
      <c r="G12" s="4">
        <v>9</v>
      </c>
      <c r="H12" s="4">
        <v>36.139999999999993</v>
      </c>
      <c r="I12" s="4">
        <v>36.409999999999997</v>
      </c>
      <c r="K12" s="4">
        <v>9</v>
      </c>
      <c r="L12" s="4">
        <v>65.80999999999996</v>
      </c>
      <c r="M12" s="4">
        <v>64.959999999999994</v>
      </c>
      <c r="O12" s="4">
        <v>9</v>
      </c>
      <c r="P12" s="4">
        <v>78.028000000000006</v>
      </c>
      <c r="Q12" s="4">
        <v>86.535833333333343</v>
      </c>
      <c r="R12" s="4">
        <v>0.41666666666666674</v>
      </c>
      <c r="S12" s="4">
        <v>0.39</v>
      </c>
      <c r="T12" s="4">
        <v>0.20833333333333337</v>
      </c>
      <c r="U12" s="4">
        <v>7.5999999999999998E-2</v>
      </c>
      <c r="V12" s="4">
        <v>0.20833333333333337</v>
      </c>
      <c r="W12" s="4">
        <v>0.39500000000000002</v>
      </c>
      <c r="X12" s="4">
        <v>632</v>
      </c>
      <c r="Y12" s="4">
        <v>48.834999999999994</v>
      </c>
      <c r="Z12" s="4">
        <v>51.84</v>
      </c>
      <c r="AA12" s="4">
        <v>111.89399999999998</v>
      </c>
      <c r="AB12" s="4">
        <v>71.602999999999994</v>
      </c>
      <c r="AC12" s="4">
        <v>114.468</v>
      </c>
      <c r="AD12" s="4">
        <v>93.677000000000007</v>
      </c>
      <c r="AE12" s="4">
        <f>IF(ISBLANK(t_omie_evol[[#This Row],[Omie media diaria]]),$X$39,t_omie_evol[[#This Row],[demanda GWh]])</f>
        <v>632</v>
      </c>
    </row>
    <row r="13" spans="1:31" x14ac:dyDescent="0.2">
      <c r="A13" s="4">
        <v>10</v>
      </c>
      <c r="B13" s="4">
        <v>63.65</v>
      </c>
      <c r="C13" s="4">
        <v>109.42</v>
      </c>
      <c r="D13" s="4">
        <v>92.38</v>
      </c>
      <c r="E13" s="4">
        <v>90.54</v>
      </c>
      <c r="G13" s="4">
        <v>10</v>
      </c>
      <c r="H13" s="4">
        <v>36.700000000000017</v>
      </c>
      <c r="I13" s="4">
        <v>36.409999999999997</v>
      </c>
      <c r="K13" s="4">
        <v>10</v>
      </c>
      <c r="L13" s="4">
        <v>64.670000000000016</v>
      </c>
      <c r="M13" s="4">
        <v>64.959999999999994</v>
      </c>
      <c r="O13" s="4">
        <v>10</v>
      </c>
      <c r="P13" s="4">
        <v>78.028000000000006</v>
      </c>
      <c r="Q13" s="4">
        <v>75.213750000000005</v>
      </c>
      <c r="R13" s="4">
        <v>0.33333333333333331</v>
      </c>
      <c r="S13" s="4">
        <v>0.39</v>
      </c>
      <c r="T13" s="4">
        <v>4.1666666666666664E-2</v>
      </c>
      <c r="U13" s="4">
        <v>6.8000000000000005E-2</v>
      </c>
      <c r="V13" s="4">
        <v>0.54166666666666663</v>
      </c>
      <c r="W13" s="4">
        <v>0.40699999999999997</v>
      </c>
      <c r="X13" s="4">
        <v>655</v>
      </c>
      <c r="Y13" s="4">
        <v>25.286250000000003</v>
      </c>
      <c r="Z13" s="4">
        <v>51.84</v>
      </c>
      <c r="AA13" s="4">
        <v>110.32</v>
      </c>
      <c r="AB13" s="4">
        <v>71.602999999999994</v>
      </c>
      <c r="AC13" s="4">
        <v>99.001538461538459</v>
      </c>
      <c r="AD13" s="4">
        <v>93.677000000000007</v>
      </c>
      <c r="AE13" s="4">
        <f>IF(ISBLANK(t_omie_evol[[#This Row],[Omie media diaria]]),$X$39,t_omie_evol[[#This Row],[demanda GWh]])</f>
        <v>655</v>
      </c>
    </row>
    <row r="14" spans="1:31" x14ac:dyDescent="0.2">
      <c r="A14" s="4">
        <v>11</v>
      </c>
      <c r="B14" s="4">
        <v>49.71</v>
      </c>
      <c r="D14" s="4">
        <v>90.77</v>
      </c>
      <c r="E14" s="4">
        <v>63.79</v>
      </c>
      <c r="G14" s="4">
        <v>11</v>
      </c>
      <c r="H14" s="4">
        <v>34.75</v>
      </c>
      <c r="I14" s="4">
        <v>36.409999999999997</v>
      </c>
      <c r="K14" s="4">
        <v>11</v>
      </c>
      <c r="L14" s="4">
        <v>65.549999999999969</v>
      </c>
      <c r="M14" s="4">
        <v>64.959999999999994</v>
      </c>
      <c r="O14" s="4">
        <v>11</v>
      </c>
      <c r="P14" s="4">
        <v>78.028000000000006</v>
      </c>
      <c r="Q14" s="4">
        <v>76.73875000000001</v>
      </c>
      <c r="R14" s="4">
        <v>0.625</v>
      </c>
      <c r="S14" s="4">
        <v>0.39</v>
      </c>
      <c r="T14" s="4">
        <v>0</v>
      </c>
      <c r="U14" s="4">
        <v>6.9000000000000006E-2</v>
      </c>
      <c r="V14" s="4">
        <v>0.16666666666666666</v>
      </c>
      <c r="W14" s="4">
        <v>0.39800000000000002</v>
      </c>
      <c r="X14" s="4">
        <v>643</v>
      </c>
      <c r="Y14" s="4">
        <v>65.845333333333329</v>
      </c>
      <c r="Z14" s="4">
        <v>51.84</v>
      </c>
      <c r="AA14" s="4">
        <v>0</v>
      </c>
      <c r="AB14" s="4">
        <v>71.602999999999994</v>
      </c>
      <c r="AC14" s="4">
        <v>82.902500000000003</v>
      </c>
      <c r="AD14" s="4">
        <v>93.677000000000007</v>
      </c>
      <c r="AE14" s="4">
        <f>IF(ISBLANK(t_omie_evol[[#This Row],[Omie media diaria]]),$X$39,t_omie_evol[[#This Row],[demanda GWh]])</f>
        <v>643</v>
      </c>
    </row>
    <row r="15" spans="1:31" x14ac:dyDescent="0.2">
      <c r="A15" s="4">
        <v>12</v>
      </c>
      <c r="B15" s="4">
        <v>44.98</v>
      </c>
      <c r="C15" s="4">
        <v>106.62</v>
      </c>
      <c r="D15" s="4">
        <v>50.94</v>
      </c>
      <c r="E15" s="4">
        <v>48.64</v>
      </c>
      <c r="G15" s="4">
        <v>12</v>
      </c>
      <c r="H15" s="4">
        <v>35.580000000000005</v>
      </c>
      <c r="I15" s="4">
        <v>36.409999999999997</v>
      </c>
      <c r="K15" s="4">
        <v>12</v>
      </c>
      <c r="L15" s="4">
        <v>64.77</v>
      </c>
      <c r="M15" s="4">
        <v>64.959999999999994</v>
      </c>
      <c r="O15" s="4">
        <v>12</v>
      </c>
      <c r="P15" s="4">
        <v>78.028000000000006</v>
      </c>
      <c r="Q15" s="4">
        <v>72.210833333333355</v>
      </c>
      <c r="R15" s="4">
        <v>0.41666666666666674</v>
      </c>
      <c r="S15" s="4">
        <v>0.39</v>
      </c>
      <c r="T15" s="4">
        <v>8.3333333333333329E-2</v>
      </c>
      <c r="U15" s="4">
        <v>7.3999999999999996E-2</v>
      </c>
      <c r="V15" s="4">
        <v>0.33333333333333331</v>
      </c>
      <c r="W15" s="4">
        <v>0.41499999999999998</v>
      </c>
      <c r="X15" s="4">
        <v>662</v>
      </c>
      <c r="Y15" s="4">
        <v>34.291999999999994</v>
      </c>
      <c r="Z15" s="4">
        <v>51.84</v>
      </c>
      <c r="AA15" s="4">
        <v>114.96</v>
      </c>
      <c r="AB15" s="4">
        <v>71.602999999999994</v>
      </c>
      <c r="AC15" s="4">
        <v>96.181250000000006</v>
      </c>
      <c r="AD15" s="4">
        <v>93.677000000000007</v>
      </c>
      <c r="AE15" s="4">
        <f>IF(ISBLANK(t_omie_evol[[#This Row],[Omie media diaria]]),$X$39,t_omie_evol[[#This Row],[demanda GWh]])</f>
        <v>662</v>
      </c>
    </row>
    <row r="16" spans="1:31" x14ac:dyDescent="0.2">
      <c r="A16" s="4">
        <v>13</v>
      </c>
      <c r="B16" s="4">
        <v>38.119999999999997</v>
      </c>
      <c r="D16" s="4">
        <v>62.81</v>
      </c>
      <c r="E16" s="4">
        <v>43.06</v>
      </c>
      <c r="G16" s="4">
        <v>13</v>
      </c>
      <c r="H16" s="4">
        <v>35.139999999999993</v>
      </c>
      <c r="I16" s="4">
        <v>36.409999999999997</v>
      </c>
      <c r="K16" s="4">
        <v>13</v>
      </c>
      <c r="L16" s="4">
        <v>64.619999999999962</v>
      </c>
      <c r="M16" s="4">
        <v>64.959999999999994</v>
      </c>
      <c r="O16" s="4">
        <v>13</v>
      </c>
      <c r="P16" s="4">
        <v>78.028000000000006</v>
      </c>
      <c r="Q16" s="4">
        <v>47.105000000000011</v>
      </c>
      <c r="R16" s="4">
        <v>0.54166666666666663</v>
      </c>
      <c r="S16" s="4">
        <v>0.39</v>
      </c>
      <c r="T16" s="4">
        <v>0</v>
      </c>
      <c r="U16" s="4">
        <v>7.3999999999999996E-2</v>
      </c>
      <c r="V16" s="4">
        <v>0.29166666666666669</v>
      </c>
      <c r="W16" s="4">
        <v>0.42099999999999999</v>
      </c>
      <c r="X16" s="4">
        <v>636</v>
      </c>
      <c r="Y16" s="4">
        <v>19.445384615384619</v>
      </c>
      <c r="Z16" s="4">
        <v>51.84</v>
      </c>
      <c r="AA16" s="4">
        <v>0</v>
      </c>
      <c r="AB16" s="4">
        <v>71.602999999999994</v>
      </c>
      <c r="AC16" s="4">
        <v>77.357142857142861</v>
      </c>
      <c r="AD16" s="4">
        <v>93.677000000000007</v>
      </c>
      <c r="AE16" s="4">
        <f>IF(ISBLANK(t_omie_evol[[#This Row],[Omie media diaria]]),$X$39,t_omie_evol[[#This Row],[demanda GWh]])</f>
        <v>636</v>
      </c>
    </row>
    <row r="17" spans="1:31" x14ac:dyDescent="0.2">
      <c r="A17" s="4">
        <v>14</v>
      </c>
      <c r="B17" s="4">
        <v>37.54</v>
      </c>
      <c r="D17" s="4">
        <v>57.53</v>
      </c>
      <c r="E17" s="4">
        <v>39.14</v>
      </c>
      <c r="G17" s="4">
        <v>14</v>
      </c>
      <c r="H17" s="4">
        <v>35.169999999999995</v>
      </c>
      <c r="I17" s="4">
        <v>36.409999999999997</v>
      </c>
      <c r="K17" s="4">
        <v>14</v>
      </c>
      <c r="L17" s="4">
        <v>64.619999999999962</v>
      </c>
      <c r="M17" s="4">
        <v>64.959999999999994</v>
      </c>
      <c r="O17" s="4">
        <v>14</v>
      </c>
      <c r="P17" s="4">
        <v>78.028000000000006</v>
      </c>
      <c r="Q17" s="4">
        <v>45.610000000000014</v>
      </c>
      <c r="R17" s="4">
        <v>0.625</v>
      </c>
      <c r="S17" s="4">
        <v>0.39</v>
      </c>
      <c r="T17" s="4">
        <v>0</v>
      </c>
      <c r="U17" s="4">
        <v>0.08</v>
      </c>
      <c r="V17" s="4">
        <v>0.33333333333333331</v>
      </c>
      <c r="W17" s="4">
        <v>0.432</v>
      </c>
      <c r="X17" s="4">
        <v>562</v>
      </c>
      <c r="Y17" s="4">
        <v>33.645999999999994</v>
      </c>
      <c r="Z17" s="4">
        <v>51.84</v>
      </c>
      <c r="AA17" s="4">
        <v>0</v>
      </c>
      <c r="AB17" s="4">
        <v>71.602999999999994</v>
      </c>
      <c r="AC17" s="4">
        <v>63.621250000000003</v>
      </c>
      <c r="AD17" s="4">
        <v>93.677000000000007</v>
      </c>
      <c r="AE17" s="4">
        <f>IF(ISBLANK(t_omie_evol[[#This Row],[Omie media diaria]]),$X$39,t_omie_evol[[#This Row],[demanda GWh]])</f>
        <v>562</v>
      </c>
    </row>
    <row r="18" spans="1:31" x14ac:dyDescent="0.2">
      <c r="A18" s="4">
        <v>15</v>
      </c>
      <c r="B18" s="4">
        <v>32.909999999999997</v>
      </c>
      <c r="D18" s="4">
        <v>43.77</v>
      </c>
      <c r="E18" s="4">
        <v>35.08</v>
      </c>
      <c r="G18" s="4">
        <v>15</v>
      </c>
      <c r="H18" s="4">
        <v>36.580000000000013</v>
      </c>
      <c r="I18" s="4">
        <v>36.409999999999997</v>
      </c>
      <c r="K18" s="4">
        <v>15</v>
      </c>
      <c r="L18" s="4">
        <v>64.619999999999962</v>
      </c>
      <c r="M18" s="4">
        <v>64.959999999999994</v>
      </c>
      <c r="O18" s="4">
        <v>15</v>
      </c>
      <c r="P18" s="4">
        <v>78.028000000000006</v>
      </c>
      <c r="Q18" s="4">
        <v>32.516249999999999</v>
      </c>
      <c r="R18" s="4">
        <v>0.54166666666666663</v>
      </c>
      <c r="S18" s="4">
        <v>0.39</v>
      </c>
      <c r="T18" s="4">
        <v>0</v>
      </c>
      <c r="U18" s="4">
        <v>8.6999999999999994E-2</v>
      </c>
      <c r="V18" s="4">
        <v>0.33333333333333331</v>
      </c>
      <c r="W18" s="4">
        <v>0.44</v>
      </c>
      <c r="X18" s="4">
        <v>523</v>
      </c>
      <c r="Y18" s="4">
        <v>12.149230769230767</v>
      </c>
      <c r="Z18" s="4">
        <v>51.84</v>
      </c>
      <c r="AA18" s="4">
        <v>0</v>
      </c>
      <c r="AB18" s="4">
        <v>71.602999999999994</v>
      </c>
      <c r="AC18" s="4">
        <v>54.938749999999999</v>
      </c>
      <c r="AD18" s="4">
        <v>93.677000000000007</v>
      </c>
      <c r="AE18" s="4">
        <f>IF(ISBLANK(t_omie_evol[[#This Row],[Omie media diaria]]),$X$39,t_omie_evol[[#This Row],[demanda GWh]])</f>
        <v>523</v>
      </c>
    </row>
    <row r="19" spans="1:31" x14ac:dyDescent="0.2">
      <c r="A19" s="4">
        <v>16</v>
      </c>
      <c r="B19" s="4">
        <v>24.9</v>
      </c>
      <c r="C19" s="4">
        <v>72.849999999999994</v>
      </c>
      <c r="D19" s="4">
        <v>46.55</v>
      </c>
      <c r="E19" s="4">
        <v>29.42</v>
      </c>
      <c r="G19" s="4">
        <v>16</v>
      </c>
      <c r="H19" s="4">
        <v>35.590000000000025</v>
      </c>
      <c r="I19" s="4">
        <v>36.409999999999997</v>
      </c>
      <c r="K19" s="4">
        <v>16</v>
      </c>
      <c r="L19" s="4">
        <v>62.869999999999969</v>
      </c>
      <c r="M19" s="4">
        <v>64.959999999999994</v>
      </c>
      <c r="O19" s="4">
        <v>16</v>
      </c>
      <c r="P19" s="4">
        <v>78.028000000000006</v>
      </c>
      <c r="Q19" s="4">
        <v>27.186250000000005</v>
      </c>
      <c r="R19" s="4">
        <v>0.54166666666666663</v>
      </c>
      <c r="S19" s="4">
        <v>0.39</v>
      </c>
      <c r="T19" s="4">
        <v>0</v>
      </c>
      <c r="U19" s="4">
        <v>9.6000000000000002E-2</v>
      </c>
      <c r="V19" s="4">
        <v>0.29166666666666669</v>
      </c>
      <c r="W19" s="4">
        <v>0.45100000000000001</v>
      </c>
      <c r="X19" s="4">
        <v>632</v>
      </c>
      <c r="Y19" s="4">
        <v>10.01</v>
      </c>
      <c r="Z19" s="4">
        <v>51.84</v>
      </c>
      <c r="AA19" s="4">
        <v>0</v>
      </c>
      <c r="AB19" s="4">
        <v>71.602999999999994</v>
      </c>
      <c r="AC19" s="4">
        <v>44.480000000000011</v>
      </c>
      <c r="AD19" s="4">
        <v>93.677000000000007</v>
      </c>
      <c r="AE19" s="4">
        <f>IF(ISBLANK(t_omie_evol[[#This Row],[Omie media diaria]]),$X$39,t_omie_evol[[#This Row],[demanda GWh]])</f>
        <v>632</v>
      </c>
    </row>
    <row r="20" spans="1:31" x14ac:dyDescent="0.2">
      <c r="A20" s="4">
        <v>17</v>
      </c>
      <c r="B20" s="4">
        <v>30.55</v>
      </c>
      <c r="D20" s="4">
        <v>35.69</v>
      </c>
      <c r="E20" s="4">
        <v>31.37</v>
      </c>
      <c r="G20" s="4">
        <v>17</v>
      </c>
      <c r="H20" s="4">
        <v>34.519999999999989</v>
      </c>
      <c r="I20" s="4">
        <v>36.409999999999997</v>
      </c>
      <c r="K20" s="4">
        <v>17</v>
      </c>
      <c r="L20" s="4">
        <v>63.710000000000015</v>
      </c>
      <c r="M20" s="4">
        <v>64.959999999999994</v>
      </c>
      <c r="O20" s="4">
        <v>17</v>
      </c>
      <c r="P20" s="4">
        <v>78.028000000000006</v>
      </c>
      <c r="Q20" s="4">
        <v>25.697083333333328</v>
      </c>
      <c r="R20" s="4">
        <v>0.70833333333333337</v>
      </c>
      <c r="S20" s="4">
        <v>0.39</v>
      </c>
      <c r="T20" s="4">
        <v>0</v>
      </c>
      <c r="U20" s="4">
        <v>0.106</v>
      </c>
      <c r="V20" s="4">
        <v>0.125</v>
      </c>
      <c r="W20" s="4">
        <v>0.46899999999999997</v>
      </c>
      <c r="X20" s="4">
        <v>647</v>
      </c>
      <c r="Y20" s="4">
        <v>19.014705882352935</v>
      </c>
      <c r="Z20" s="4">
        <v>51.84</v>
      </c>
      <c r="AA20" s="4">
        <v>0</v>
      </c>
      <c r="AB20" s="4">
        <v>71.602999999999994</v>
      </c>
      <c r="AC20" s="4">
        <v>46.19</v>
      </c>
      <c r="AD20" s="4">
        <v>93.677000000000007</v>
      </c>
      <c r="AE20" s="4">
        <f>IF(ISBLANK(t_omie_evol[[#This Row],[Omie media diaria]]),$X$39,t_omie_evol[[#This Row],[demanda GWh]])</f>
        <v>647</v>
      </c>
    </row>
    <row r="21" spans="1:31" x14ac:dyDescent="0.2">
      <c r="A21" s="4">
        <v>18</v>
      </c>
      <c r="B21" s="4">
        <v>36.44</v>
      </c>
      <c r="D21" s="4">
        <v>66.540000000000006</v>
      </c>
      <c r="E21" s="4">
        <v>46.83</v>
      </c>
      <c r="G21" s="4">
        <v>18</v>
      </c>
      <c r="H21" s="4">
        <v>35.95000000000001</v>
      </c>
      <c r="I21" s="4">
        <v>36.409999999999997</v>
      </c>
      <c r="K21" s="4">
        <v>18</v>
      </c>
      <c r="L21" s="4">
        <v>63.079999999999984</v>
      </c>
      <c r="M21" s="4">
        <v>64.959999999999994</v>
      </c>
      <c r="O21" s="4">
        <v>18</v>
      </c>
      <c r="P21" s="4">
        <v>78.028000000000006</v>
      </c>
      <c r="Q21" s="4">
        <v>90.920416666666668</v>
      </c>
      <c r="R21" s="4">
        <v>0.20833333333333337</v>
      </c>
      <c r="S21" s="4">
        <v>0.39</v>
      </c>
      <c r="T21" s="4">
        <v>0.125</v>
      </c>
      <c r="U21" s="4">
        <v>0.12</v>
      </c>
      <c r="V21" s="4">
        <v>0.54166666666666663</v>
      </c>
      <c r="W21" s="4">
        <v>0.51200000000000001</v>
      </c>
      <c r="X21" s="4">
        <v>651</v>
      </c>
      <c r="Y21" s="4">
        <v>80.318000000000012</v>
      </c>
      <c r="Z21" s="4">
        <v>51.84</v>
      </c>
      <c r="AA21" s="4">
        <v>107.43</v>
      </c>
      <c r="AB21" s="4">
        <v>71.602999999999994</v>
      </c>
      <c r="AC21" s="4">
        <v>92.766923076923078</v>
      </c>
      <c r="AD21" s="4">
        <v>93.677000000000007</v>
      </c>
      <c r="AE21" s="4">
        <f>IF(ISBLANK(t_omie_evol[[#This Row],[Omie media diaria]]),$X$39,t_omie_evol[[#This Row],[demanda GWh]])</f>
        <v>651</v>
      </c>
    </row>
    <row r="22" spans="1:31" x14ac:dyDescent="0.2">
      <c r="A22" s="4">
        <v>19</v>
      </c>
      <c r="B22" s="4">
        <v>55.38</v>
      </c>
      <c r="C22" s="4">
        <v>106.62</v>
      </c>
      <c r="D22" s="4">
        <v>96.69</v>
      </c>
      <c r="E22" s="4">
        <v>67.930000000000007</v>
      </c>
      <c r="G22" s="4">
        <v>19</v>
      </c>
      <c r="H22" s="4">
        <v>35.820000000000014</v>
      </c>
      <c r="I22" s="4">
        <v>36.409999999999997</v>
      </c>
      <c r="K22" s="4">
        <v>19</v>
      </c>
      <c r="L22" s="4">
        <v>62.49</v>
      </c>
      <c r="M22" s="4">
        <v>64.959999999999994</v>
      </c>
      <c r="O22" s="4">
        <v>19</v>
      </c>
      <c r="P22" s="4">
        <v>78.028000000000006</v>
      </c>
      <c r="Q22" s="4">
        <v>106.98041666666667</v>
      </c>
      <c r="R22" s="4">
        <v>0.16666666666666666</v>
      </c>
      <c r="S22" s="4">
        <v>0.39</v>
      </c>
      <c r="T22" s="4">
        <v>0.20833333333333337</v>
      </c>
      <c r="U22" s="4">
        <v>0.11899999999999999</v>
      </c>
      <c r="V22" s="4">
        <v>0.58333333333333337</v>
      </c>
      <c r="W22" s="4">
        <v>0.50800000000000001</v>
      </c>
      <c r="X22" s="4">
        <v>651</v>
      </c>
      <c r="Y22" s="4">
        <v>94.6</v>
      </c>
      <c r="Z22" s="4">
        <v>51.84</v>
      </c>
      <c r="AA22" s="4">
        <v>111.024</v>
      </c>
      <c r="AB22" s="4">
        <v>71.602999999999994</v>
      </c>
      <c r="AC22" s="4">
        <v>108.18357142857144</v>
      </c>
      <c r="AD22" s="4">
        <v>93.677000000000007</v>
      </c>
      <c r="AE22" s="4">
        <f>IF(ISBLANK(t_omie_evol[[#This Row],[Omie media diaria]]),$X$39,t_omie_evol[[#This Row],[demanda GWh]])</f>
        <v>651</v>
      </c>
    </row>
    <row r="23" spans="1:31" x14ac:dyDescent="0.2">
      <c r="A23" s="4">
        <v>20</v>
      </c>
      <c r="B23" s="4">
        <v>78.150000000000006</v>
      </c>
      <c r="C23" s="4">
        <v>108.7</v>
      </c>
      <c r="D23" s="4">
        <v>99.44</v>
      </c>
      <c r="E23" s="4">
        <v>98.69</v>
      </c>
      <c r="G23" s="4">
        <v>20</v>
      </c>
      <c r="H23" s="4">
        <v>33.20000000000001</v>
      </c>
      <c r="I23" s="4">
        <v>36.409999999999997</v>
      </c>
      <c r="K23" s="4">
        <v>20</v>
      </c>
      <c r="L23" s="4">
        <v>63.390000000000022</v>
      </c>
      <c r="M23" s="4">
        <v>64.959999999999994</v>
      </c>
      <c r="O23" s="4">
        <v>20</v>
      </c>
      <c r="P23" s="4">
        <v>78.028000000000006</v>
      </c>
      <c r="Q23" s="4">
        <v>107.68916666666668</v>
      </c>
      <c r="R23" s="4">
        <v>0.16666666666666666</v>
      </c>
      <c r="S23" s="4">
        <v>0.39</v>
      </c>
      <c r="T23" s="4">
        <v>0.33333333333333331</v>
      </c>
      <c r="U23" s="4">
        <v>0.104</v>
      </c>
      <c r="V23" s="4">
        <v>0.25</v>
      </c>
      <c r="W23" s="4">
        <v>0.495</v>
      </c>
      <c r="X23" s="4">
        <v>641</v>
      </c>
      <c r="Y23" s="4">
        <v>80.444999999999993</v>
      </c>
      <c r="Z23" s="4">
        <v>51.84</v>
      </c>
      <c r="AA23" s="4">
        <v>106.8325</v>
      </c>
      <c r="AB23" s="4">
        <v>71.602999999999994</v>
      </c>
      <c r="AC23" s="4">
        <v>116.75333333333332</v>
      </c>
      <c r="AD23" s="4">
        <v>93.677000000000007</v>
      </c>
      <c r="AE23" s="4">
        <f>IF(ISBLANK(t_omie_evol[[#This Row],[Omie media diaria]]),$X$39,t_omie_evol[[#This Row],[demanda GWh]])</f>
        <v>641</v>
      </c>
    </row>
    <row r="24" spans="1:31" x14ac:dyDescent="0.2">
      <c r="A24" s="4">
        <v>21</v>
      </c>
      <c r="B24" s="4">
        <v>102.66</v>
      </c>
      <c r="C24" s="4">
        <v>122.81</v>
      </c>
      <c r="D24" s="4">
        <v>122.28</v>
      </c>
      <c r="E24" s="4">
        <v>117.15</v>
      </c>
      <c r="G24" s="4">
        <v>21</v>
      </c>
      <c r="H24" s="4">
        <v>35.139999999999993</v>
      </c>
      <c r="I24" s="4">
        <v>36.409999999999997</v>
      </c>
      <c r="K24" s="4">
        <v>21</v>
      </c>
      <c r="L24" s="4">
        <v>63.390000000000022</v>
      </c>
      <c r="M24" s="4">
        <v>64.959999999999994</v>
      </c>
      <c r="O24" s="4">
        <v>21</v>
      </c>
      <c r="P24" s="4">
        <v>78.028000000000006</v>
      </c>
      <c r="Q24" s="4">
        <v>85.386250000000004</v>
      </c>
      <c r="R24" s="4">
        <v>0.25</v>
      </c>
      <c r="S24" s="4">
        <v>0.39</v>
      </c>
      <c r="T24" s="4">
        <v>0.125</v>
      </c>
      <c r="U24" s="4">
        <v>5.8000000000000003E-2</v>
      </c>
      <c r="V24" s="4">
        <v>0.54166666666666663</v>
      </c>
      <c r="W24" s="4">
        <v>0.54400000000000004</v>
      </c>
      <c r="X24" s="4">
        <v>567</v>
      </c>
      <c r="Y24" s="4">
        <v>45.473333333333336</v>
      </c>
      <c r="Z24" s="4">
        <v>51.84</v>
      </c>
      <c r="AA24" s="4">
        <v>105.09333333333332</v>
      </c>
      <c r="AB24" s="4">
        <v>71.602999999999994</v>
      </c>
      <c r="AC24" s="4">
        <v>96.25</v>
      </c>
      <c r="AD24" s="4">
        <v>93.677000000000007</v>
      </c>
      <c r="AE24" s="4">
        <f>IF(ISBLANK(t_omie_evol[[#This Row],[Omie media diaria]]),$X$39,t_omie_evol[[#This Row],[demanda GWh]])</f>
        <v>567</v>
      </c>
    </row>
    <row r="25" spans="1:31" x14ac:dyDescent="0.2">
      <c r="A25" s="4">
        <v>22</v>
      </c>
      <c r="B25" s="4">
        <v>124.28</v>
      </c>
      <c r="C25" s="4">
        <v>118.2</v>
      </c>
      <c r="D25" s="4">
        <v>117.9</v>
      </c>
      <c r="E25" s="4">
        <v>119.74</v>
      </c>
      <c r="G25" s="4">
        <v>22</v>
      </c>
      <c r="H25" s="4">
        <v>35.730000000000011</v>
      </c>
      <c r="I25" s="4">
        <v>36.409999999999997</v>
      </c>
      <c r="K25" s="4">
        <v>22</v>
      </c>
      <c r="L25" s="4">
        <v>63.390000000000022</v>
      </c>
      <c r="M25" s="4">
        <v>64.959999999999994</v>
      </c>
      <c r="O25" s="4">
        <v>22</v>
      </c>
      <c r="P25" s="4">
        <v>78.028000000000006</v>
      </c>
      <c r="Q25" s="4">
        <v>69.905416666666667</v>
      </c>
      <c r="R25" s="4">
        <v>0.20833333333333337</v>
      </c>
      <c r="S25" s="4">
        <v>0.39</v>
      </c>
      <c r="T25" s="4">
        <v>8.3333333333333329E-2</v>
      </c>
      <c r="U25" s="4">
        <v>4.2000000000000003E-2</v>
      </c>
      <c r="V25" s="4">
        <v>0.54166666666666663</v>
      </c>
      <c r="W25" s="4">
        <v>0.54500000000000004</v>
      </c>
      <c r="X25" s="4">
        <v>522</v>
      </c>
      <c r="Y25" s="4">
        <v>20.468</v>
      </c>
      <c r="Z25" s="4">
        <v>51.84</v>
      </c>
      <c r="AA25" s="4">
        <v>99.98</v>
      </c>
      <c r="AB25" s="4">
        <v>71.602999999999994</v>
      </c>
      <c r="AC25" s="4">
        <v>77.062307692307684</v>
      </c>
      <c r="AD25" s="4">
        <v>93.677000000000007</v>
      </c>
      <c r="AE25" s="4">
        <f>IF(ISBLANK(t_omie_evol[[#This Row],[Omie media diaria]]),$X$39,t_omie_evol[[#This Row],[demanda GWh]])</f>
        <v>522</v>
      </c>
    </row>
    <row r="26" spans="1:31" x14ac:dyDescent="0.2">
      <c r="A26" s="4">
        <v>23</v>
      </c>
      <c r="B26" s="4">
        <v>93.53</v>
      </c>
      <c r="C26" s="4">
        <v>116.72</v>
      </c>
      <c r="D26" s="4">
        <v>109.34</v>
      </c>
      <c r="E26" s="4">
        <v>104.57</v>
      </c>
      <c r="G26" s="4">
        <v>23</v>
      </c>
      <c r="H26" s="4">
        <v>35.99</v>
      </c>
      <c r="I26" s="4">
        <v>36.409999999999997</v>
      </c>
      <c r="K26" s="4">
        <v>23</v>
      </c>
      <c r="L26" s="4">
        <v>63.839999999999996</v>
      </c>
      <c r="M26" s="4">
        <v>64.959999999999994</v>
      </c>
      <c r="O26" s="4">
        <v>23</v>
      </c>
      <c r="P26" s="4">
        <v>78.028000000000006</v>
      </c>
      <c r="Q26" s="4">
        <v>90.033333333333346</v>
      </c>
      <c r="R26" s="4">
        <v>0.29166666666666669</v>
      </c>
      <c r="S26" s="4">
        <v>0.39</v>
      </c>
      <c r="T26" s="4">
        <v>8.3333333333333329E-2</v>
      </c>
      <c r="U26" s="4">
        <v>2.8000000000000001E-2</v>
      </c>
      <c r="V26" s="4">
        <v>0.54166666666666663</v>
      </c>
      <c r="W26" s="4">
        <v>0.54500000000000004</v>
      </c>
      <c r="X26" s="4">
        <v>612</v>
      </c>
      <c r="Y26" s="4">
        <v>50.561428571428571</v>
      </c>
      <c r="Z26" s="4">
        <v>51.84</v>
      </c>
      <c r="AA26" s="4">
        <v>108.48</v>
      </c>
      <c r="AB26" s="4">
        <v>71.602999999999994</v>
      </c>
      <c r="AC26" s="4">
        <v>105.55999999999996</v>
      </c>
      <c r="AD26" s="4">
        <v>93.677000000000007</v>
      </c>
      <c r="AE26" s="4">
        <f>IF(ISBLANK(t_omie_evol[[#This Row],[Omie media diaria]]),$X$39,t_omie_evol[[#This Row],[demanda GWh]])</f>
        <v>612</v>
      </c>
    </row>
    <row r="27" spans="1:31" x14ac:dyDescent="0.2">
      <c r="A27" s="4">
        <v>24</v>
      </c>
      <c r="B27" s="4">
        <v>64.88</v>
      </c>
      <c r="C27" s="4">
        <v>109.3</v>
      </c>
      <c r="D27" s="4">
        <v>96.97</v>
      </c>
      <c r="E27" s="4">
        <v>97.23</v>
      </c>
      <c r="G27" s="4">
        <v>24</v>
      </c>
      <c r="H27" s="4">
        <v>36.429999999999986</v>
      </c>
      <c r="I27" s="4">
        <v>36.409999999999997</v>
      </c>
      <c r="K27" s="4">
        <v>24</v>
      </c>
      <c r="L27" s="4">
        <v>63.839999999999996</v>
      </c>
      <c r="M27" s="4">
        <v>64.959999999999994</v>
      </c>
      <c r="O27" s="4">
        <v>24</v>
      </c>
      <c r="P27" s="4">
        <v>78.028000000000006</v>
      </c>
      <c r="Q27" s="4">
        <v>95.81208333333332</v>
      </c>
      <c r="R27" s="4">
        <v>0.29166666666666669</v>
      </c>
      <c r="S27" s="4">
        <v>0.39</v>
      </c>
      <c r="T27" s="4">
        <v>0</v>
      </c>
      <c r="U27" s="4">
        <v>0</v>
      </c>
      <c r="V27" s="4">
        <v>0.45833333333333326</v>
      </c>
      <c r="W27" s="4">
        <v>0.54700000000000004</v>
      </c>
      <c r="X27" s="4">
        <v>347</v>
      </c>
      <c r="Y27" s="4">
        <v>83.158571428571435</v>
      </c>
      <c r="Z27" s="4">
        <v>51.84</v>
      </c>
      <c r="AA27" s="4">
        <v>0</v>
      </c>
      <c r="AB27" s="4">
        <v>71.602999999999994</v>
      </c>
      <c r="AC27" s="4">
        <v>103.15727272727273</v>
      </c>
      <c r="AD27" s="4">
        <v>93.677000000000007</v>
      </c>
      <c r="AE27" s="4">
        <f>IF(ISBLANK(t_omie_evol[[#This Row],[Omie media diaria]]),$X$39,t_omie_evol[[#This Row],[demanda GWh]])</f>
        <v>347</v>
      </c>
    </row>
    <row r="28" spans="1:31" x14ac:dyDescent="0.2">
      <c r="G28" s="4">
        <v>25</v>
      </c>
      <c r="I28" s="4">
        <v>36.409999999999997</v>
      </c>
      <c r="K28" s="4">
        <v>25</v>
      </c>
      <c r="L28" s="4">
        <v>63.839999999999996</v>
      </c>
      <c r="M28" s="4">
        <v>64.959999999999994</v>
      </c>
      <c r="O28" s="4">
        <v>25</v>
      </c>
      <c r="P28" s="4">
        <v>78.028000000000006</v>
      </c>
      <c r="Q28" s="4">
        <v>57.225000000000016</v>
      </c>
      <c r="R28" s="4">
        <v>0.3636363636363637</v>
      </c>
      <c r="S28" s="4">
        <v>0.39</v>
      </c>
      <c r="T28" s="4">
        <v>0</v>
      </c>
      <c r="U28" s="4">
        <v>0</v>
      </c>
      <c r="V28" s="4">
        <v>0.63636363636363635</v>
      </c>
      <c r="W28" s="4">
        <v>0.63600000000000001</v>
      </c>
      <c r="X28" s="4">
        <v>0</v>
      </c>
      <c r="Y28" s="4">
        <v>40.671250000000001</v>
      </c>
      <c r="Z28" s="4">
        <v>51.84</v>
      </c>
      <c r="AA28" s="4">
        <v>0</v>
      </c>
      <c r="AB28" s="4">
        <v>71.602999999999994</v>
      </c>
      <c r="AC28" s="4">
        <v>66.180714285714288</v>
      </c>
      <c r="AD28" s="4">
        <v>93.677000000000007</v>
      </c>
      <c r="AE28" s="4">
        <f>IF(ISBLANK(t_omie_evol[[#This Row],[Omie media diaria]]),$X$39,t_omie_evol[[#This Row],[demanda GWh]])</f>
        <v>0</v>
      </c>
    </row>
    <row r="29" spans="1:31" ht="11.45" customHeight="1" x14ac:dyDescent="0.2">
      <c r="G29" s="4">
        <v>26</v>
      </c>
      <c r="I29" s="4">
        <v>36.409999999999997</v>
      </c>
      <c r="K29" s="4">
        <v>26</v>
      </c>
      <c r="M29" s="4">
        <v>64.959999999999994</v>
      </c>
      <c r="O29" s="4">
        <v>26</v>
      </c>
      <c r="P29" s="4">
        <v>78.028000000000006</v>
      </c>
      <c r="S29" s="4">
        <v>0.39</v>
      </c>
      <c r="U29" s="4">
        <v>0</v>
      </c>
      <c r="W29" s="4">
        <v>0.63600000000000001</v>
      </c>
      <c r="Y29" s="4" t="s">
        <v>1112</v>
      </c>
      <c r="Z29" s="4">
        <v>51.84</v>
      </c>
      <c r="AA29" s="4" t="s">
        <v>1112</v>
      </c>
      <c r="AB29" s="4">
        <v>71.602999999999994</v>
      </c>
      <c r="AC29" s="4" t="s">
        <v>1112</v>
      </c>
      <c r="AD29" s="4">
        <v>93.677000000000007</v>
      </c>
      <c r="AE29" s="4">
        <f>IF(ISBLANK(t_omie_evol[[#This Row],[Omie media diaria]]),$X$39,t_omie_evol[[#This Row],[demanda GWh]])</f>
        <v>587.04</v>
      </c>
    </row>
    <row r="30" spans="1:31" ht="11.45" customHeight="1" x14ac:dyDescent="0.2">
      <c r="G30" s="4">
        <v>27</v>
      </c>
      <c r="I30" s="4">
        <v>36.409999999999997</v>
      </c>
      <c r="K30" s="4">
        <v>27</v>
      </c>
      <c r="M30" s="4">
        <v>64.959999999999994</v>
      </c>
      <c r="O30" s="4">
        <v>27</v>
      </c>
      <c r="P30" s="4">
        <v>78.028000000000006</v>
      </c>
      <c r="S30" s="4">
        <v>0.39</v>
      </c>
      <c r="U30" s="4">
        <v>0</v>
      </c>
      <c r="W30" s="4">
        <v>0.63600000000000001</v>
      </c>
      <c r="Y30" s="4" t="s">
        <v>1112</v>
      </c>
      <c r="Z30" s="4">
        <v>51.84</v>
      </c>
      <c r="AA30" s="4" t="s">
        <v>1112</v>
      </c>
      <c r="AB30" s="4">
        <v>71.602999999999994</v>
      </c>
      <c r="AC30" s="4" t="s">
        <v>1112</v>
      </c>
      <c r="AD30" s="4">
        <v>93.677000000000007</v>
      </c>
      <c r="AE30" s="4">
        <f>IF(ISBLANK(t_omie_evol[[#This Row],[Omie media diaria]]),$X$39,t_omie_evol[[#This Row],[demanda GWh]])</f>
        <v>587.04</v>
      </c>
    </row>
    <row r="31" spans="1:31" ht="11.45" customHeight="1" x14ac:dyDescent="0.2">
      <c r="G31" s="4">
        <v>28</v>
      </c>
      <c r="I31" s="4">
        <v>36.409999999999997</v>
      </c>
      <c r="K31" s="4">
        <v>28</v>
      </c>
      <c r="M31" s="4">
        <v>64.959999999999994</v>
      </c>
      <c r="O31" s="4">
        <v>28</v>
      </c>
      <c r="P31" s="4">
        <v>78.028000000000006</v>
      </c>
      <c r="S31" s="4">
        <v>0.39</v>
      </c>
      <c r="U31" s="4">
        <v>0</v>
      </c>
      <c r="W31" s="4">
        <v>0.63600000000000001</v>
      </c>
      <c r="Y31" s="4" t="s">
        <v>1112</v>
      </c>
      <c r="Z31" s="4">
        <v>51.84</v>
      </c>
      <c r="AA31" s="4" t="s">
        <v>1112</v>
      </c>
      <c r="AB31" s="4">
        <v>71.602999999999994</v>
      </c>
      <c r="AC31" s="4" t="s">
        <v>1112</v>
      </c>
      <c r="AD31" s="4">
        <v>93.677000000000007</v>
      </c>
      <c r="AE31" s="4">
        <f>IF(ISBLANK(t_omie_evol[[#This Row],[Omie media diaria]]),$X$39,t_omie_evol[[#This Row],[demanda GWh]])</f>
        <v>587.04</v>
      </c>
    </row>
    <row r="32" spans="1:31" ht="11.45" customHeight="1" x14ac:dyDescent="0.2">
      <c r="G32" s="4">
        <v>29</v>
      </c>
      <c r="I32" s="4">
        <v>36.409999999999997</v>
      </c>
      <c r="K32" s="4">
        <v>29</v>
      </c>
      <c r="M32" s="4">
        <v>64.959999999999994</v>
      </c>
      <c r="O32" s="4">
        <v>29</v>
      </c>
      <c r="P32" s="4">
        <v>78.028000000000006</v>
      </c>
      <c r="S32" s="4">
        <v>0.39</v>
      </c>
      <c r="U32" s="4">
        <v>0</v>
      </c>
      <c r="W32" s="4">
        <v>0.63600000000000001</v>
      </c>
      <c r="Y32" s="4" t="s">
        <v>1112</v>
      </c>
      <c r="Z32" s="4">
        <v>51.84</v>
      </c>
      <c r="AA32" s="4" t="s">
        <v>1112</v>
      </c>
      <c r="AB32" s="4">
        <v>71.602999999999994</v>
      </c>
      <c r="AC32" s="4" t="s">
        <v>1112</v>
      </c>
      <c r="AD32" s="4">
        <v>93.677000000000007</v>
      </c>
      <c r="AE32" s="4">
        <f>IF(ISBLANK(t_omie_evol[[#This Row],[Omie media diaria]]),$X$39,t_omie_evol[[#This Row],[demanda GWh]])</f>
        <v>587.04</v>
      </c>
    </row>
    <row r="33" spans="7:31" ht="11.45" customHeight="1" x14ac:dyDescent="0.2">
      <c r="G33" s="4">
        <v>30</v>
      </c>
      <c r="I33" s="4">
        <v>36.409999999999997</v>
      </c>
      <c r="K33" s="4">
        <v>30</v>
      </c>
      <c r="M33" s="4">
        <v>64.959999999999994</v>
      </c>
      <c r="O33" s="4">
        <v>30</v>
      </c>
      <c r="P33" s="4">
        <v>78.028000000000006</v>
      </c>
      <c r="S33" s="4">
        <v>0.39</v>
      </c>
      <c r="U33" s="4">
        <v>0</v>
      </c>
      <c r="W33" s="4">
        <v>0.63600000000000001</v>
      </c>
      <c r="Y33" s="4" t="s">
        <v>1112</v>
      </c>
      <c r="Z33" s="4">
        <v>51.84</v>
      </c>
      <c r="AA33" s="4" t="s">
        <v>1112</v>
      </c>
      <c r="AB33" s="4">
        <v>71.602999999999994</v>
      </c>
      <c r="AC33" s="4" t="s">
        <v>1112</v>
      </c>
      <c r="AD33" s="4">
        <v>93.677000000000007</v>
      </c>
      <c r="AE33" s="4">
        <f>IF(ISBLANK(t_omie_evol[[#This Row],[Omie media diaria]]),$X$39,t_omie_evol[[#This Row],[demanda GWh]])</f>
        <v>587.04</v>
      </c>
    </row>
    <row r="34" spans="7:31" ht="11.45" customHeight="1" x14ac:dyDescent="0.2">
      <c r="G34" s="4">
        <v>31</v>
      </c>
      <c r="K34" s="4">
        <v>31</v>
      </c>
      <c r="M34" s="4">
        <v>64.959999999999994</v>
      </c>
      <c r="O34" s="4">
        <v>31</v>
      </c>
      <c r="P34" s="4">
        <v>78.028000000000006</v>
      </c>
      <c r="S34" s="4">
        <v>0.39</v>
      </c>
      <c r="U34" s="4">
        <v>0</v>
      </c>
      <c r="W34" s="4">
        <v>0.63600000000000001</v>
      </c>
      <c r="Y34" s="4" t="s">
        <v>1112</v>
      </c>
      <c r="Z34" s="4">
        <v>51.84</v>
      </c>
      <c r="AA34" s="4" t="s">
        <v>1112</v>
      </c>
      <c r="AB34" s="4">
        <v>71.602999999999994</v>
      </c>
      <c r="AC34" s="4" t="s">
        <v>1112</v>
      </c>
      <c r="AD34" s="4">
        <v>93.677000000000007</v>
      </c>
      <c r="AE34" s="4">
        <f>IF(ISBLANK(t_omie_evol[[#This Row],[Omie media diaria]]),$X$39,t_omie_evol[[#This Row],[demanda GWh]])</f>
        <v>587.04</v>
      </c>
    </row>
    <row r="38" spans="7:31" x14ac:dyDescent="0.2">
      <c r="W38" s="4" t="s">
        <v>488</v>
      </c>
      <c r="X38" s="4">
        <f>SUM(t_omie_evol[demanda GWh])</f>
        <v>14676</v>
      </c>
    </row>
    <row r="39" spans="7:31" x14ac:dyDescent="0.2">
      <c r="W39" s="4" t="s">
        <v>489</v>
      </c>
      <c r="X39" s="4">
        <f>AVERAGE(t_omie_evol[demanda GWh])</f>
        <v>587.04</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Z114"/>
  <sheetViews>
    <sheetView showGridLines="0" tabSelected="1" topLeftCell="E1" workbookViewId="0">
      <selection activeCell="K8" sqref="K8"/>
    </sheetView>
  </sheetViews>
  <sheetFormatPr baseColWidth="10" defaultRowHeight="12" x14ac:dyDescent="0.2"/>
  <cols>
    <col min="1" max="1" width="28.5703125" bestFit="1" customWidth="1"/>
    <col min="2" max="2" width="12" bestFit="1" customWidth="1"/>
    <col min="3" max="3" width="10.42578125" bestFit="1" customWidth="1"/>
    <col min="4" max="9" width="12" bestFit="1" customWidth="1"/>
    <col min="10" max="10" width="12" customWidth="1"/>
    <col min="11" max="11" width="10.5703125" style="4" bestFit="1" customWidth="1"/>
    <col min="12" max="12" width="12.85546875" style="4" bestFit="1" customWidth="1"/>
    <col min="13" max="13" width="31.140625" bestFit="1" customWidth="1"/>
  </cols>
  <sheetData>
    <row r="1" spans="1:26" x14ac:dyDescent="0.2">
      <c r="A1" t="s">
        <v>0</v>
      </c>
      <c r="B1" t="s">
        <v>99</v>
      </c>
      <c r="C1" t="s">
        <v>266</v>
      </c>
      <c r="D1" t="s">
        <v>417</v>
      </c>
      <c r="E1" t="s">
        <v>146</v>
      </c>
      <c r="F1" t="s">
        <v>563</v>
      </c>
      <c r="G1" t="s">
        <v>681</v>
      </c>
      <c r="H1" t="s">
        <v>816</v>
      </c>
      <c r="I1" t="s">
        <v>961</v>
      </c>
      <c r="J1" t="s">
        <v>1039</v>
      </c>
      <c r="K1" s="62" t="s">
        <v>558</v>
      </c>
      <c r="L1" s="62" t="s">
        <v>667</v>
      </c>
      <c r="M1" s="61" t="s">
        <v>560</v>
      </c>
    </row>
    <row r="2" spans="1:26" x14ac:dyDescent="0.2">
      <c r="A2" s="47" t="s">
        <v>336</v>
      </c>
      <c r="B2" s="47">
        <v>3.2388663967611225E-2</v>
      </c>
      <c r="C2" s="47">
        <v>0.73000000000000009</v>
      </c>
      <c r="D2" s="47">
        <v>0.16863905325443776</v>
      </c>
      <c r="E2" s="47">
        <v>0.49963423555230435</v>
      </c>
      <c r="F2" s="47">
        <v>1.2828947368420955E-2</v>
      </c>
      <c r="G2">
        <v>8.3452211126961481E-2</v>
      </c>
      <c r="H2">
        <v>2.0605725349190911E-2</v>
      </c>
      <c r="I2">
        <v>0.16090060406370119</v>
      </c>
      <c r="J2">
        <v>0.16110503282275712</v>
      </c>
      <c r="K2" s="85">
        <f>$Z$2- COUNTIF(acumulado_porcentaje[[#This Row],[Ene 2024]:[Sep 2024]],"")</f>
        <v>9</v>
      </c>
      <c r="L2"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0.63992023795308062</v>
      </c>
      <c r="M2" t="str">
        <f>acumulado_porcentaje[[#This Row],[Nombre ]]&amp;" ("&amp;acumulado_porcentaje[[#This Row],[contar]]&amp;")"</f>
        <v>Javier Revuelta Alonso (9)</v>
      </c>
      <c r="O2" s="72">
        <f>LARGE(B1:I2,1)</f>
        <v>0.73000000000000009</v>
      </c>
      <c r="P2" s="72">
        <f>LARGE(acumulado_porcentaje[[#This Row],[Ene 2024]:[Ago 2024]],2)</f>
        <v>0.49963423555230435</v>
      </c>
      <c r="Q2" s="45"/>
      <c r="R2" s="45"/>
      <c r="S2" s="45"/>
      <c r="U2" s="57" t="str">
        <f>Z3&amp;" mejores resultados hasta el "&amp;sep!H1&amp;" de septiembre incluído*"</f>
        <v>7 mejores resultados hasta el 28 de septiembre incluído*</v>
      </c>
      <c r="Y2" t="s">
        <v>812</v>
      </c>
      <c r="Z2" s="65">
        <v>9</v>
      </c>
    </row>
    <row r="3" spans="1:26" x14ac:dyDescent="0.2">
      <c r="A3" s="47" t="s">
        <v>222</v>
      </c>
      <c r="B3" s="47">
        <v>8.7719298245612885E-3</v>
      </c>
      <c r="C3" s="47">
        <v>0.84699999999999986</v>
      </c>
      <c r="D3" s="47">
        <v>0.50394477317554232</v>
      </c>
      <c r="E3" s="47">
        <v>0.35332845647403072</v>
      </c>
      <c r="F3" s="47">
        <v>0.13980263157894737</v>
      </c>
      <c r="G3">
        <v>0.14728958630527814</v>
      </c>
      <c r="H3">
        <v>3.1945788964182022E-2</v>
      </c>
      <c r="I3">
        <v>0.10378912685337729</v>
      </c>
      <c r="J3">
        <v>0.29636214442013131</v>
      </c>
      <c r="K3" s="85">
        <f>$Z$2- COUNTIF(acumulado_porcentaje[[#This Row],[Ene 2024]:[Sep 2024]],"")</f>
        <v>9</v>
      </c>
      <c r="L3"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1.0812896644205081</v>
      </c>
      <c r="M3" t="str">
        <f>acumulado_porcentaje[[#This Row],[Nombre ]]&amp;" ("&amp;acumulado_porcentaje[[#This Row],[contar]]&amp;")"</f>
        <v>Jose F Vidal (9)</v>
      </c>
      <c r="O3" s="72"/>
      <c r="P3" s="72"/>
      <c r="Q3" s="45"/>
      <c r="R3" s="45"/>
      <c r="S3" s="45"/>
      <c r="Y3" t="s">
        <v>825</v>
      </c>
      <c r="Z3" s="4">
        <f>Z2-2</f>
        <v>7</v>
      </c>
    </row>
    <row r="4" spans="1:26" x14ac:dyDescent="0.2">
      <c r="A4" s="47" t="s">
        <v>381</v>
      </c>
      <c r="B4" s="47">
        <v>3.2388663967611413E-2</v>
      </c>
      <c r="C4" s="47">
        <v>0.50050000000000006</v>
      </c>
      <c r="D4" s="47"/>
      <c r="E4" s="47"/>
      <c r="F4" s="47">
        <v>9.3092105263157837E-2</v>
      </c>
      <c r="G4">
        <v>5.5813124108416469E-2</v>
      </c>
      <c r="H4">
        <v>2.2541833771262555E-2</v>
      </c>
      <c r="I4">
        <v>0.17583745194947822</v>
      </c>
      <c r="J4">
        <v>0.22989606126914663</v>
      </c>
      <c r="K4" s="85">
        <f>$Z$2- COUNTIF(acumulado_porcentaje[[#This Row],[Ene 2024]:[Sep 2024]],"")</f>
        <v>7</v>
      </c>
      <c r="L4"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1.1100692403290733</v>
      </c>
      <c r="M4" t="str">
        <f>acumulado_porcentaje[[#This Row],[Nombre ]]&amp;" ("&amp;acumulado_porcentaje[[#This Row],[contar]]&amp;")"</f>
        <v>Roberto Cavero García (7)</v>
      </c>
      <c r="O4" s="72"/>
      <c r="P4" s="72"/>
      <c r="Q4" s="45"/>
      <c r="R4" s="45"/>
      <c r="S4" s="45"/>
    </row>
    <row r="5" spans="1:26" x14ac:dyDescent="0.2">
      <c r="A5" s="47" t="s">
        <v>406</v>
      </c>
      <c r="B5" s="47">
        <v>1.2145748987854329E-2</v>
      </c>
      <c r="C5" s="47">
        <v>0.625</v>
      </c>
      <c r="D5" s="47">
        <v>0.57790927021696248</v>
      </c>
      <c r="E5" s="47">
        <v>1.0848573518653988</v>
      </c>
      <c r="F5" s="47">
        <v>0.17763157894736839</v>
      </c>
      <c r="G5">
        <v>1.9258202567760313E-2</v>
      </c>
      <c r="H5">
        <v>5.9604480708062541E-2</v>
      </c>
      <c r="I5">
        <v>0.14332784184514</v>
      </c>
      <c r="J5">
        <v>0.20350109409190364</v>
      </c>
      <c r="K5" s="85">
        <f>$Z$2- COUNTIF(acumulado_porcentaje[[#This Row],[Ene 2024]:[Sep 2024]],"")</f>
        <v>9</v>
      </c>
      <c r="L5"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1.1933782173650518</v>
      </c>
      <c r="M5" t="str">
        <f>acumulado_porcentaje[[#This Row],[Nombre ]]&amp;" ("&amp;acumulado_porcentaje[[#This Row],[contar]]&amp;")"</f>
        <v>Javier Pérez Salazar (9)</v>
      </c>
      <c r="O5" s="72"/>
      <c r="P5" s="72"/>
      <c r="Q5" s="45"/>
      <c r="R5" s="45"/>
      <c r="S5" s="45"/>
    </row>
    <row r="6" spans="1:26" x14ac:dyDescent="0.2">
      <c r="A6" s="47" t="s">
        <v>409</v>
      </c>
      <c r="B6" s="47">
        <v>0.10242914979757091</v>
      </c>
      <c r="C6" s="47">
        <v>0.74050000000000016</v>
      </c>
      <c r="D6" s="47">
        <v>1.7460552268244574</v>
      </c>
      <c r="E6" s="47">
        <v>1.7468910021945863</v>
      </c>
      <c r="F6" s="47">
        <v>2.335526315789465E-2</v>
      </c>
      <c r="G6">
        <v>6.3837375178316669E-2</v>
      </c>
      <c r="H6">
        <v>3.8168994606555179E-2</v>
      </c>
      <c r="I6">
        <v>0.23130148270181222</v>
      </c>
      <c r="J6">
        <v>5.8807439824944277E-3</v>
      </c>
      <c r="K6" s="85">
        <f>$Z$2- COUNTIF(acumulado_porcentaje[[#This Row],[Ene 2024]:[Sep 2024]],"")</f>
        <v>9</v>
      </c>
      <c r="L6"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1.2054730094246442</v>
      </c>
      <c r="M6" t="str">
        <f>acumulado_porcentaje[[#This Row],[Nombre ]]&amp;" ("&amp;acumulado_porcentaje[[#This Row],[contar]]&amp;")"</f>
        <v>Gladys Rocha Blanco (9)</v>
      </c>
      <c r="O6" s="72"/>
      <c r="P6" s="72"/>
      <c r="Q6" s="45"/>
      <c r="R6" s="45"/>
      <c r="S6" s="45"/>
    </row>
    <row r="7" spans="1:26" x14ac:dyDescent="0.2">
      <c r="A7" s="47" t="s">
        <v>408</v>
      </c>
      <c r="B7" s="47">
        <v>3.8731443994601759E-2</v>
      </c>
      <c r="C7" s="47">
        <v>0.8932500000000001</v>
      </c>
      <c r="D7" s="47">
        <v>0.64250493096646943</v>
      </c>
      <c r="E7" s="47">
        <v>0.77249451353328458</v>
      </c>
      <c r="F7" s="47">
        <v>2.6315789473684119E-2</v>
      </c>
      <c r="G7">
        <v>0.25267475035663339</v>
      </c>
      <c r="H7">
        <v>2.9871387083390908E-2</v>
      </c>
      <c r="I7">
        <v>0.1624382207578253</v>
      </c>
      <c r="J7">
        <v>0.17587527352297591</v>
      </c>
      <c r="K7" s="85">
        <f>$Z$2- COUNTIF(acumulado_porcentaje[[#This Row],[Ene 2024]:[Sep 2024]],"")</f>
        <v>9</v>
      </c>
      <c r="L7"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1.3284117961555808</v>
      </c>
      <c r="M7" t="str">
        <f>acumulado_porcentaje[[#This Row],[Nombre ]]&amp;" ("&amp;acumulado_porcentaje[[#This Row],[contar]]&amp;")"</f>
        <v>Julián Mateo Muñoz (9)</v>
      </c>
      <c r="O7" s="72"/>
      <c r="P7" s="72"/>
      <c r="Q7" s="45"/>
      <c r="R7" s="45"/>
      <c r="S7" s="45"/>
    </row>
    <row r="8" spans="1:26" x14ac:dyDescent="0.2">
      <c r="A8" s="47" t="s">
        <v>363</v>
      </c>
      <c r="B8" s="47">
        <v>4.4534412955465549E-2</v>
      </c>
      <c r="C8" s="47">
        <v>0.63500000000000012</v>
      </c>
      <c r="D8" s="47">
        <v>0.46942800788954631</v>
      </c>
      <c r="E8" s="47">
        <v>0.66788588149231898</v>
      </c>
      <c r="F8" s="47">
        <v>0.28947368421052622</v>
      </c>
      <c r="G8">
        <v>0.24928673323823106</v>
      </c>
      <c r="H8">
        <v>4.8541004010510369E-2</v>
      </c>
      <c r="I8">
        <v>0.21801208127402522</v>
      </c>
      <c r="J8">
        <v>0.19529540481400437</v>
      </c>
      <c r="K8" s="85">
        <f>$Z$2- COUNTIF(acumulado_porcentaje[[#This Row],[Ene 2024]:[Sep 2024]],"")</f>
        <v>9</v>
      </c>
      <c r="L8"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1.514571328392309</v>
      </c>
      <c r="M8" t="str">
        <f>acumulado_porcentaje[[#This Row],[Nombre ]]&amp;" ("&amp;acumulado_porcentaje[[#This Row],[contar]]&amp;")"</f>
        <v>Roque Alonso Alonso (9)</v>
      </c>
      <c r="O8" s="72"/>
      <c r="P8" s="72"/>
      <c r="Q8" s="45"/>
      <c r="R8" s="45"/>
      <c r="S8" s="45"/>
    </row>
    <row r="9" spans="1:26" x14ac:dyDescent="0.2">
      <c r="A9" s="47" t="s">
        <v>219</v>
      </c>
      <c r="B9" s="47">
        <v>0.18866396761133611</v>
      </c>
      <c r="C9" s="47">
        <v>0.74224999999999997</v>
      </c>
      <c r="D9" s="47">
        <v>0.80769230769230738</v>
      </c>
      <c r="E9" s="47"/>
      <c r="F9" s="47">
        <v>9.703947368421062E-2</v>
      </c>
      <c r="G9">
        <v>4.992867332382319E-2</v>
      </c>
      <c r="H9">
        <v>7.7997510717743052E-2</v>
      </c>
      <c r="I9">
        <v>0.12147171883580453</v>
      </c>
      <c r="J9">
        <v>0.24603391684901524</v>
      </c>
      <c r="K9" s="85">
        <f>$Z$2- COUNTIF(acumulado_porcentaje[[#This Row],[Ene 2024]:[Sep 2024]],"")</f>
        <v>8</v>
      </c>
      <c r="L9"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1.5233852610219327</v>
      </c>
      <c r="M9" t="str">
        <f>acumulado_porcentaje[[#This Row],[Nombre ]]&amp;" ("&amp;acumulado_porcentaje[[#This Row],[contar]]&amp;")"</f>
        <v>Jaime Larrañaga Juez (8)</v>
      </c>
      <c r="O9" s="72"/>
      <c r="P9" s="72"/>
      <c r="Q9" s="45"/>
      <c r="R9" s="45"/>
      <c r="S9" s="45"/>
    </row>
    <row r="10" spans="1:26" x14ac:dyDescent="0.2">
      <c r="A10" s="47" t="s">
        <v>474</v>
      </c>
      <c r="B10" s="47"/>
      <c r="C10" s="47"/>
      <c r="D10" s="47">
        <v>5.9171597633134827E-3</v>
      </c>
      <c r="E10" s="47">
        <v>0.64594001463057793</v>
      </c>
      <c r="F10" s="47">
        <v>0.15460526315789483</v>
      </c>
      <c r="G10">
        <v>0.24661198288159769</v>
      </c>
      <c r="H10">
        <v>6.3061817176047599E-2</v>
      </c>
      <c r="I10">
        <v>0.17880285557386053</v>
      </c>
      <c r="J10">
        <v>0.27010393873085337</v>
      </c>
      <c r="K10" s="85">
        <f>$Z$2- COUNTIF(acumulado_porcentaje[[#This Row],[Ene 2024]:[Sep 2024]],"")</f>
        <v>7</v>
      </c>
      <c r="L10"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1.5650430319141453</v>
      </c>
      <c r="M10" t="str">
        <f>acumulado_porcentaje[[#This Row],[Nombre ]]&amp;" ("&amp;acumulado_porcentaje[[#This Row],[contar]]&amp;")"</f>
        <v>Javier Colón Cortegoso (7)</v>
      </c>
      <c r="O10" s="72"/>
      <c r="P10" s="72"/>
      <c r="Q10" s="45"/>
      <c r="R10" s="45"/>
      <c r="S10" s="45"/>
    </row>
    <row r="11" spans="1:26" x14ac:dyDescent="0.2">
      <c r="A11" s="47" t="s">
        <v>218</v>
      </c>
      <c r="B11" s="47">
        <v>0.15249662618083687</v>
      </c>
      <c r="C11" s="47">
        <v>0.61149999999999982</v>
      </c>
      <c r="D11" s="47">
        <v>0.30670611439842199</v>
      </c>
      <c r="E11" s="47">
        <v>0.89465983906364288</v>
      </c>
      <c r="F11" s="47">
        <v>0.49013157894736842</v>
      </c>
      <c r="G11">
        <v>0.23038516405135526</v>
      </c>
      <c r="H11">
        <v>7.4540174249757993E-2</v>
      </c>
      <c r="I11">
        <v>0.1466227347611202</v>
      </c>
      <c r="J11">
        <v>0.21553610503282261</v>
      </c>
      <c r="K11" s="85">
        <f>$Z$2- COUNTIF(acumulado_porcentaje[[#This Row],[Ene 2024]:[Sep 2024]],"")</f>
        <v>9</v>
      </c>
      <c r="L11"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1.6164184976216833</v>
      </c>
      <c r="M11" t="str">
        <f>acumulado_porcentaje[[#This Row],[Nombre ]]&amp;" ("&amp;acumulado_porcentaje[[#This Row],[contar]]&amp;")"</f>
        <v>Jorge Antonio González Sánchez (9)</v>
      </c>
      <c r="O11" s="72"/>
      <c r="P11" s="72"/>
      <c r="Q11" s="45"/>
      <c r="R11" s="45"/>
      <c r="S11" s="45"/>
    </row>
    <row r="12" spans="1:26" x14ac:dyDescent="0.2">
      <c r="A12" s="47" t="s">
        <v>362</v>
      </c>
      <c r="B12" s="47">
        <v>2.6990553306343165E-3</v>
      </c>
      <c r="C12" s="47">
        <v>0.74624999999999986</v>
      </c>
      <c r="D12" s="47">
        <v>0.75542406311637078</v>
      </c>
      <c r="E12" s="47">
        <v>0.77029992684711046</v>
      </c>
      <c r="F12" s="47">
        <v>6.907894736842099E-2</v>
      </c>
      <c r="G12">
        <v>0.24910841654778887</v>
      </c>
      <c r="H12">
        <v>9.7496888397178766E-2</v>
      </c>
      <c r="I12">
        <v>0.17836353651839643</v>
      </c>
      <c r="J12">
        <v>0.28077133479212252</v>
      </c>
      <c r="K12" s="85">
        <f>$Z$2- COUNTIF(acumulado_porcentaje[[#This Row],[Ene 2024]:[Sep 2024]],"")</f>
        <v>9</v>
      </c>
      <c r="L12"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1.6237681789545417</v>
      </c>
      <c r="M12" t="str">
        <f>acumulado_porcentaje[[#This Row],[Nombre ]]&amp;" ("&amp;acumulado_porcentaje[[#This Row],[contar]]&amp;")"</f>
        <v>Inés Monroy (9)</v>
      </c>
      <c r="O12" s="72"/>
      <c r="P12" s="72"/>
      <c r="Q12" s="45"/>
      <c r="R12" s="45"/>
      <c r="S12" s="45"/>
    </row>
    <row r="13" spans="1:26" x14ac:dyDescent="0.2">
      <c r="A13" s="47" t="s">
        <v>215</v>
      </c>
      <c r="B13" s="47">
        <v>4.8582995951417123E-2</v>
      </c>
      <c r="C13" s="47">
        <v>0.72375000000000012</v>
      </c>
      <c r="D13" s="47"/>
      <c r="E13" s="47">
        <v>2.2553035844915872</v>
      </c>
      <c r="F13" s="47">
        <v>0.35197368421052644</v>
      </c>
      <c r="G13">
        <v>9.4507845934379657E-3</v>
      </c>
      <c r="H13">
        <v>6.3753284469644581E-2</v>
      </c>
      <c r="I13">
        <v>0.22350356946732558</v>
      </c>
      <c r="J13">
        <v>0.24316192560175054</v>
      </c>
      <c r="K13" s="85">
        <f>$Z$2- COUNTIF(acumulado_porcentaje[[#This Row],[Ene 2024]:[Sep 2024]],"")</f>
        <v>8</v>
      </c>
      <c r="L13"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1.6641762442941022</v>
      </c>
      <c r="M13" t="str">
        <f>acumulado_porcentaje[[#This Row],[Nombre ]]&amp;" ("&amp;acumulado_porcentaje[[#This Row],[contar]]&amp;")"</f>
        <v>Carles Estruch Puig (8)</v>
      </c>
      <c r="O13" s="72"/>
      <c r="P13" s="72"/>
      <c r="Q13" s="45"/>
      <c r="R13" s="45"/>
      <c r="S13" s="45"/>
    </row>
    <row r="14" spans="1:26" x14ac:dyDescent="0.2">
      <c r="A14" s="47" t="s">
        <v>217</v>
      </c>
      <c r="B14" s="47">
        <v>0.19703103913630224</v>
      </c>
      <c r="C14" s="47">
        <v>0.74899999999999989</v>
      </c>
      <c r="D14" s="47">
        <v>1.2194280078895461</v>
      </c>
      <c r="E14" s="47">
        <v>1.4381858083394292</v>
      </c>
      <c r="F14" s="47">
        <v>9.6381578947368415E-2</v>
      </c>
      <c r="G14">
        <v>0.28798145506419398</v>
      </c>
      <c r="H14">
        <v>6.1125708753975959E-2</v>
      </c>
      <c r="I14">
        <v>0.28138385502471158</v>
      </c>
      <c r="J14">
        <v>6.3594091903719799E-2</v>
      </c>
      <c r="K14" s="85">
        <f>$Z$2- COUNTIF(acumulado_porcentaje[[#This Row],[Ene 2024]:[Sep 2024]],"")</f>
        <v>9</v>
      </c>
      <c r="L14"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1.7364977288302719</v>
      </c>
      <c r="M14" t="str">
        <f>acumulado_porcentaje[[#This Row],[Nombre ]]&amp;" ("&amp;acumulado_porcentaje[[#This Row],[contar]]&amp;")"</f>
        <v>Fernando Sánchez-Rey Maeso (9)</v>
      </c>
      <c r="O14" s="72"/>
      <c r="P14" s="72"/>
      <c r="Q14" s="45"/>
      <c r="R14" s="45"/>
      <c r="S14" s="45"/>
    </row>
    <row r="15" spans="1:26" x14ac:dyDescent="0.2">
      <c r="A15" s="47" t="s">
        <v>221</v>
      </c>
      <c r="B15" s="47">
        <v>5.6410256410256508E-2</v>
      </c>
      <c r="C15" s="47">
        <v>0.48249999999999993</v>
      </c>
      <c r="D15" s="47">
        <v>0.15828402366863892</v>
      </c>
      <c r="E15" s="47">
        <v>0.42648134601316751</v>
      </c>
      <c r="F15" s="47">
        <v>0.17993421052631575</v>
      </c>
      <c r="G15">
        <v>0.29404422253922957</v>
      </c>
      <c r="I15">
        <v>0.24107633168588691</v>
      </c>
      <c r="K15" s="85">
        <f>$Z$2- COUNTIF(acumulado_porcentaje[[#This Row],[Ene 2024]:[Sep 2024]],"")</f>
        <v>7</v>
      </c>
      <c r="L15"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1.8387303908434951</v>
      </c>
      <c r="M15" t="str">
        <f>acumulado_porcentaje[[#This Row],[Nombre ]]&amp;" ("&amp;acumulado_porcentaje[[#This Row],[contar]]&amp;")"</f>
        <v>Alfonso Lezcano (7)</v>
      </c>
      <c r="O15" s="72"/>
      <c r="P15" s="72"/>
      <c r="Q15" s="45"/>
      <c r="R15" s="45"/>
      <c r="S15" s="45"/>
    </row>
    <row r="16" spans="1:26" x14ac:dyDescent="0.2">
      <c r="A16" s="47" t="s">
        <v>9</v>
      </c>
      <c r="B16" s="47">
        <v>7.9622132253711286E-2</v>
      </c>
      <c r="C16" s="47">
        <v>0.7</v>
      </c>
      <c r="D16" s="47">
        <v>1.2189349112426033</v>
      </c>
      <c r="E16" s="47">
        <v>1.9261155815654718</v>
      </c>
      <c r="F16" s="47">
        <v>0.15131578947368426</v>
      </c>
      <c r="G16">
        <v>0.37589158345221113</v>
      </c>
      <c r="H16">
        <v>0.17023924768358459</v>
      </c>
      <c r="I16">
        <v>0.34102141680395387</v>
      </c>
      <c r="J16">
        <v>0.11105032822757117</v>
      </c>
      <c r="K16" s="85">
        <f>$Z$2- COUNTIF(acumulado_porcentaje[[#This Row],[Ene 2024]:[Sep 2024]],"")</f>
        <v>9</v>
      </c>
      <c r="L16"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1.9291404978947162</v>
      </c>
      <c r="M16" t="str">
        <f>acumulado_porcentaje[[#This Row],[Nombre ]]&amp;" ("&amp;acumulado_porcentaje[[#This Row],[contar]]&amp;")"</f>
        <v>Alfonso Zárate Conde (9)</v>
      </c>
      <c r="O16" s="72"/>
      <c r="P16" s="72"/>
      <c r="Q16" s="45"/>
      <c r="R16" s="45"/>
      <c r="S16" s="45"/>
    </row>
    <row r="17" spans="1:19" x14ac:dyDescent="0.2">
      <c r="A17" s="47" t="s">
        <v>414</v>
      </c>
      <c r="B17" s="47"/>
      <c r="C17" s="47">
        <v>0.6087499999999999</v>
      </c>
      <c r="D17" s="47">
        <v>0.74211045364891504</v>
      </c>
      <c r="E17" s="47">
        <v>0.71982443306510624</v>
      </c>
      <c r="F17" s="47">
        <v>7.5657894736842021E-2</v>
      </c>
      <c r="G17">
        <v>5.1355206847360835E-2</v>
      </c>
      <c r="H17">
        <v>1.3829345871947332E-4</v>
      </c>
      <c r="I17">
        <v>0.18396485447556288</v>
      </c>
      <c r="J17">
        <v>0.28966083150984673</v>
      </c>
      <c r="K17" s="85">
        <f>$Z$2- COUNTIF(acumulado_porcentaje[[#This Row],[Ene 2024]:[Sep 2024]],"")</f>
        <v>8</v>
      </c>
      <c r="L17"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1.9293515140934381</v>
      </c>
      <c r="M17" t="str">
        <f>acumulado_porcentaje[[#This Row],[Nombre ]]&amp;" ("&amp;acumulado_porcentaje[[#This Row],[contar]]&amp;")"</f>
        <v>Laura Gómez López (8)</v>
      </c>
      <c r="O17" s="72"/>
      <c r="P17" s="72"/>
      <c r="Q17" s="45"/>
      <c r="R17" s="45"/>
      <c r="S17" s="45"/>
    </row>
    <row r="18" spans="1:19" x14ac:dyDescent="0.2">
      <c r="A18" s="47" t="s">
        <v>225</v>
      </c>
      <c r="B18" s="47">
        <v>0.15141700404858299</v>
      </c>
      <c r="C18" s="47">
        <v>0.80625000000000002</v>
      </c>
      <c r="D18" s="47">
        <v>1.2795857988165678</v>
      </c>
      <c r="E18" s="47">
        <v>0.70592538405267014</v>
      </c>
      <c r="F18" s="47">
        <v>0.63453947368421049</v>
      </c>
      <c r="G18">
        <v>9.4151212553495026E-2</v>
      </c>
      <c r="H18">
        <v>7.0529663946896021E-3</v>
      </c>
      <c r="I18">
        <v>0.17847336628226249</v>
      </c>
      <c r="J18">
        <v>0.26914660831509835</v>
      </c>
      <c r="K18" s="85">
        <f>$Z$2- COUNTIF(acumulado_porcentaje[[#This Row],[Ene 2024]:[Sep 2024]],"")</f>
        <v>9</v>
      </c>
      <c r="L18"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2.040706015331009</v>
      </c>
      <c r="M18" t="str">
        <f>acumulado_porcentaje[[#This Row],[Nombre ]]&amp;" ("&amp;acumulado_porcentaje[[#This Row],[contar]]&amp;")"</f>
        <v>Elena Muñoz Vioque (9)</v>
      </c>
      <c r="O18" s="72"/>
      <c r="P18" s="72"/>
      <c r="Q18" s="45"/>
      <c r="R18" s="45"/>
      <c r="S18" s="45"/>
    </row>
    <row r="19" spans="1:19" x14ac:dyDescent="0.2">
      <c r="A19" s="47" t="s">
        <v>412</v>
      </c>
      <c r="B19" s="47">
        <v>9.4197031039136361E-2</v>
      </c>
      <c r="C19" s="47">
        <v>0.99499999999999988</v>
      </c>
      <c r="D19" s="47">
        <v>2.0414201183431953</v>
      </c>
      <c r="E19" s="47">
        <v>5.5032918800292618</v>
      </c>
      <c r="F19" s="47">
        <v>0.59868421052631593</v>
      </c>
      <c r="G19">
        <v>3.3166904422253916E-2</v>
      </c>
      <c r="H19">
        <v>3.0839441294426829E-2</v>
      </c>
      <c r="I19">
        <v>0.14772103239978038</v>
      </c>
      <c r="J19">
        <v>0.198030634573304</v>
      </c>
      <c r="K19" s="85">
        <f>$Z$2- COUNTIF(acumulado_porcentaje[[#This Row],[Ene 2024]:[Sep 2024]],"")</f>
        <v>9</v>
      </c>
      <c r="L19"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2.0976392542552174</v>
      </c>
      <c r="M19" t="str">
        <f>acumulado_porcentaje[[#This Row],[Nombre ]]&amp;" ("&amp;acumulado_porcentaje[[#This Row],[contar]]&amp;")"</f>
        <v>Jose Manuel Otero López (9)</v>
      </c>
      <c r="O19" s="72"/>
      <c r="P19" s="72"/>
      <c r="Q19" s="45"/>
      <c r="R19" s="45"/>
      <c r="S19" s="45"/>
    </row>
    <row r="20" spans="1:19" x14ac:dyDescent="0.2">
      <c r="A20" s="47" t="s">
        <v>328</v>
      </c>
      <c r="B20" s="47"/>
      <c r="C20" s="47">
        <v>0.63000000000000012</v>
      </c>
      <c r="D20" s="47"/>
      <c r="E20" s="47">
        <v>1.0190197512801757</v>
      </c>
      <c r="F20" s="47">
        <v>1.3157894736842059E-2</v>
      </c>
      <c r="G20">
        <v>5.2068473609129848E-2</v>
      </c>
      <c r="H20">
        <v>8.588023786474891E-2</v>
      </c>
      <c r="I20">
        <v>0.19439868204283364</v>
      </c>
      <c r="J20">
        <v>0.20418490153172855</v>
      </c>
      <c r="K20" s="85">
        <f>$Z$2- COUNTIF(acumulado_porcentaje[[#This Row],[Ene 2024]:[Sep 2024]],"")</f>
        <v>7</v>
      </c>
      <c r="L20"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2.1987099410654585</v>
      </c>
      <c r="M20" t="str">
        <f>acumulado_porcentaje[[#This Row],[Nombre ]]&amp;" ("&amp;acumulado_porcentaje[[#This Row],[contar]]&amp;")"</f>
        <v>Aitor Folch (7)</v>
      </c>
      <c r="O20" s="72"/>
      <c r="P20" s="72"/>
      <c r="Q20" s="45"/>
      <c r="R20" s="45"/>
      <c r="S20" s="45"/>
    </row>
    <row r="21" spans="1:19" x14ac:dyDescent="0.2">
      <c r="A21" s="47" t="s">
        <v>401</v>
      </c>
      <c r="B21" s="47">
        <v>0.17543859649122809</v>
      </c>
      <c r="C21" s="47">
        <v>0.875</v>
      </c>
      <c r="D21" s="47">
        <v>1.7120315581854042</v>
      </c>
      <c r="E21" s="47">
        <v>2.4711046086320412</v>
      </c>
      <c r="F21" s="47">
        <v>0.70789473684210513</v>
      </c>
      <c r="G21">
        <v>2.710413694721819E-2</v>
      </c>
      <c r="H21">
        <v>5.7668372285990893E-2</v>
      </c>
      <c r="I21">
        <v>0.1324546952224053</v>
      </c>
      <c r="J21">
        <v>0.28405361050328221</v>
      </c>
      <c r="K21" s="85">
        <f>$Z$2- COUNTIF(acumulado_porcentaje[[#This Row],[Ene 2024]:[Sep 2024]],"")</f>
        <v>9</v>
      </c>
      <c r="L21"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2.2596141482922301</v>
      </c>
      <c r="M21" t="str">
        <f>acumulado_porcentaje[[#This Row],[Nombre ]]&amp;" ("&amp;acumulado_porcentaje[[#This Row],[contar]]&amp;")"</f>
        <v>Juan Pedro Conejo Sanchez (9)</v>
      </c>
      <c r="O21" s="72"/>
      <c r="P21" s="72"/>
      <c r="Q21" s="45"/>
      <c r="R21" s="45"/>
      <c r="S21" s="45"/>
    </row>
    <row r="22" spans="1:19" x14ac:dyDescent="0.2">
      <c r="A22" s="47" t="s">
        <v>242</v>
      </c>
      <c r="B22" s="47">
        <v>0.18353576248313083</v>
      </c>
      <c r="C22" s="47"/>
      <c r="D22" s="47"/>
      <c r="E22" s="47">
        <v>0.60936356986100948</v>
      </c>
      <c r="F22" s="47">
        <v>0.75328947368421051</v>
      </c>
      <c r="G22">
        <v>0.17082738944365189</v>
      </c>
      <c r="H22">
        <v>8.0348499515972921E-2</v>
      </c>
      <c r="I22">
        <v>0.15980230642504115</v>
      </c>
      <c r="J22">
        <v>0.34710065645514215</v>
      </c>
      <c r="K22" s="85">
        <f>$Z$2- COUNTIF(acumulado_porcentaje[[#This Row],[Ene 2024]:[Sep 2024]],"")</f>
        <v>7</v>
      </c>
      <c r="L22"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2.3042676578681589</v>
      </c>
      <c r="M22" t="str">
        <f>acumulado_porcentaje[[#This Row],[Nombre ]]&amp;" ("&amp;acumulado_porcentaje[[#This Row],[contar]]&amp;")"</f>
        <v>Javier Espelta (7)</v>
      </c>
      <c r="O22" s="72"/>
      <c r="P22" s="72"/>
      <c r="Q22" s="45"/>
      <c r="R22" s="45"/>
      <c r="S22" s="45"/>
    </row>
    <row r="23" spans="1:19" x14ac:dyDescent="0.2">
      <c r="A23" s="47" t="s">
        <v>292</v>
      </c>
      <c r="B23" s="47"/>
      <c r="C23" s="47">
        <v>0.50250000000000006</v>
      </c>
      <c r="D23" s="47">
        <v>0.44970414201183417</v>
      </c>
      <c r="E23" s="47">
        <v>0.7483540599853693</v>
      </c>
      <c r="F23" s="47"/>
      <c r="G23">
        <v>0.21843794579172612</v>
      </c>
      <c r="H23">
        <v>6.7210620937629639E-2</v>
      </c>
      <c r="I23">
        <v>0.27666117517847333</v>
      </c>
      <c r="J23">
        <v>9.2587527352297527E-2</v>
      </c>
      <c r="K23" s="85">
        <f>$Z$2- COUNTIF(acumulado_porcentaje[[#This Row],[Ene 2024]:[Sep 2024]],"")</f>
        <v>7</v>
      </c>
      <c r="L23"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2.3554554712573301</v>
      </c>
      <c r="M23" t="str">
        <f>acumulado_porcentaje[[#This Row],[Nombre ]]&amp;" ("&amp;acumulado_porcentaje[[#This Row],[contar]]&amp;")"</f>
        <v>Oscar Mulas Crespo (7)</v>
      </c>
      <c r="O23" s="72"/>
      <c r="P23" s="72"/>
      <c r="Q23" s="45"/>
      <c r="R23" s="45"/>
      <c r="S23" s="45"/>
    </row>
    <row r="24" spans="1:19" x14ac:dyDescent="0.2">
      <c r="A24" s="47" t="s">
        <v>403</v>
      </c>
      <c r="B24" s="47">
        <v>0.1943319838056681</v>
      </c>
      <c r="C24" s="47"/>
      <c r="D24" s="47"/>
      <c r="E24" s="47">
        <v>1.944403803950256</v>
      </c>
      <c r="F24" s="47">
        <v>9.8684210526316027E-3</v>
      </c>
      <c r="G24">
        <v>7.168330955777466E-2</v>
      </c>
      <c r="H24">
        <v>9.7635181855898243E-2</v>
      </c>
      <c r="I24">
        <v>0.20263591433278422</v>
      </c>
      <c r="J24">
        <v>0.16931072210065637</v>
      </c>
      <c r="K24" s="85">
        <f>$Z$2- COUNTIF(acumulado_porcentaje[[#This Row],[Ene 2024]:[Sep 2024]],"")</f>
        <v>7</v>
      </c>
      <c r="L24" s="69">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2.6898693366556694</v>
      </c>
      <c r="M24" t="str">
        <f>acumulado_porcentaje[[#This Row],[Nombre ]]&amp;" ("&amp;acumulado_porcentaje[[#This Row],[contar]]&amp;")"</f>
        <v>Luis Angel Garzon Velasco (7)</v>
      </c>
      <c r="O24" s="72"/>
      <c r="P24" s="72"/>
      <c r="Q24" s="45"/>
      <c r="R24" s="45"/>
      <c r="S24" s="45"/>
    </row>
    <row r="25" spans="1:19" x14ac:dyDescent="0.2">
      <c r="A25" s="47" t="s">
        <v>226</v>
      </c>
      <c r="B25" s="47">
        <v>1.6869095816464237E-2</v>
      </c>
      <c r="C25" s="47">
        <v>0.5625</v>
      </c>
      <c r="D25" s="47">
        <v>0.22287968441814593</v>
      </c>
      <c r="E25" s="47">
        <v>0.64667154352596945</v>
      </c>
      <c r="F25" s="86">
        <v>0.19769736842105257</v>
      </c>
      <c r="K25" s="85">
        <f>$Z$2- COUNTIF(acumulado_porcentaje[[#This Row],[Ene 2024]:[Sep 2024]],"")</f>
        <v>5</v>
      </c>
      <c r="L2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5" t="str">
        <f>acumulado_porcentaje[[#This Row],[Nombre ]]&amp;" ("&amp;acumulado_porcentaje[[#This Row],[contar]]&amp;")"</f>
        <v>Alejandro A. Díaz González (5)</v>
      </c>
      <c r="O25" s="72"/>
      <c r="P25" s="72"/>
      <c r="Q25" s="45"/>
      <c r="R25" s="45"/>
      <c r="S25" s="45"/>
    </row>
    <row r="26" spans="1:19" x14ac:dyDescent="0.2">
      <c r="A26" s="47" t="s">
        <v>338</v>
      </c>
      <c r="B26" s="47"/>
      <c r="C26" s="47">
        <v>1.2309999999999999</v>
      </c>
      <c r="D26" s="47"/>
      <c r="E26" s="47"/>
      <c r="F26" s="47"/>
      <c r="K26" s="85">
        <f>$Z$2- COUNTIF(acumulado_porcentaje[[#This Row],[Ene 2024]:[Sep 2024]],"")</f>
        <v>1</v>
      </c>
      <c r="L2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6" t="str">
        <f>acumulado_porcentaje[[#This Row],[Nombre ]]&amp;" ("&amp;acumulado_porcentaje[[#This Row],[contar]]&amp;")"</f>
        <v>Alejandro Ld (1)</v>
      </c>
      <c r="O26" s="72"/>
      <c r="P26" s="72"/>
      <c r="Q26" s="45"/>
      <c r="R26" s="45"/>
      <c r="S26" s="45"/>
    </row>
    <row r="27" spans="1:19" x14ac:dyDescent="0.2">
      <c r="A27" s="47" t="s">
        <v>787</v>
      </c>
      <c r="B27" s="47"/>
      <c r="C27" s="47"/>
      <c r="D27" s="47"/>
      <c r="E27" s="47"/>
      <c r="F27" s="47"/>
      <c r="G27">
        <v>4.7610556348074214E-2</v>
      </c>
      <c r="K27" s="85">
        <f>$Z$2- COUNTIF(acumulado_porcentaje[[#This Row],[Ene 2024]:[Sep 2024]],"")</f>
        <v>1</v>
      </c>
      <c r="L2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7" t="str">
        <f>acumulado_porcentaje[[#This Row],[Nombre ]]&amp;" ("&amp;acumulado_porcentaje[[#This Row],[contar]]&amp;")"</f>
        <v>Alejandro Lopez Fernandez (1)</v>
      </c>
      <c r="O27" s="72"/>
      <c r="P27" s="72"/>
      <c r="Q27" s="45"/>
      <c r="R27" s="45"/>
      <c r="S27" s="45"/>
    </row>
    <row r="28" spans="1:19" x14ac:dyDescent="0.2">
      <c r="A28" s="47" t="s">
        <v>402</v>
      </c>
      <c r="B28" s="47">
        <v>2.6180836707152658E-2</v>
      </c>
      <c r="C28" s="47"/>
      <c r="D28" s="47"/>
      <c r="E28" s="47"/>
      <c r="F28" s="47"/>
      <c r="K28" s="85">
        <f>$Z$2- COUNTIF(acumulado_porcentaje[[#This Row],[Ene 2024]:[Sep 2024]],"")</f>
        <v>1</v>
      </c>
      <c r="L2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8" t="str">
        <f>acumulado_porcentaje[[#This Row],[Nombre ]]&amp;" ("&amp;acumulado_porcentaje[[#This Row],[contar]]&amp;")"</f>
        <v>Alfredo Cotrina Martínez (1)</v>
      </c>
      <c r="O28" s="72"/>
      <c r="P28" s="72"/>
      <c r="Q28" s="45"/>
      <c r="R28" s="45"/>
      <c r="S28" s="45"/>
    </row>
    <row r="29" spans="1:19" x14ac:dyDescent="0.2">
      <c r="A29" s="47" t="s">
        <v>944</v>
      </c>
      <c r="B29" s="47"/>
      <c r="C29" s="47"/>
      <c r="D29" s="47"/>
      <c r="E29" s="47"/>
      <c r="F29" s="47"/>
      <c r="H29">
        <v>6.9146729359697353E-4</v>
      </c>
      <c r="I29">
        <v>0.1628775398132894</v>
      </c>
      <c r="J29">
        <v>0.42696936542669578</v>
      </c>
      <c r="K29" s="85">
        <f>$Z$2- COUNTIF(acumulado_porcentaje[[#This Row],[Ene 2024]:[Sep 2024]],"")</f>
        <v>3</v>
      </c>
      <c r="L2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29" t="str">
        <f>acumulado_porcentaje[[#This Row],[Nombre ]]&amp;" ("&amp;acumulado_porcentaje[[#This Row],[contar]]&amp;")"</f>
        <v>Andrea Zarbano (3)</v>
      </c>
      <c r="O29" s="72"/>
      <c r="P29" s="72"/>
      <c r="Q29" s="45"/>
      <c r="R29" s="45"/>
      <c r="S29" s="45"/>
    </row>
    <row r="30" spans="1:19" x14ac:dyDescent="0.2">
      <c r="A30" s="47" t="s">
        <v>1029</v>
      </c>
      <c r="B30" s="47"/>
      <c r="C30" s="47"/>
      <c r="D30" s="47"/>
      <c r="E30" s="47"/>
      <c r="F30" s="47"/>
      <c r="I30">
        <v>0.22624931356397579</v>
      </c>
      <c r="K30" s="85">
        <f>$Z$2- COUNTIF(acumulado_porcentaje[[#This Row],[Ene 2024]:[Sep 2024]],"")</f>
        <v>1</v>
      </c>
      <c r="L3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0" t="str">
        <f>acumulado_porcentaje[[#This Row],[Nombre ]]&amp;" ("&amp;acumulado_porcentaje[[#This Row],[contar]]&amp;")"</f>
        <v>Andres Canal (1)</v>
      </c>
      <c r="O30" s="72"/>
      <c r="P30" s="72"/>
      <c r="Q30" s="45"/>
      <c r="R30" s="45"/>
      <c r="S30" s="45"/>
    </row>
    <row r="31" spans="1:19" x14ac:dyDescent="0.2">
      <c r="A31" s="47" t="s">
        <v>415</v>
      </c>
      <c r="B31" s="47"/>
      <c r="C31" s="47">
        <v>0.75249999999999984</v>
      </c>
      <c r="D31" s="47"/>
      <c r="E31" s="47"/>
      <c r="F31" s="47"/>
      <c r="K31" s="85">
        <f>$Z$2- COUNTIF(acumulado_porcentaje[[#This Row],[Ene 2024]:[Sep 2024]],"")</f>
        <v>1</v>
      </c>
      <c r="L3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1" t="str">
        <f>acumulado_porcentaje[[#This Row],[Nombre ]]&amp;" ("&amp;acumulado_porcentaje[[#This Row],[contar]]&amp;")"</f>
        <v>Antonio López Gómez-Millán (1)</v>
      </c>
      <c r="O31" s="72"/>
      <c r="P31" s="72"/>
      <c r="Q31" s="45"/>
      <c r="R31" s="45"/>
      <c r="S31" s="45"/>
    </row>
    <row r="32" spans="1:19" x14ac:dyDescent="0.2">
      <c r="A32" s="47" t="s">
        <v>413</v>
      </c>
      <c r="B32" s="47"/>
      <c r="C32" s="47">
        <v>0.80500000000000005</v>
      </c>
      <c r="D32" s="47"/>
      <c r="E32" s="47"/>
      <c r="F32" s="47">
        <v>9.6710526315789636E-2</v>
      </c>
      <c r="H32">
        <v>7.5508228460793719E-2</v>
      </c>
      <c r="I32">
        <v>0.19461834157056562</v>
      </c>
      <c r="J32">
        <v>0.18791028446389488</v>
      </c>
      <c r="K32" s="85">
        <f>$Z$2- COUNTIF(acumulado_porcentaje[[#This Row],[Ene 2024]:[Sep 2024]],"")</f>
        <v>5</v>
      </c>
      <c r="L3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2" t="str">
        <f>acumulado_porcentaje[[#This Row],[Nombre ]]&amp;" ("&amp;acumulado_porcentaje[[#This Row],[contar]]&amp;")"</f>
        <v>Beatriz Muñoz Rioboo (5)</v>
      </c>
      <c r="O32" s="72"/>
      <c r="P32" s="72"/>
      <c r="Q32" s="45"/>
      <c r="R32" s="45"/>
      <c r="S32" s="45"/>
    </row>
    <row r="33" spans="1:19" x14ac:dyDescent="0.2">
      <c r="A33" s="47" t="s">
        <v>216</v>
      </c>
      <c r="B33" s="47">
        <v>1.4170040485830114E-2</v>
      </c>
      <c r="C33" s="47"/>
      <c r="D33" s="47"/>
      <c r="E33" s="47"/>
      <c r="F33" s="47"/>
      <c r="K33" s="85">
        <f>$Z$2- COUNTIF(acumulado_porcentaje[[#This Row],[Ene 2024]:[Sep 2024]],"")</f>
        <v>1</v>
      </c>
      <c r="L3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3" t="str">
        <f>acumulado_porcentaje[[#This Row],[Nombre ]]&amp;" ("&amp;acumulado_porcentaje[[#This Row],[contar]]&amp;")"</f>
        <v>Brais García (1)</v>
      </c>
      <c r="O33" s="72"/>
      <c r="P33" s="72"/>
      <c r="Q33" s="45"/>
      <c r="R33" s="45"/>
      <c r="S33" s="45"/>
    </row>
    <row r="34" spans="1:19" x14ac:dyDescent="0.2">
      <c r="A34" s="47" t="s">
        <v>475</v>
      </c>
      <c r="B34" s="47"/>
      <c r="C34" s="47"/>
      <c r="D34" s="47">
        <v>0.7435897435897435</v>
      </c>
      <c r="E34" s="47"/>
      <c r="F34" s="47"/>
      <c r="K34" s="85">
        <f>$Z$2- COUNTIF(acumulado_porcentaje[[#This Row],[Ene 2024]:[Sep 2024]],"")</f>
        <v>1</v>
      </c>
      <c r="L3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4" t="str">
        <f>acumulado_porcentaje[[#This Row],[Nombre ]]&amp;" ("&amp;acumulado_porcentaje[[#This Row],[contar]]&amp;")"</f>
        <v>Carlos Alcaide Méndez (1)</v>
      </c>
    </row>
    <row r="35" spans="1:19" x14ac:dyDescent="0.2">
      <c r="A35" s="47" t="s">
        <v>335</v>
      </c>
      <c r="B35" s="47">
        <v>7.0175438596491266E-2</v>
      </c>
      <c r="C35" s="47">
        <v>0.7024999999999999</v>
      </c>
      <c r="D35" s="47"/>
      <c r="E35" s="47"/>
      <c r="F35" s="47">
        <v>0.12532894736842112</v>
      </c>
      <c r="G35">
        <v>5.117689015691864E-2</v>
      </c>
      <c r="H35">
        <v>0.10510302862674607</v>
      </c>
      <c r="K35" s="85">
        <f>$Z$2- COUNTIF(acumulado_porcentaje[[#This Row],[Ene 2024]:[Sep 2024]],"")</f>
        <v>5</v>
      </c>
      <c r="L3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5" t="str">
        <f>acumulado_porcentaje[[#This Row],[Nombre ]]&amp;" ("&amp;acumulado_porcentaje[[#This Row],[contar]]&amp;")"</f>
        <v>Carlos Callejón (5)</v>
      </c>
    </row>
    <row r="36" spans="1:19" x14ac:dyDescent="0.2">
      <c r="A36" s="47" t="s">
        <v>652</v>
      </c>
      <c r="B36" s="47"/>
      <c r="C36" s="47"/>
      <c r="D36" s="47"/>
      <c r="E36" s="47"/>
      <c r="F36" s="47">
        <v>0.13388157894736843</v>
      </c>
      <c r="G36">
        <v>8.1847360912981393E-2</v>
      </c>
      <c r="H36">
        <v>5.033881897386254E-2</v>
      </c>
      <c r="I36">
        <v>0.2898407468423943</v>
      </c>
      <c r="J36">
        <v>0.12746170678336971</v>
      </c>
      <c r="K36" s="85">
        <f>$Z$2- COUNTIF(acumulado_porcentaje[[#This Row],[Ene 2024]:[Sep 2024]],"")</f>
        <v>5</v>
      </c>
      <c r="L3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6" t="str">
        <f>acumulado_porcentaje[[#This Row],[Nombre ]]&amp;" ("&amp;acumulado_porcentaje[[#This Row],[contar]]&amp;")"</f>
        <v>Carlos Martin (5)</v>
      </c>
    </row>
    <row r="37" spans="1:19" x14ac:dyDescent="0.2">
      <c r="A37" s="47" t="s">
        <v>651</v>
      </c>
      <c r="B37" s="47"/>
      <c r="C37" s="47"/>
      <c r="D37" s="47"/>
      <c r="E37" s="47"/>
      <c r="F37" s="47">
        <v>0.56907894736842102</v>
      </c>
      <c r="G37">
        <v>0.30634807417974325</v>
      </c>
      <c r="H37">
        <v>3.6371179643202814E-2</v>
      </c>
      <c r="K37" s="85">
        <f>$Z$2- COUNTIF(acumulado_porcentaje[[#This Row],[Ene 2024]:[Sep 2024]],"")</f>
        <v>3</v>
      </c>
      <c r="L3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7" t="str">
        <f>acumulado_porcentaje[[#This Row],[Nombre ]]&amp;" ("&amp;acumulado_porcentaje[[#This Row],[contar]]&amp;")"</f>
        <v>Carlos Martínez García (3)</v>
      </c>
    </row>
    <row r="38" spans="1:19" x14ac:dyDescent="0.2">
      <c r="A38" s="47" t="s">
        <v>340</v>
      </c>
      <c r="B38" s="47"/>
      <c r="C38" s="47">
        <v>0.53825000000000001</v>
      </c>
      <c r="D38" s="47"/>
      <c r="E38" s="47"/>
      <c r="F38" s="47"/>
      <c r="K38" s="85">
        <f>$Z$2- COUNTIF(acumulado_porcentaje[[#This Row],[Ene 2024]:[Sep 2024]],"")</f>
        <v>1</v>
      </c>
      <c r="L3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8" t="str">
        <f>acumulado_porcentaje[[#This Row],[Nombre ]]&amp;" ("&amp;acumulado_porcentaje[[#This Row],[contar]]&amp;")"</f>
        <v>Cristian Trapero (1)</v>
      </c>
    </row>
    <row r="39" spans="1:19" x14ac:dyDescent="0.2">
      <c r="A39" s="47" t="s">
        <v>780</v>
      </c>
      <c r="B39" s="47"/>
      <c r="C39" s="47"/>
      <c r="D39" s="47"/>
      <c r="E39" s="47"/>
      <c r="F39" s="47"/>
      <c r="G39">
        <v>0.31348074179743224</v>
      </c>
      <c r="I39">
        <v>0.21471718835804501</v>
      </c>
      <c r="K39" s="85">
        <f>$Z$2- COUNTIF(acumulado_porcentaje[[#This Row],[Ene 2024]:[Sep 2024]],"")</f>
        <v>2</v>
      </c>
      <c r="L3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39" t="str">
        <f>acumulado_porcentaje[[#This Row],[Nombre ]]&amp;" ("&amp;acumulado_porcentaje[[#This Row],[contar]]&amp;")"</f>
        <v>Daniel Pérez Carrasco (2)</v>
      </c>
    </row>
    <row r="40" spans="1:19" x14ac:dyDescent="0.2">
      <c r="A40" s="47" t="s">
        <v>541</v>
      </c>
      <c r="B40" s="47"/>
      <c r="C40" s="47"/>
      <c r="D40" s="47"/>
      <c r="E40" s="47">
        <v>0.26773957571324053</v>
      </c>
      <c r="F40" s="47">
        <v>0.16217105263157894</v>
      </c>
      <c r="G40">
        <v>0.37321683309557774</v>
      </c>
      <c r="K40" s="85">
        <f>$Z$2- COUNTIF(acumulado_porcentaje[[#This Row],[Ene 2024]:[Sep 2024]],"")</f>
        <v>3</v>
      </c>
      <c r="L4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0" t="str">
        <f>acumulado_porcentaje[[#This Row],[Nombre ]]&amp;" ("&amp;acumulado_porcentaje[[#This Row],[contar]]&amp;")"</f>
        <v>Daniel Reganon (3)</v>
      </c>
    </row>
    <row r="41" spans="1:19" x14ac:dyDescent="0.2">
      <c r="A41" s="47" t="s">
        <v>472</v>
      </c>
      <c r="B41" s="47"/>
      <c r="C41" s="47"/>
      <c r="D41" s="47">
        <v>0.6060157790927021</v>
      </c>
      <c r="E41" s="47"/>
      <c r="F41" s="47"/>
      <c r="K41" s="85">
        <f>$Z$2- COUNTIF(acumulado_porcentaje[[#This Row],[Ene 2024]:[Sep 2024]],"")</f>
        <v>1</v>
      </c>
      <c r="L4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1" t="str">
        <f>acumulado_porcentaje[[#This Row],[Nombre ]]&amp;" ("&amp;acumulado_porcentaje[[#This Row],[contar]]&amp;")"</f>
        <v>Eduardo Caro Eduardo Caro (1)</v>
      </c>
    </row>
    <row r="42" spans="1:19" x14ac:dyDescent="0.2">
      <c r="A42" s="47" t="s">
        <v>337</v>
      </c>
      <c r="B42" s="47"/>
      <c r="C42" s="47">
        <v>0.50150000000000006</v>
      </c>
      <c r="D42" s="47"/>
      <c r="E42" s="47">
        <v>1.438917337234821</v>
      </c>
      <c r="F42" s="47">
        <v>0.16875000000000009</v>
      </c>
      <c r="G42">
        <v>0.20756062767475036</v>
      </c>
      <c r="K42" s="85">
        <f>$Z$2- COUNTIF(acumulado_porcentaje[[#This Row],[Ene 2024]:[Sep 2024]],"")</f>
        <v>4</v>
      </c>
      <c r="L4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2" t="str">
        <f>acumulado_porcentaje[[#This Row],[Nombre ]]&amp;" ("&amp;acumulado_porcentaje[[#This Row],[contar]]&amp;")"</f>
        <v>Francisco Valverde Sánchez (4)</v>
      </c>
    </row>
    <row r="43" spans="1:19" x14ac:dyDescent="0.2">
      <c r="A43" s="47" t="s">
        <v>788</v>
      </c>
      <c r="B43" s="47"/>
      <c r="C43" s="47"/>
      <c r="D43" s="47"/>
      <c r="E43" s="47"/>
      <c r="F43" s="47">
        <v>0.22039473684210525</v>
      </c>
      <c r="G43">
        <v>4.7788873038516401E-2</v>
      </c>
      <c r="K43" s="85">
        <f>$Z$2- COUNTIF(acumulado_porcentaje[[#This Row],[Ene 2024]:[Sep 2024]],"")</f>
        <v>2</v>
      </c>
      <c r="L4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3" t="str">
        <f>acumulado_porcentaje[[#This Row],[Nombre ]]&amp;" ("&amp;acumulado_porcentaje[[#This Row],[contar]]&amp;")"</f>
        <v>Gabino Jiménez-Castillo (2)</v>
      </c>
    </row>
    <row r="44" spans="1:19" x14ac:dyDescent="0.2">
      <c r="A44" s="47" t="s">
        <v>951</v>
      </c>
      <c r="B44" s="47"/>
      <c r="C44" s="47"/>
      <c r="D44" s="47"/>
      <c r="E44" s="47"/>
      <c r="F44" s="47"/>
      <c r="H44">
        <v>0.47946342138016873</v>
      </c>
      <c r="K44" s="85">
        <f>$Z$2- COUNTIF(acumulado_porcentaje[[#This Row],[Ene 2024]:[Sep 2024]],"")</f>
        <v>1</v>
      </c>
      <c r="L4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4" t="str">
        <f>acumulado_porcentaje[[#This Row],[Nombre ]]&amp;" ("&amp;acumulado_porcentaje[[#This Row],[contar]]&amp;")"</f>
        <v>Gonzalo Cruz Ortega (1)</v>
      </c>
    </row>
    <row r="45" spans="1:19" x14ac:dyDescent="0.2">
      <c r="A45" s="47" t="s">
        <v>792</v>
      </c>
      <c r="B45" s="47"/>
      <c r="C45" s="47"/>
      <c r="D45" s="47"/>
      <c r="E45" s="47"/>
      <c r="F45" s="47"/>
      <c r="G45">
        <v>1.3908701854493602E-2</v>
      </c>
      <c r="H45">
        <v>3.7339233854238145E-3</v>
      </c>
      <c r="I45">
        <v>0.22570016474464577</v>
      </c>
      <c r="J45">
        <v>0.25506017505470446</v>
      </c>
      <c r="K45" s="85">
        <f>$Z$2- COUNTIF(acumulado_porcentaje[[#This Row],[Ene 2024]:[Sep 2024]],"")</f>
        <v>4</v>
      </c>
      <c r="L4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5" t="str">
        <f>acumulado_porcentaje[[#This Row],[Nombre ]]&amp;" ("&amp;acumulado_porcentaje[[#This Row],[contar]]&amp;")"</f>
        <v>Gorka Arratibel Pastor (4)</v>
      </c>
    </row>
    <row r="46" spans="1:19" x14ac:dyDescent="0.2">
      <c r="A46" s="47" t="s">
        <v>950</v>
      </c>
      <c r="B46" s="47"/>
      <c r="C46" s="47"/>
      <c r="D46" s="47"/>
      <c r="E46" s="47"/>
      <c r="F46" s="47"/>
      <c r="H46">
        <v>0.39980638915779287</v>
      </c>
      <c r="K46" s="85">
        <f>$Z$2- COUNTIF(acumulado_porcentaje[[#This Row],[Ene 2024]:[Sep 2024]],"")</f>
        <v>1</v>
      </c>
      <c r="L4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6" t="str">
        <f>acumulado_porcentaje[[#This Row],[Nombre ]]&amp;" ("&amp;acumulado_porcentaje[[#This Row],[contar]]&amp;")"</f>
        <v>Hugo Pimiento (1)</v>
      </c>
    </row>
    <row r="47" spans="1:19" x14ac:dyDescent="0.2">
      <c r="A47" s="47" t="s">
        <v>783</v>
      </c>
      <c r="B47" s="47"/>
      <c r="C47" s="47"/>
      <c r="D47" s="47"/>
      <c r="E47" s="47"/>
      <c r="F47" s="47"/>
      <c r="G47">
        <v>0.3601997146932952</v>
      </c>
      <c r="K47" s="85">
        <f>$Z$2- COUNTIF(acumulado_porcentaje[[#This Row],[Ene 2024]:[Sep 2024]],"")</f>
        <v>1</v>
      </c>
      <c r="L4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7" t="str">
        <f>acumulado_porcentaje[[#This Row],[Nombre ]]&amp;" ("&amp;acumulado_porcentaje[[#This Row],[contar]]&amp;")"</f>
        <v>Ignacio Irigoyen (1)</v>
      </c>
    </row>
    <row r="48" spans="1:19" x14ac:dyDescent="0.2">
      <c r="A48" s="47" t="s">
        <v>650</v>
      </c>
      <c r="B48" s="47"/>
      <c r="C48" s="47"/>
      <c r="D48" s="47"/>
      <c r="E48" s="47"/>
      <c r="F48" s="47">
        <v>0.17105263157894746</v>
      </c>
      <c r="G48">
        <v>0.54172610556348066</v>
      </c>
      <c r="H48">
        <v>0.3458719402572259</v>
      </c>
      <c r="K48" s="85">
        <f>$Z$2- COUNTIF(acumulado_porcentaje[[#This Row],[Ene 2024]:[Sep 2024]],"")</f>
        <v>3</v>
      </c>
      <c r="L4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8" t="str">
        <f>acumulado_porcentaje[[#This Row],[Nombre ]]&amp;" ("&amp;acumulado_porcentaje[[#This Row],[contar]]&amp;")"</f>
        <v>Iñaki Moriana García (3)</v>
      </c>
    </row>
    <row r="49" spans="1:13" x14ac:dyDescent="0.2">
      <c r="A49" s="47" t="s">
        <v>1105</v>
      </c>
      <c r="B49" s="47"/>
      <c r="C49" s="47"/>
      <c r="D49" s="47"/>
      <c r="E49" s="47"/>
      <c r="F49" s="47"/>
      <c r="J49">
        <v>0.22264770240700218</v>
      </c>
      <c r="K49" s="85">
        <f>$Z$2- COUNTIF(acumulado_porcentaje[[#This Row],[Ene 2024]:[Sep 2024]],"")</f>
        <v>1</v>
      </c>
      <c r="L4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49" t="str">
        <f>acumulado_porcentaje[[#This Row],[Nombre ]]&amp;" ("&amp;acumulado_porcentaje[[#This Row],[contar]]&amp;")"</f>
        <v>Jagoba Riveiro Zafra (1)</v>
      </c>
    </row>
    <row r="50" spans="1:13" x14ac:dyDescent="0.2">
      <c r="A50" s="47" t="s">
        <v>223</v>
      </c>
      <c r="B50" s="47">
        <v>1.0796221322537075E-2</v>
      </c>
      <c r="C50" s="47"/>
      <c r="D50" s="47"/>
      <c r="E50" s="47"/>
      <c r="F50" s="47"/>
      <c r="K50" s="85">
        <f>$Z$2- COUNTIF(acumulado_porcentaje[[#This Row],[Ene 2024]:[Sep 2024]],"")</f>
        <v>1</v>
      </c>
      <c r="L5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0" t="str">
        <f>acumulado_porcentaje[[#This Row],[Nombre ]]&amp;" ("&amp;acumulado_porcentaje[[#This Row],[contar]]&amp;")"</f>
        <v>Javier Cervera (1)</v>
      </c>
    </row>
    <row r="51" spans="1:13" x14ac:dyDescent="0.2">
      <c r="A51" s="47" t="s">
        <v>779</v>
      </c>
      <c r="B51" s="47"/>
      <c r="C51" s="47"/>
      <c r="D51" s="47"/>
      <c r="E51" s="47"/>
      <c r="F51" s="47"/>
      <c r="G51">
        <v>0.22824536376604845</v>
      </c>
      <c r="K51" s="85">
        <f>$Z$2- COUNTIF(acumulado_porcentaje[[#This Row],[Ene 2024]:[Sep 2024]],"")</f>
        <v>1</v>
      </c>
      <c r="L5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1" t="str">
        <f>acumulado_porcentaje[[#This Row],[Nombre ]]&amp;" ("&amp;acumulado_porcentaje[[#This Row],[contar]]&amp;")"</f>
        <v>Javier Fernandez Maza (1)</v>
      </c>
    </row>
    <row r="52" spans="1:13" x14ac:dyDescent="0.2">
      <c r="A52" s="47" t="s">
        <v>789</v>
      </c>
      <c r="B52" s="47"/>
      <c r="C52" s="47"/>
      <c r="D52" s="47"/>
      <c r="E52" s="47"/>
      <c r="F52" s="47"/>
      <c r="G52">
        <v>3.9229671897289386E-3</v>
      </c>
      <c r="K52" s="85">
        <f>$Z$2- COUNTIF(acumulado_porcentaje[[#This Row],[Ene 2024]:[Sep 2024]],"")</f>
        <v>1</v>
      </c>
      <c r="L5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2" t="str">
        <f>acumulado_porcentaje[[#This Row],[Nombre ]]&amp;" ("&amp;acumulado_porcentaje[[#This Row],[contar]]&amp;")"</f>
        <v>Javier Lazaro (1)</v>
      </c>
    </row>
    <row r="53" spans="1:13" x14ac:dyDescent="0.2">
      <c r="A53" s="47" t="s">
        <v>946</v>
      </c>
      <c r="B53" s="47"/>
      <c r="C53" s="47"/>
      <c r="D53" s="47"/>
      <c r="E53" s="47"/>
      <c r="F53" s="47"/>
      <c r="H53">
        <v>0.10565620246162356</v>
      </c>
      <c r="K53" s="85">
        <f>$Z$2- COUNTIF(acumulado_porcentaje[[#This Row],[Ene 2024]:[Sep 2024]],"")</f>
        <v>1</v>
      </c>
      <c r="L5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3" t="str">
        <f>acumulado_porcentaje[[#This Row],[Nombre ]]&amp;" ("&amp;acumulado_porcentaje[[#This Row],[contar]]&amp;")"</f>
        <v>Javier Perez De Eulate (1)</v>
      </c>
    </row>
    <row r="54" spans="1:13" x14ac:dyDescent="0.2">
      <c r="A54" s="47" t="s">
        <v>786</v>
      </c>
      <c r="B54" s="47"/>
      <c r="C54" s="47"/>
      <c r="D54" s="47"/>
      <c r="E54" s="47"/>
      <c r="F54" s="87"/>
      <c r="G54">
        <v>0.78227532097004293</v>
      </c>
      <c r="H54">
        <v>9.8188355690775747E-2</v>
      </c>
      <c r="I54">
        <v>0.13662822624931353</v>
      </c>
      <c r="J54">
        <v>0.11775164113785556</v>
      </c>
      <c r="K54" s="85">
        <f>$Z$2- COUNTIF(acumulado_porcentaje[[#This Row],[Ene 2024]:[Sep 2024]],"")</f>
        <v>4</v>
      </c>
      <c r="L5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4" t="str">
        <f>acumulado_porcentaje[[#This Row],[Nombre ]]&amp;" ("&amp;acumulado_porcentaje[[#This Row],[contar]]&amp;")"</f>
        <v>Jesús Aceituno López (4)</v>
      </c>
    </row>
    <row r="55" spans="1:13" x14ac:dyDescent="0.2">
      <c r="A55" s="47" t="s">
        <v>224</v>
      </c>
      <c r="B55" s="47">
        <v>0.10175438596491218</v>
      </c>
      <c r="C55" s="47">
        <v>0.80899999999999994</v>
      </c>
      <c r="D55" s="47"/>
      <c r="E55" s="47"/>
      <c r="F55" s="47"/>
      <c r="K55" s="85">
        <f>$Z$2- COUNTIF(acumulado_porcentaje[[#This Row],[Ene 2024]:[Sep 2024]],"")</f>
        <v>2</v>
      </c>
      <c r="L5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5" t="str">
        <f>acumulado_porcentaje[[#This Row],[Nombre ]]&amp;" ("&amp;acumulado_porcentaje[[#This Row],[contar]]&amp;")"</f>
        <v>Jesús López (2)</v>
      </c>
    </row>
    <row r="56" spans="1:13" x14ac:dyDescent="0.2">
      <c r="A56" s="47" t="s">
        <v>411</v>
      </c>
      <c r="B56" s="47">
        <v>0.38704453441295561</v>
      </c>
      <c r="C56" s="47"/>
      <c r="D56" s="47"/>
      <c r="E56" s="47">
        <v>0.74762253108997812</v>
      </c>
      <c r="F56" s="47">
        <v>0.2756578947368421</v>
      </c>
      <c r="G56">
        <v>0.47485734664764623</v>
      </c>
      <c r="K56" s="85">
        <f>$Z$2- COUNTIF(acumulado_porcentaje[[#This Row],[Ene 2024]:[Sep 2024]],"")</f>
        <v>4</v>
      </c>
      <c r="L5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6" t="str">
        <f>acumulado_porcentaje[[#This Row],[Nombre ]]&amp;" ("&amp;acumulado_porcentaje[[#This Row],[contar]]&amp;")"</f>
        <v>Jonathan Pazmiño Espinoza (4)</v>
      </c>
    </row>
    <row r="57" spans="1:13" x14ac:dyDescent="0.2">
      <c r="A57" s="47" t="s">
        <v>781</v>
      </c>
      <c r="B57" s="47"/>
      <c r="C57" s="47"/>
      <c r="D57" s="47"/>
      <c r="E57" s="47"/>
      <c r="F57" s="47"/>
      <c r="G57">
        <v>0.43206134094151211</v>
      </c>
      <c r="K57" s="85">
        <f>$Z$2- COUNTIF(acumulado_porcentaje[[#This Row],[Ene 2024]:[Sep 2024]],"")</f>
        <v>1</v>
      </c>
      <c r="L5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7" t="str">
        <f>acumulado_porcentaje[[#This Row],[Nombre ]]&amp;" ("&amp;acumulado_porcentaje[[#This Row],[contar]]&amp;")"</f>
        <v>Jorge Gonzalez Onieva Johansson (1)</v>
      </c>
    </row>
    <row r="58" spans="1:13" x14ac:dyDescent="0.2">
      <c r="A58" s="47" t="s">
        <v>803</v>
      </c>
      <c r="B58" s="47"/>
      <c r="C58" s="47"/>
      <c r="D58" s="47"/>
      <c r="E58" s="47"/>
      <c r="F58" s="47"/>
      <c r="G58">
        <v>0.12660485021398005</v>
      </c>
      <c r="H58">
        <v>9.3209791176877457E-2</v>
      </c>
      <c r="I58">
        <v>0.23591433278418455</v>
      </c>
      <c r="J58">
        <v>6.6739606126914791E-2</v>
      </c>
      <c r="K58" s="85">
        <f>$Z$2- COUNTIF(acumulado_porcentaje[[#This Row],[Ene 2024]:[Sep 2024]],"")</f>
        <v>4</v>
      </c>
      <c r="L5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8" t="str">
        <f>acumulado_porcentaje[[#This Row],[Nombre ]]&amp;" ("&amp;acumulado_porcentaje[[#This Row],[contar]]&amp;")"</f>
        <v>Jorge González Arconada (4)</v>
      </c>
    </row>
    <row r="59" spans="1:13" x14ac:dyDescent="0.2">
      <c r="A59" s="47" t="s">
        <v>645</v>
      </c>
      <c r="B59" s="47"/>
      <c r="C59" s="47"/>
      <c r="D59" s="47"/>
      <c r="E59" s="47"/>
      <c r="F59" s="47">
        <v>0.25460526315789483</v>
      </c>
      <c r="G59">
        <v>0.22057774607703276</v>
      </c>
      <c r="I59">
        <v>3.5914332784184475E-2</v>
      </c>
      <c r="J59">
        <v>0.18216630196936531</v>
      </c>
      <c r="K59" s="85">
        <f>$Z$2- COUNTIF(acumulado_porcentaje[[#This Row],[Ene 2024]:[Sep 2024]],"")</f>
        <v>4</v>
      </c>
      <c r="L5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59" t="str">
        <f>acumulado_porcentaje[[#This Row],[Nombre ]]&amp;" ("&amp;acumulado_porcentaje[[#This Row],[contar]]&amp;")"</f>
        <v>Jose Antonio Quidiello Antuña (4)</v>
      </c>
    </row>
    <row r="60" spans="1:13" x14ac:dyDescent="0.2">
      <c r="A60" s="47" t="s">
        <v>947</v>
      </c>
      <c r="B60" s="47"/>
      <c r="C60" s="47"/>
      <c r="D60" s="47"/>
      <c r="E60" s="47"/>
      <c r="F60" s="47"/>
      <c r="H60">
        <v>0.11160282118655797</v>
      </c>
      <c r="K60" s="85">
        <f>$Z$2- COUNTIF(acumulado_porcentaje[[#This Row],[Ene 2024]:[Sep 2024]],"")</f>
        <v>1</v>
      </c>
      <c r="L6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0" t="str">
        <f>acumulado_porcentaje[[#This Row],[Nombre ]]&amp;" ("&amp;acumulado_porcentaje[[#This Row],[contar]]&amp;")"</f>
        <v>Jose Carlos Perez (1)</v>
      </c>
    </row>
    <row r="61" spans="1:13" x14ac:dyDescent="0.2">
      <c r="A61" s="47" t="s">
        <v>1104</v>
      </c>
      <c r="B61" s="47"/>
      <c r="C61" s="47"/>
      <c r="D61" s="47"/>
      <c r="E61" s="47"/>
      <c r="F61" s="47"/>
      <c r="J61">
        <v>0.24808533916849015</v>
      </c>
      <c r="K61" s="85">
        <f>$Z$2- COUNTIF(acumulado_porcentaje[[#This Row],[Ene 2024]:[Sep 2024]],"")</f>
        <v>1</v>
      </c>
      <c r="L6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1" t="str">
        <f>acumulado_porcentaje[[#This Row],[Nombre ]]&amp;" ("&amp;acumulado_porcentaje[[#This Row],[contar]]&amp;")"</f>
        <v>Josep Vidal (1)</v>
      </c>
    </row>
    <row r="62" spans="1:13" x14ac:dyDescent="0.2">
      <c r="A62" s="47" t="s">
        <v>932</v>
      </c>
      <c r="B62" s="47"/>
      <c r="C62" s="47"/>
      <c r="D62" s="47"/>
      <c r="E62" s="47"/>
      <c r="F62" s="47"/>
      <c r="H62">
        <v>0.11616650532429823</v>
      </c>
      <c r="K62" s="85">
        <f>$Z$2- COUNTIF(acumulado_porcentaje[[#This Row],[Ene 2024]:[Sep 2024]],"")</f>
        <v>1</v>
      </c>
      <c r="L6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2" t="str">
        <f>acumulado_porcentaje[[#This Row],[Nombre ]]&amp;" ("&amp;acumulado_porcentaje[[#This Row],[contar]]&amp;")"</f>
        <v>José Valle (1)</v>
      </c>
    </row>
    <row r="63" spans="1:13" x14ac:dyDescent="0.2">
      <c r="A63" s="47" t="s">
        <v>948</v>
      </c>
      <c r="B63" s="47"/>
      <c r="C63" s="47"/>
      <c r="D63" s="47"/>
      <c r="E63" s="47"/>
      <c r="F63" s="47"/>
      <c r="H63">
        <v>0.19278108145484724</v>
      </c>
      <c r="I63">
        <v>0.23811092806150461</v>
      </c>
      <c r="K63" s="85">
        <f>$Z$2- COUNTIF(acumulado_porcentaje[[#This Row],[Ene 2024]:[Sep 2024]],"")</f>
        <v>2</v>
      </c>
      <c r="L6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3" t="str">
        <f>acumulado_porcentaje[[#This Row],[Nombre ]]&amp;" ("&amp;acumulado_porcentaje[[#This Row],[contar]]&amp;")"</f>
        <v>Juan José Cuervo Arias (2)</v>
      </c>
    </row>
    <row r="64" spans="1:13" x14ac:dyDescent="0.2">
      <c r="A64" s="47" t="s">
        <v>404</v>
      </c>
      <c r="B64" s="47">
        <v>2.4291497975709423E-3</v>
      </c>
      <c r="C64" s="47">
        <v>0.33849999999999997</v>
      </c>
      <c r="D64" s="47"/>
      <c r="E64" s="47"/>
      <c r="F64" s="47">
        <v>3.2894736842105734E-3</v>
      </c>
      <c r="G64">
        <v>6.8473609129814483E-2</v>
      </c>
      <c r="K64" s="85">
        <f>$Z$2- COUNTIF(acumulado_porcentaje[[#This Row],[Ene 2024]:[Sep 2024]],"")</f>
        <v>4</v>
      </c>
      <c r="L6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4" t="str">
        <f>acumulado_porcentaje[[#This Row],[Nombre ]]&amp;" ("&amp;acumulado_porcentaje[[#This Row],[contar]]&amp;")"</f>
        <v>Juan Luis Jarillo Gómez (4)</v>
      </c>
    </row>
    <row r="65" spans="1:13" x14ac:dyDescent="0.2">
      <c r="A65" s="47" t="s">
        <v>945</v>
      </c>
      <c r="B65" s="47"/>
      <c r="C65" s="47"/>
      <c r="D65" s="47"/>
      <c r="E65" s="47"/>
      <c r="F65" s="47"/>
      <c r="H65">
        <v>5.7253491909832671E-2</v>
      </c>
      <c r="K65" s="85">
        <f>$Z$2- COUNTIF(acumulado_porcentaje[[#This Row],[Ene 2024]:[Sep 2024]],"")</f>
        <v>1</v>
      </c>
      <c r="L6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5" t="str">
        <f>acumulado_porcentaje[[#This Row],[Nombre ]]&amp;" ("&amp;acumulado_porcentaje[[#This Row],[contar]]&amp;")"</f>
        <v>Juan Redondo Ferrara (1)</v>
      </c>
    </row>
    <row r="66" spans="1:13" x14ac:dyDescent="0.2">
      <c r="A66" s="47" t="s">
        <v>220</v>
      </c>
      <c r="B66" s="47">
        <v>0.14979757085020257</v>
      </c>
      <c r="C66" s="47"/>
      <c r="D66" s="47"/>
      <c r="E66" s="47"/>
      <c r="F66" s="47"/>
      <c r="K66" s="85">
        <f>$Z$2- COUNTIF(acumulado_porcentaje[[#This Row],[Ene 2024]:[Sep 2024]],"")</f>
        <v>1</v>
      </c>
      <c r="L6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6" t="str">
        <f>acumulado_porcentaje[[#This Row],[Nombre ]]&amp;" ("&amp;acumulado_porcentaje[[#This Row],[contar]]&amp;")"</f>
        <v>Juan Sanjorge Sanjorge Grandal (1)</v>
      </c>
    </row>
    <row r="67" spans="1:13" x14ac:dyDescent="0.2">
      <c r="A67" s="47" t="s">
        <v>949</v>
      </c>
      <c r="B67" s="47"/>
      <c r="C67" s="47"/>
      <c r="D67" s="47"/>
      <c r="E67" s="47"/>
      <c r="F67" s="47"/>
      <c r="H67">
        <v>0.30811782602682891</v>
      </c>
      <c r="K67" s="85">
        <f>$Z$2- COUNTIF(acumulado_porcentaje[[#This Row],[Ene 2024]:[Sep 2024]],"")</f>
        <v>1</v>
      </c>
      <c r="L6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7" t="str">
        <f>acumulado_porcentaje[[#This Row],[Nombre ]]&amp;" ("&amp;acumulado_porcentaje[[#This Row],[contar]]&amp;")"</f>
        <v>Lucia Garin (1)</v>
      </c>
    </row>
    <row r="68" spans="1:13" x14ac:dyDescent="0.2">
      <c r="A68" s="47" t="s">
        <v>410</v>
      </c>
      <c r="B68" s="47">
        <v>0.23076923076923089</v>
      </c>
      <c r="C68" s="47"/>
      <c r="D68" s="47"/>
      <c r="E68" s="47"/>
      <c r="F68" s="47"/>
      <c r="K68" s="85">
        <f>$Z$2- COUNTIF(acumulado_porcentaje[[#This Row],[Ene 2024]:[Sep 2024]],"")</f>
        <v>1</v>
      </c>
      <c r="L6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8" t="str">
        <f>acumulado_porcentaje[[#This Row],[Nombre ]]&amp;" ("&amp;acumulado_porcentaje[[#This Row],[contar]]&amp;")"</f>
        <v>Manuel Bueno Pérez (1)</v>
      </c>
    </row>
    <row r="69" spans="1:13" x14ac:dyDescent="0.2">
      <c r="A69" s="47" t="s">
        <v>400</v>
      </c>
      <c r="B69" s="47">
        <v>0.21052631578947381</v>
      </c>
      <c r="C69" s="47"/>
      <c r="D69" s="47"/>
      <c r="E69" s="47"/>
      <c r="F69" s="47">
        <v>0.2434210526315789</v>
      </c>
      <c r="H69">
        <v>3.2360669340340251E-2</v>
      </c>
      <c r="K69" s="85">
        <f>$Z$2- COUNTIF(acumulado_porcentaje[[#This Row],[Ene 2024]:[Sep 2024]],"")</f>
        <v>3</v>
      </c>
      <c r="L6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69" t="str">
        <f>acumulado_porcentaje[[#This Row],[Nombre ]]&amp;" ("&amp;acumulado_porcentaje[[#This Row],[contar]]&amp;")"</f>
        <v>Manuel Nogales Guillén (3)</v>
      </c>
    </row>
    <row r="70" spans="1:13" x14ac:dyDescent="0.2">
      <c r="A70" s="47" t="s">
        <v>405</v>
      </c>
      <c r="B70" s="47">
        <v>0.11106612685560041</v>
      </c>
      <c r="C70" s="47"/>
      <c r="D70" s="47"/>
      <c r="E70" s="47"/>
      <c r="F70" s="47"/>
      <c r="H70">
        <v>0.16083529249066522</v>
      </c>
      <c r="K70" s="85">
        <f>$Z$2- COUNTIF(acumulado_porcentaje[[#This Row],[Ene 2024]:[Sep 2024]],"")</f>
        <v>2</v>
      </c>
      <c r="L7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0" t="str">
        <f>acumulado_porcentaje[[#This Row],[Nombre ]]&amp;" ("&amp;acumulado_porcentaje[[#This Row],[contar]]&amp;")"</f>
        <v>Marc Soler Collell (2)</v>
      </c>
    </row>
    <row r="71" spans="1:13" x14ac:dyDescent="0.2">
      <c r="A71" s="47" t="s">
        <v>364</v>
      </c>
      <c r="B71" s="47"/>
      <c r="C71" s="47">
        <v>0.77525000000000011</v>
      </c>
      <c r="D71" s="47">
        <v>1.3505917159763312</v>
      </c>
      <c r="E71" s="47">
        <v>0.80760790051207032</v>
      </c>
      <c r="F71" s="47">
        <v>4.8684210526315809E-2</v>
      </c>
      <c r="G71">
        <v>0.14390156918687591</v>
      </c>
      <c r="I71">
        <v>0.19692476661175171</v>
      </c>
      <c r="K71" s="85">
        <f>$Z$2- COUNTIF(acumulado_porcentaje[[#This Row],[Ene 2024]:[Sep 2024]],"")</f>
        <v>6</v>
      </c>
      <c r="L7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1" t="str">
        <f>acumulado_porcentaje[[#This Row],[Nombre ]]&amp;" ("&amp;acumulado_porcentaje[[#This Row],[contar]]&amp;")"</f>
        <v>Marcos Fortea Escolano (6)</v>
      </c>
    </row>
    <row r="72" spans="1:13" x14ac:dyDescent="0.2">
      <c r="A72" s="47" t="s">
        <v>647</v>
      </c>
      <c r="B72" s="47"/>
      <c r="C72" s="47"/>
      <c r="D72" s="47"/>
      <c r="E72" s="47"/>
      <c r="F72" s="47">
        <v>9.7368421052631618E-2</v>
      </c>
      <c r="K72" s="85">
        <f>$Z$2- COUNTIF(acumulado_porcentaje[[#This Row],[Ene 2024]:[Sep 2024]],"")</f>
        <v>1</v>
      </c>
      <c r="L7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2" t="str">
        <f>acumulado_porcentaje[[#This Row],[Nombre ]]&amp;" ("&amp;acumulado_porcentaje[[#This Row],[contar]]&amp;")"</f>
        <v>Miguel Roa Prieto (1)</v>
      </c>
    </row>
    <row r="73" spans="1:13" x14ac:dyDescent="0.2">
      <c r="A73" s="47" t="s">
        <v>952</v>
      </c>
      <c r="B73" s="47"/>
      <c r="C73" s="47"/>
      <c r="D73" s="47"/>
      <c r="E73" s="47"/>
      <c r="F73" s="47"/>
      <c r="H73">
        <v>0.5353339787028073</v>
      </c>
      <c r="K73" s="85">
        <f>$Z$2- COUNTIF(acumulado_porcentaje[[#This Row],[Ene 2024]:[Sep 2024]],"")</f>
        <v>1</v>
      </c>
      <c r="L7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3" t="str">
        <f>acumulado_porcentaje[[#This Row],[Nombre ]]&amp;" ("&amp;acumulado_porcentaje[[#This Row],[contar]]&amp;")"</f>
        <v>Moisés Labarquilla (1)</v>
      </c>
    </row>
    <row r="74" spans="1:13" x14ac:dyDescent="0.2">
      <c r="A74" s="47" t="s">
        <v>646</v>
      </c>
      <c r="B74" s="47"/>
      <c r="C74" s="47"/>
      <c r="D74" s="47"/>
      <c r="E74" s="47"/>
      <c r="F74" s="47">
        <v>0.10361842105263154</v>
      </c>
      <c r="K74" s="85">
        <f>$Z$2- COUNTIF(acumulado_porcentaje[[#This Row],[Ene 2024]:[Sep 2024]],"")</f>
        <v>1</v>
      </c>
      <c r="L7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4" t="str">
        <f>acumulado_porcentaje[[#This Row],[Nombre ]]&amp;" ("&amp;acumulado_porcentaje[[#This Row],[contar]]&amp;")"</f>
        <v>Nelson Hernandez Hernandez (1)</v>
      </c>
    </row>
    <row r="75" spans="1:13" x14ac:dyDescent="0.2">
      <c r="A75" s="47" t="s">
        <v>227</v>
      </c>
      <c r="B75" s="47">
        <v>0.18016194331983817</v>
      </c>
      <c r="C75" s="47"/>
      <c r="D75" s="47"/>
      <c r="E75" s="47"/>
      <c r="F75" s="47"/>
      <c r="K75" s="85">
        <f>$Z$2- COUNTIF(acumulado_porcentaje[[#This Row],[Ene 2024]:[Sep 2024]],"")</f>
        <v>1</v>
      </c>
      <c r="L7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5" t="str">
        <f>acumulado_porcentaje[[#This Row],[Nombre ]]&amp;" ("&amp;acumulado_porcentaje[[#This Row],[contar]]&amp;")"</f>
        <v>Olivia Infantes (1)</v>
      </c>
    </row>
    <row r="76" spans="1:13" x14ac:dyDescent="0.2">
      <c r="A76" s="47" t="s">
        <v>943</v>
      </c>
      <c r="B76" s="47"/>
      <c r="C76" s="47"/>
      <c r="D76" s="47"/>
      <c r="E76" s="47"/>
      <c r="F76" s="47"/>
      <c r="H76">
        <v>5.7944959203429645E-2</v>
      </c>
      <c r="K76" s="85">
        <f>$Z$2- COUNTIF(acumulado_porcentaje[[#This Row],[Ene 2024]:[Sep 2024]],"")</f>
        <v>1</v>
      </c>
      <c r="L7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6" s="47" t="str">
        <f>acumulado_porcentaje[[#This Row],[Nombre ]]&amp;" ("&amp;acumulado_porcentaje[[#This Row],[contar]]&amp;")"</f>
        <v>Omip 28-06-2024 (1)</v>
      </c>
    </row>
    <row r="77" spans="1:13" x14ac:dyDescent="0.2">
      <c r="A77" s="47" t="s">
        <v>473</v>
      </c>
      <c r="B77" s="47"/>
      <c r="C77" s="47"/>
      <c r="D77" s="47">
        <v>2.2199211045364886</v>
      </c>
      <c r="E77" s="47"/>
      <c r="F77" s="47"/>
      <c r="K77" s="85">
        <f>$Z$2- COUNTIF(acumulado_porcentaje[[#This Row],[Ene 2024]:[Sep 2024]],"")</f>
        <v>1</v>
      </c>
      <c r="L7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7" t="str">
        <f>acumulado_porcentaje[[#This Row],[Nombre ]]&amp;" ("&amp;acumulado_porcentaje[[#This Row],[contar]]&amp;")"</f>
        <v>Pablo Baigorria Kobylinski (1)</v>
      </c>
    </row>
    <row r="78" spans="1:13" x14ac:dyDescent="0.2">
      <c r="A78" s="47" t="s">
        <v>1026</v>
      </c>
      <c r="B78" s="47"/>
      <c r="C78" s="47"/>
      <c r="D78" s="47"/>
      <c r="E78" s="47"/>
      <c r="F78" s="47"/>
      <c r="I78">
        <v>3.5145524437122495E-2</v>
      </c>
      <c r="J78">
        <v>0.3022428884026257</v>
      </c>
      <c r="K78" s="85">
        <f>$Z$2- COUNTIF(acumulado_porcentaje[[#This Row],[Ene 2024]:[Sep 2024]],"")</f>
        <v>2</v>
      </c>
      <c r="L7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8" t="str">
        <f>acumulado_porcentaje[[#This Row],[Nombre ]]&amp;" ("&amp;acumulado_porcentaje[[#This Row],[contar]]&amp;")"</f>
        <v>Pablo Herrero Del Barrio (2)</v>
      </c>
    </row>
    <row r="79" spans="1:13" x14ac:dyDescent="0.2">
      <c r="A79" s="47" t="s">
        <v>784</v>
      </c>
      <c r="B79" s="47"/>
      <c r="C79" s="47"/>
      <c r="D79" s="47"/>
      <c r="E79" s="47"/>
      <c r="F79" s="47"/>
      <c r="G79">
        <v>7.5427960057061413E-2</v>
      </c>
      <c r="H79">
        <v>9.4177845387913184E-2</v>
      </c>
      <c r="I79">
        <v>0.23163097199341026</v>
      </c>
      <c r="J79">
        <v>0.11405908096280072</v>
      </c>
      <c r="K79" s="85">
        <f>$Z$2- COUNTIF(acumulado_porcentaje[[#This Row],[Ene 2024]:[Sep 2024]],"")</f>
        <v>4</v>
      </c>
      <c r="L7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79" t="str">
        <f>acumulado_porcentaje[[#This Row],[Nombre ]]&amp;" ("&amp;acumulado_porcentaje[[#This Row],[contar]]&amp;")"</f>
        <v>Paco Cuadrado (4)</v>
      </c>
    </row>
    <row r="80" spans="1:13" x14ac:dyDescent="0.2">
      <c r="A80" s="47" t="s">
        <v>791</v>
      </c>
      <c r="B80" s="47"/>
      <c r="C80" s="47"/>
      <c r="D80" s="47"/>
      <c r="E80" s="47"/>
      <c r="F80" s="47"/>
      <c r="G80">
        <v>2.1398002853067859E-3</v>
      </c>
      <c r="H80">
        <v>0.23800304245609183</v>
      </c>
      <c r="K80" s="85">
        <f>$Z$2- COUNTIF(acumulado_porcentaje[[#This Row],[Ene 2024]:[Sep 2024]],"")</f>
        <v>2</v>
      </c>
      <c r="L8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0" t="str">
        <f>acumulado_porcentaje[[#This Row],[Nombre ]]&amp;" ("&amp;acumulado_porcentaje[[#This Row],[contar]]&amp;")"</f>
        <v>Paco Luis Pérez Zarco (2)</v>
      </c>
    </row>
    <row r="81" spans="1:13" x14ac:dyDescent="0.2">
      <c r="A81" s="47" t="s">
        <v>1027</v>
      </c>
      <c r="B81" s="47"/>
      <c r="C81" s="47"/>
      <c r="D81" s="47"/>
      <c r="E81" s="47"/>
      <c r="F81" s="47"/>
      <c r="H81">
        <v>5.6008850781357998E-2</v>
      </c>
      <c r="I81">
        <v>4.5469522240527194E-2</v>
      </c>
      <c r="J81">
        <v>0.2562910284463894</v>
      </c>
      <c r="K81" s="85">
        <f>$Z$2- COUNTIF(acumulado_porcentaje[[#This Row],[Ene 2024]:[Sep 2024]],"")</f>
        <v>3</v>
      </c>
      <c r="L8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1" t="str">
        <f>acumulado_porcentaje[[#This Row],[Nombre ]]&amp;" ("&amp;acumulado_porcentaje[[#This Row],[contar]]&amp;")"</f>
        <v>Rafael Leiva (3)</v>
      </c>
    </row>
    <row r="82" spans="1:13" x14ac:dyDescent="0.2">
      <c r="A82" s="47" t="s">
        <v>942</v>
      </c>
      <c r="B82" s="47"/>
      <c r="C82" s="47"/>
      <c r="D82" s="47"/>
      <c r="E82" s="47"/>
      <c r="F82" s="47"/>
      <c r="H82">
        <v>9.099709583736687E-2</v>
      </c>
      <c r="I82">
        <v>0.23448654585392636</v>
      </c>
      <c r="J82">
        <v>0.23987964989059068</v>
      </c>
      <c r="K82" s="85">
        <f>$Z$2- COUNTIF(acumulado_porcentaje[[#This Row],[Ene 2024]:[Sep 2024]],"")</f>
        <v>3</v>
      </c>
      <c r="L8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2" t="str">
        <f>acumulado_porcentaje[[#This Row],[Nombre ]]&amp;" ("&amp;acumulado_porcentaje[[#This Row],[contar]]&amp;")"</f>
        <v>Rafael Tejada Bonilla (3)</v>
      </c>
    </row>
    <row r="83" spans="1:13" x14ac:dyDescent="0.2">
      <c r="A83" s="47" t="s">
        <v>1028</v>
      </c>
      <c r="B83" s="47"/>
      <c r="C83" s="47"/>
      <c r="D83" s="47"/>
      <c r="E83" s="47"/>
      <c r="F83" s="47"/>
      <c r="G83">
        <v>1.3552068473609095E-2</v>
      </c>
      <c r="H83">
        <v>5.6976904992393919E-2</v>
      </c>
      <c r="I83">
        <v>0.16177924217462938</v>
      </c>
      <c r="J83">
        <v>0.22032275711159735</v>
      </c>
      <c r="K83" s="85">
        <f>$Z$2- COUNTIF(acumulado_porcentaje[[#This Row],[Ene 2024]:[Sep 2024]],"")</f>
        <v>4</v>
      </c>
      <c r="L8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3" t="str">
        <f>acumulado_porcentaje[[#This Row],[Nombre ]]&amp;" ("&amp;acumulado_porcentaje[[#This Row],[contar]]&amp;")"</f>
        <v>Ricardo Estévez Solís (4)</v>
      </c>
    </row>
    <row r="84" spans="1:13" x14ac:dyDescent="0.2">
      <c r="A84" s="47" t="s">
        <v>416</v>
      </c>
      <c r="B84" s="47"/>
      <c r="C84" s="47">
        <v>1.18875</v>
      </c>
      <c r="D84" s="47"/>
      <c r="E84" s="47"/>
      <c r="F84" s="47"/>
      <c r="K84" s="85">
        <f>$Z$2- COUNTIF(acumulado_porcentaje[[#This Row],[Ene 2024]:[Sep 2024]],"")</f>
        <v>1</v>
      </c>
      <c r="L8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4" t="str">
        <f>acumulado_porcentaje[[#This Row],[Nombre ]]&amp;" ("&amp;acumulado_porcentaje[[#This Row],[contar]]&amp;")"</f>
        <v>Roberto De Dios García (1)</v>
      </c>
    </row>
    <row r="85" spans="1:13" x14ac:dyDescent="0.2">
      <c r="A85" s="47" t="s">
        <v>543</v>
      </c>
      <c r="B85" s="47"/>
      <c r="C85" s="47">
        <v>0.68</v>
      </c>
      <c r="D85" s="47">
        <v>0.34319526627218921</v>
      </c>
      <c r="E85" s="47">
        <v>0.39502560351133875</v>
      </c>
      <c r="F85" s="47">
        <v>5.8552631578947294E-2</v>
      </c>
      <c r="G85">
        <v>0.12107703281027103</v>
      </c>
      <c r="H85">
        <v>7.8135804176462528E-2</v>
      </c>
      <c r="K85" s="85">
        <f>$Z$2- COUNTIF(acumulado_porcentaje[[#This Row],[Ene 2024]:[Sep 2024]],"")</f>
        <v>6</v>
      </c>
      <c r="L8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5" t="str">
        <f>acumulado_porcentaje[[#This Row],[Nombre ]]&amp;" ("&amp;acumulado_porcentaje[[#This Row],[contar]]&amp;")"</f>
        <v>Roberto Parro Cortés (6)</v>
      </c>
    </row>
    <row r="86" spans="1:13" x14ac:dyDescent="0.2">
      <c r="A86" s="47" t="s">
        <v>1107</v>
      </c>
      <c r="B86" s="47"/>
      <c r="C86" s="47"/>
      <c r="D86" s="47"/>
      <c r="E86" s="47"/>
      <c r="F86" s="47"/>
      <c r="J86">
        <v>0.16561816192560172</v>
      </c>
      <c r="K86" s="85">
        <f>$Z$2- COUNTIF(acumulado_porcentaje[[#This Row],[Ene 2024]:[Sep 2024]],"")</f>
        <v>1</v>
      </c>
      <c r="L8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6" t="str">
        <f>acumulado_porcentaje[[#This Row],[Nombre ]]&amp;" ("&amp;acumulado_porcentaje[[#This Row],[contar]]&amp;")"</f>
        <v>Ruben Sanjuan Escribano (1)</v>
      </c>
    </row>
    <row r="87" spans="1:13" x14ac:dyDescent="0.2">
      <c r="A87" s="47" t="s">
        <v>542</v>
      </c>
      <c r="B87" s="47"/>
      <c r="C87" s="47"/>
      <c r="D87" s="47"/>
      <c r="E87" s="47">
        <v>0.45647403072421361</v>
      </c>
      <c r="F87" s="47">
        <v>0.12434210526315782</v>
      </c>
      <c r="G87">
        <v>0.20738231098430807</v>
      </c>
      <c r="H87">
        <v>1.4659106624256703E-2</v>
      </c>
      <c r="I87">
        <v>9.6320702910488706E-2</v>
      </c>
      <c r="J87">
        <v>0.30661925601750545</v>
      </c>
      <c r="K87" s="85">
        <f>$Z$2- COUNTIF(acumulado_porcentaje[[#This Row],[Ene 2024]:[Sep 2024]],"")</f>
        <v>6</v>
      </c>
      <c r="L87"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7" t="str">
        <f>acumulado_porcentaje[[#This Row],[Nombre ]]&amp;" ("&amp;acumulado_porcentaje[[#This Row],[contar]]&amp;")"</f>
        <v>Sergio Alfonso (6)</v>
      </c>
    </row>
    <row r="88" spans="1:13" x14ac:dyDescent="0.2">
      <c r="A88" s="47" t="s">
        <v>653</v>
      </c>
      <c r="B88" s="47"/>
      <c r="C88" s="47"/>
      <c r="D88" s="47"/>
      <c r="E88" s="47"/>
      <c r="F88" s="47">
        <v>0.38289473684210518</v>
      </c>
      <c r="G88">
        <v>1.3373751783166904E-2</v>
      </c>
      <c r="K88" s="85">
        <f>$Z$2- COUNTIF(acumulado_porcentaje[[#This Row],[Ene 2024]:[Sep 2024]],"")</f>
        <v>2</v>
      </c>
      <c r="L88"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8" t="str">
        <f>acumulado_porcentaje[[#This Row],[Nombre ]]&amp;" ("&amp;acumulado_porcentaje[[#This Row],[contar]]&amp;")"</f>
        <v>Sergio Gallego Bolaños (2)</v>
      </c>
    </row>
    <row r="89" spans="1:13" x14ac:dyDescent="0.2">
      <c r="A89" s="47" t="s">
        <v>782</v>
      </c>
      <c r="B89" s="47"/>
      <c r="C89" s="47"/>
      <c r="D89" s="47"/>
      <c r="E89" s="47"/>
      <c r="F89" s="47"/>
      <c r="G89">
        <v>0.22022111269614839</v>
      </c>
      <c r="K89" s="85">
        <f>$Z$2- COUNTIF(acumulado_porcentaje[[#This Row],[Ene 2024]:[Sep 2024]],"")</f>
        <v>1</v>
      </c>
      <c r="L89"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89" t="str">
        <f>acumulado_porcentaje[[#This Row],[Nombre ]]&amp;" ("&amp;acumulado_porcentaje[[#This Row],[contar]]&amp;")"</f>
        <v>Sergio García Sanz (1)</v>
      </c>
    </row>
    <row r="90" spans="1:13" x14ac:dyDescent="0.2">
      <c r="A90" s="47" t="s">
        <v>399</v>
      </c>
      <c r="B90" s="47">
        <v>6.2078272604589469E-3</v>
      </c>
      <c r="C90" s="47">
        <v>0.64649999999999996</v>
      </c>
      <c r="D90" s="47"/>
      <c r="E90" s="47"/>
      <c r="F90" s="47">
        <v>0.15888157894736837</v>
      </c>
      <c r="G90">
        <v>0.22967189728958623</v>
      </c>
      <c r="K90" s="85">
        <f>$Z$2- COUNTIF(acumulado_porcentaje[[#This Row],[Ene 2024]:[Sep 2024]],"")</f>
        <v>4</v>
      </c>
      <c r="L90"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0" t="str">
        <f>acumulado_porcentaje[[#This Row],[Nombre ]]&amp;" ("&amp;acumulado_porcentaje[[#This Row],[contar]]&amp;")"</f>
        <v>Sergio Lopez Oliver (4)</v>
      </c>
    </row>
    <row r="91" spans="1:13" x14ac:dyDescent="0.2">
      <c r="A91" s="47" t="s">
        <v>648</v>
      </c>
      <c r="B91" s="47"/>
      <c r="C91" s="47"/>
      <c r="D91" s="47"/>
      <c r="E91" s="47"/>
      <c r="F91" s="47">
        <v>0.40394736842105256</v>
      </c>
      <c r="K91" s="85">
        <f>$Z$2- COUNTIF(acumulado_porcentaje[[#This Row],[Ene 2024]:[Sep 2024]],"")</f>
        <v>1</v>
      </c>
      <c r="L91"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1" t="str">
        <f>acumulado_porcentaje[[#This Row],[Nombre ]]&amp;" ("&amp;acumulado_porcentaje[[#This Row],[contar]]&amp;")"</f>
        <v>Sergio Nistal Prieto (1)</v>
      </c>
    </row>
    <row r="92" spans="1:13" x14ac:dyDescent="0.2">
      <c r="A92" s="47" t="s">
        <v>339</v>
      </c>
      <c r="B92" s="47"/>
      <c r="C92" s="47">
        <v>1.155</v>
      </c>
      <c r="D92" s="47"/>
      <c r="E92" s="47"/>
      <c r="F92" s="47"/>
      <c r="K92" s="85">
        <f>$Z$2- COUNTIF(acumulado_porcentaje[[#This Row],[Ene 2024]:[Sep 2024]],"")</f>
        <v>1</v>
      </c>
      <c r="L92"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2" t="str">
        <f>acumulado_porcentaje[[#This Row],[Nombre ]]&amp;" ("&amp;acumulado_porcentaje[[#This Row],[contar]]&amp;")"</f>
        <v>Sergio Ortega Celares (1)</v>
      </c>
    </row>
    <row r="93" spans="1:13" x14ac:dyDescent="0.2">
      <c r="A93" s="47" t="s">
        <v>407</v>
      </c>
      <c r="B93" s="47">
        <v>2.091767881241581E-2</v>
      </c>
      <c r="C93" s="47">
        <v>0.75549999999999995</v>
      </c>
      <c r="D93" s="47">
        <v>1.3530571992110452</v>
      </c>
      <c r="E93" s="47"/>
      <c r="F93" s="47"/>
      <c r="G93">
        <v>0.16797432239657636</v>
      </c>
      <c r="H93">
        <v>0.33204259438528566</v>
      </c>
      <c r="K93" s="85">
        <f>$Z$2- COUNTIF(acumulado_porcentaje[[#This Row],[Ene 2024]:[Sep 2024]],"")</f>
        <v>5</v>
      </c>
      <c r="L93"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3" t="str">
        <f>acumulado_porcentaje[[#This Row],[Nombre ]]&amp;" ("&amp;acumulado_porcentaje[[#This Row],[contar]]&amp;")"</f>
        <v>Vicente Fayos Gavila (5)</v>
      </c>
    </row>
    <row r="94" spans="1:13" x14ac:dyDescent="0.2">
      <c r="A94" s="47" t="s">
        <v>239</v>
      </c>
      <c r="B94" s="47">
        <v>0.21592442645074225</v>
      </c>
      <c r="C94" s="47"/>
      <c r="D94" s="47"/>
      <c r="E94" s="47"/>
      <c r="F94" s="47"/>
      <c r="K94" s="85">
        <f>$Z$2- COUNTIF(acumulado_porcentaje[[#This Row],[Ene 2024]:[Sep 2024]],"")</f>
        <v>1</v>
      </c>
      <c r="L94"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4" t="str">
        <f>acumulado_porcentaje[[#This Row],[Nombre ]]&amp;" ("&amp;acumulado_porcentaje[[#This Row],[contar]]&amp;")"</f>
        <v>Vitor Costa Costa (1)</v>
      </c>
    </row>
    <row r="95" spans="1:13" x14ac:dyDescent="0.2">
      <c r="A95" s="47" t="s">
        <v>785</v>
      </c>
      <c r="B95" s="47"/>
      <c r="C95" s="47"/>
      <c r="D95" s="47"/>
      <c r="E95" s="47"/>
      <c r="F95" s="47"/>
      <c r="G95">
        <v>0.13355920114122685</v>
      </c>
      <c r="H95">
        <v>8.7678052828101274E-2</v>
      </c>
      <c r="I95">
        <v>0.11422295442064791</v>
      </c>
      <c r="J95">
        <v>0.32727024070021871</v>
      </c>
      <c r="K95" s="85">
        <f>$Z$2- COUNTIF(acumulado_porcentaje[[#This Row],[Ene 2024]:[Sep 2024]],"")</f>
        <v>4</v>
      </c>
      <c r="L95"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5" t="str">
        <f>acumulado_porcentaje[[#This Row],[Nombre ]]&amp;" ("&amp;acumulado_porcentaje[[#This Row],[contar]]&amp;")"</f>
        <v>Víctor Baeschlin Sánchez (4)</v>
      </c>
    </row>
    <row r="96" spans="1:13" x14ac:dyDescent="0.2">
      <c r="A96" s="47" t="s">
        <v>544</v>
      </c>
      <c r="B96" s="47"/>
      <c r="C96" s="47"/>
      <c r="D96" s="47"/>
      <c r="E96" s="47">
        <v>0.71909290416971472</v>
      </c>
      <c r="F96" s="47"/>
      <c r="K96" s="85">
        <f>$Z$2- COUNTIF(acumulado_porcentaje[[#This Row],[Ene 2024]:[Sep 2024]],"")</f>
        <v>1</v>
      </c>
      <c r="L96" s="69" t="str">
        <f>IF(acumulado_porcentaje[[#This Row],[contar]]&gt;=$Z$3,SUM(SMALL(acumulado_porcentaje[[#This Row],[Ene 2024]:[Sep 2024]],1),SMALL(acumulado_porcentaje[[#This Row],[Ene 2024]:[Sep 2024]],2),SMALL(acumulado_porcentaje[[#This Row],[Ene 2024]:[Sep 2024]],3),SMALL(acumulado_porcentaje[[#This Row],[Ene 2024]:[Sep 2024]],4),SMALL(acumulado_porcentaje[[#This Row],[Ene 2024]:[Sep 2024]],5),SMALL(acumulado_porcentaje[[#This Row],[Ene 2024]:[Sep 2024]],6),SMALL(acumulado_porcentaje[[#This Row],[Ene 2024]:[Sep 2024]],7)),"#N/A")</f>
        <v>#N/A</v>
      </c>
      <c r="M96" t="str">
        <f>acumulado_porcentaje[[#This Row],[Nombre ]]&amp;" ("&amp;acumulado_porcentaje[[#This Row],[contar]]&amp;")"</f>
        <v>Álvaro Barahona San Marcos (1)</v>
      </c>
    </row>
    <row r="108" spans="2:3" x14ac:dyDescent="0.2">
      <c r="B108" s="45"/>
      <c r="C108" s="45"/>
    </row>
    <row r="109" spans="2:3" x14ac:dyDescent="0.2">
      <c r="B109" s="45"/>
      <c r="C109" s="73" t="s">
        <v>146</v>
      </c>
    </row>
    <row r="110" spans="2:3" x14ac:dyDescent="0.2">
      <c r="B110" s="45" t="s">
        <v>661</v>
      </c>
      <c r="C110" s="72">
        <f>MATCH(C109,1:1,0)</f>
        <v>5</v>
      </c>
    </row>
    <row r="111" spans="2:3" x14ac:dyDescent="0.2">
      <c r="B111" s="45" t="s">
        <v>662</v>
      </c>
      <c r="C111" s="72">
        <f>C110-1</f>
        <v>4</v>
      </c>
    </row>
    <row r="112" spans="2:3" x14ac:dyDescent="0.2">
      <c r="B112" s="45"/>
      <c r="C112" s="72" t="str">
        <f>ADDRESS(1,C110)</f>
        <v>$E$1</v>
      </c>
    </row>
    <row r="113" spans="2:3" x14ac:dyDescent="0.2">
      <c r="B113" s="45"/>
      <c r="C113" s="72" t="str">
        <f>MID(C112,2,1)</f>
        <v>E</v>
      </c>
    </row>
    <row r="114" spans="2:3" x14ac:dyDescent="0.2">
      <c r="B114" s="45"/>
      <c r="C114" s="45"/>
    </row>
  </sheetData>
  <phoneticPr fontId="9" type="noConversion"/>
  <conditionalFormatting sqref="A2:A96">
    <cfRule type="duplicateValues" dxfId="23" priority="99"/>
  </conditionalFormatting>
  <dataValidations disablePrompts="1" count="1">
    <dataValidation type="list" allowBlank="1" showInputMessage="1" showErrorMessage="1" sqref="C109" xr:uid="{E842F2BA-4DC3-4A5E-A318-57237D096379}">
      <formula1>$B$1:$F$1</formula1>
    </dataValidation>
  </dataValidations>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F13" sqref="F13"/>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acum_porc!$Z$2- COUNTIF(acumulado_absoluto[[#This Row],[Ene 2024]:[Ago 2024]],"")</f>
        <v>9</v>
      </c>
      <c r="L2"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acum_porc!$Z$2- COUNTIF(acumulado_absoluto[[#This Row],[Ene 2024]:[Ago 2024]],"")</f>
        <v>9</v>
      </c>
      <c r="L3"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acum_porc!$Z$2- COUNTIF(acumulado_absoluto[[#This Row],[Ene 2024]:[Ago 2024]],"")</f>
        <v>9</v>
      </c>
      <c r="L4"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acum_porc!$Z$2- COUNTIF(acumulado_absoluto[[#This Row],[Ene 2024]:[Ago 2024]],"")</f>
        <v>9</v>
      </c>
      <c r="L5"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acum_porc!$Z$2- COUNTIF(acumulado_absoluto[[#This Row],[Ene 2024]:[Ago 2024]],"")</f>
        <v>9</v>
      </c>
      <c r="L6"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acum_porc!$Z$2- COUNTIF(acumulado_absoluto[[#This Row],[Ene 2024]:[Ago 2024]],"")</f>
        <v>7</v>
      </c>
      <c r="L7"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acum_porc!$Z$2- COUNTIF(acumulado_absoluto[[#This Row],[Ene 2024]:[Ago 2024]],"")</f>
        <v>8</v>
      </c>
      <c r="L8"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acum_porc!$Z$2- COUNTIF(acumulado_absoluto[[#This Row],[Ene 2024]:[Ago 2024]],"")</f>
        <v>7</v>
      </c>
      <c r="L9"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acum_porc!$Z$2- COUNTIF(acumulado_absoluto[[#This Row],[Ene 2024]:[Ago 2024]],"")</f>
        <v>9</v>
      </c>
      <c r="L10"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acum_porc!$Z$2- COUNTIF(acumulado_absoluto[[#This Row],[Ene 2024]:[Ago 2024]],"")</f>
        <v>8</v>
      </c>
      <c r="L11"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acum_porc!$Z$2- COUNTIF(acumulado_absoluto[[#This Row],[Ene 2024]:[Ago 2024]],"")</f>
        <v>9</v>
      </c>
      <c r="L12"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acum_porc!$Z$2- COUNTIF(acumulado_absoluto[[#This Row],[Ene 2024]:[Ago 2024]],"")</f>
        <v>9</v>
      </c>
      <c r="L13"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acum_porc!$Z$2- COUNTIF(acumulado_absoluto[[#This Row],[Ene 2024]:[Ago 2024]],"")</f>
        <v>7</v>
      </c>
      <c r="L14"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acum_porc!$Z$2- COUNTIF(acumulado_absoluto[[#This Row],[Ene 2024]:[Ago 2024]],"")</f>
        <v>9</v>
      </c>
      <c r="L15"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acum_porc!$Z$2- COUNTIF(acumulado_absoluto[[#This Row],[Ene 2024]:[Ago 2024]],"")</f>
        <v>8</v>
      </c>
      <c r="L16"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acum_porc!$Z$2- COUNTIF(acumulado_absoluto[[#This Row],[Ene 2024]:[Ago 2024]],"")</f>
        <v>7</v>
      </c>
      <c r="L17"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acum_porc!$Z$2- COUNTIF(acumulado_absoluto[[#This Row],[Ene 2024]:[Ago 2024]],"")</f>
        <v>8</v>
      </c>
      <c r="L18"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acum_porc!$Z$2- COUNTIF(acumulado_absoluto[[#This Row],[Ene 2024]:[Ago 2024]],"")</f>
        <v>7</v>
      </c>
      <c r="L19"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acum_porc!$Z$2- COUNTIF(acumulado_absoluto[[#This Row],[Ene 2024]:[Ago 2024]],"")</f>
        <v>9</v>
      </c>
      <c r="L20"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acum_porc!$Z$2- COUNTIF(acumulado_absoluto[[#This Row],[Ene 2024]:[Ago 2024]],"")</f>
        <v>9</v>
      </c>
      <c r="L21"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acum_porc!$Z$2- COUNTIF(acumulado_absoluto[[#This Row],[Ene 2024]:[Ago 2024]],"")</f>
        <v>7</v>
      </c>
      <c r="L22"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acum_porc!$Z$2- COUNTIF(acumulado_absoluto[[#This Row],[Ene 2024]:[Ago 2024]],"")</f>
        <v>9</v>
      </c>
      <c r="L23"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acum_porc!$Z$2- COUNTIF(acumulado_absoluto[[#This Row],[Ene 2024]:[Ago 2024]],"")</f>
        <v>9</v>
      </c>
      <c r="L24" s="4">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acum_porc!$Z$2- COUNTIF(acumulado_absoluto[[#This Row],[Ene 2024]:[Ago 2024]],"")</f>
        <v>6</v>
      </c>
      <c r="L2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acum_porc!$Z$2- COUNTIF(acumulado_absoluto[[#This Row],[Ene 2024]:[Ago 2024]],"")</f>
        <v>2</v>
      </c>
      <c r="L2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acum_porc!$Z$2- COUNTIF(acumulado_absoluto[[#This Row],[Ene 2024]:[Ago 2024]],"")</f>
        <v>2</v>
      </c>
      <c r="L2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acum_porc!$Z$2- COUNTIF(acumulado_absoluto[[#This Row],[Ene 2024]:[Ago 2024]],"")</f>
        <v>2</v>
      </c>
      <c r="L2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acum_porc!$Z$2- COUNTIF(acumulado_absoluto[[#This Row],[Ene 2024]:[Ago 2024]],"")</f>
        <v>3</v>
      </c>
      <c r="L2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acum_porc!$Z$2- COUNTIF(acumulado_absoluto[[#This Row],[Ene 2024]:[Ago 2024]],"")</f>
        <v>2</v>
      </c>
      <c r="L3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acum_porc!$Z$2- COUNTIF(acumulado_absoluto[[#This Row],[Ene 2024]:[Ago 2024]],"")</f>
        <v>2</v>
      </c>
      <c r="L3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acum_porc!$Z$2- COUNTIF(acumulado_absoluto[[#This Row],[Ene 2024]:[Ago 2024]],"")</f>
        <v>5</v>
      </c>
      <c r="L3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acum_porc!$Z$2- COUNTIF(acumulado_absoluto[[#This Row],[Ene 2024]:[Ago 2024]],"")</f>
        <v>2</v>
      </c>
      <c r="L3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acum_porc!$Z$2- COUNTIF(acumulado_absoluto[[#This Row],[Ene 2024]:[Ago 2024]],"")</f>
        <v>2</v>
      </c>
      <c r="L3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acum_porc!$Z$2- COUNTIF(acumulado_absoluto[[#This Row],[Ene 2024]:[Ago 2024]],"")</f>
        <v>6</v>
      </c>
      <c r="L3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acum_porc!$Z$2- COUNTIF(acumulado_absoluto[[#This Row],[Ene 2024]:[Ago 2024]],"")</f>
        <v>5</v>
      </c>
      <c r="L3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acum_porc!$Z$2- COUNTIF(acumulado_absoluto[[#This Row],[Ene 2024]:[Ago 2024]],"")</f>
        <v>4</v>
      </c>
      <c r="L3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acum_porc!$Z$2- COUNTIF(acumulado_absoluto[[#This Row],[Ene 2024]:[Ago 2024]],"")</f>
        <v>2</v>
      </c>
      <c r="L3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acum_porc!$Z$2- COUNTIF(acumulado_absoluto[[#This Row],[Ene 2024]:[Ago 2024]],"")</f>
        <v>3</v>
      </c>
      <c r="L3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acum_porc!$Z$2- COUNTIF(acumulado_absoluto[[#This Row],[Ene 2024]:[Ago 2024]],"")</f>
        <v>4</v>
      </c>
      <c r="L4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acum_porc!$Z$2- COUNTIF(acumulado_absoluto[[#This Row],[Ene 2024]:[Ago 2024]],"")</f>
        <v>2</v>
      </c>
      <c r="L4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acum_porc!$Z$2- COUNTIF(acumulado_absoluto[[#This Row],[Ene 2024]:[Ago 2024]],"")</f>
        <v>5</v>
      </c>
      <c r="L4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acum_porc!$Z$2- COUNTIF(acumulado_absoluto[[#This Row],[Ene 2024]:[Ago 2024]],"")</f>
        <v>3</v>
      </c>
      <c r="L4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acum_porc!$Z$2- COUNTIF(acumulado_absoluto[[#This Row],[Ene 2024]:[Ago 2024]],"")</f>
        <v>2</v>
      </c>
      <c r="L4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acum_porc!$Z$2- COUNTIF(acumulado_absoluto[[#This Row],[Ene 2024]:[Ago 2024]],"")</f>
        <v>4</v>
      </c>
      <c r="L4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acum_porc!$Z$2- COUNTIF(acumulado_absoluto[[#This Row],[Ene 2024]:[Ago 2024]],"")</f>
        <v>2</v>
      </c>
      <c r="L4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acum_porc!$Z$2- COUNTIF(acumulado_absoluto[[#This Row],[Ene 2024]:[Ago 2024]],"")</f>
        <v>2</v>
      </c>
      <c r="L4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acum_porc!$Z$2- COUNTIF(acumulado_absoluto[[#This Row],[Ene 2024]:[Ago 2024]],"")</f>
        <v>4</v>
      </c>
      <c r="L4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1105</v>
      </c>
      <c r="F49"/>
      <c r="G49"/>
      <c r="H49"/>
      <c r="I49"/>
      <c r="J49">
        <v>9.8100000000000023</v>
      </c>
      <c r="K49" s="4">
        <f>acum_porc!$Z$2- COUNTIF(acumulado_absoluto[[#This Row],[Ene 2024]:[Ago 2024]],"")</f>
        <v>1</v>
      </c>
      <c r="L4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acum_porc!$Z$2- COUNTIF(acumulado_absoluto[[#This Row],[Ene 2024]:[Ago 2024]],"")</f>
        <v>2</v>
      </c>
      <c r="L5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acum_porc!$Z$2- COUNTIF(acumulado_absoluto[[#This Row],[Ene 2024]:[Ago 2024]],"")</f>
        <v>2</v>
      </c>
      <c r="L5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acum_porc!$Z$2- COUNTIF(acumulado_absoluto[[#This Row],[Ene 2024]:[Ago 2024]],"")</f>
        <v>2</v>
      </c>
      <c r="L5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acum_porc!$Z$2- COUNTIF(acumulado_absoluto[[#This Row],[Ene 2024]:[Ago 2024]],"")</f>
        <v>2</v>
      </c>
      <c r="L5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acum_porc!$Z$2- COUNTIF(acumulado_absoluto[[#This Row],[Ene 2024]:[Ago 2024]],"")</f>
        <v>4</v>
      </c>
      <c r="L5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acum_porc!$Z$2- COUNTIF(acumulado_absoluto[[#This Row],[Ene 2024]:[Ago 2024]],"")</f>
        <v>3</v>
      </c>
      <c r="L5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acum_porc!$Z$2- COUNTIF(acumulado_absoluto[[#This Row],[Ene 2024]:[Ago 2024]],"")</f>
        <v>5</v>
      </c>
      <c r="L5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acum_porc!$Z$2- COUNTIF(acumulado_absoluto[[#This Row],[Ene 2024]:[Ago 2024]],"")</f>
        <v>2</v>
      </c>
      <c r="L5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acum_porc!$Z$2- COUNTIF(acumulado_absoluto[[#This Row],[Ene 2024]:[Ago 2024]],"")</f>
        <v>4</v>
      </c>
      <c r="L5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acum_porc!$Z$2- COUNTIF(acumulado_absoluto[[#This Row],[Ene 2024]:[Ago 2024]],"")</f>
        <v>4</v>
      </c>
      <c r="L5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acum_porc!$Z$2- COUNTIF(acumulado_absoluto[[#This Row],[Ene 2024]:[Ago 2024]],"")</f>
        <v>2</v>
      </c>
      <c r="L6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1104</v>
      </c>
      <c r="F61"/>
      <c r="G61"/>
      <c r="H61"/>
      <c r="I61"/>
      <c r="J61">
        <v>11.670000000000002</v>
      </c>
      <c r="K61" s="4">
        <f>acum_porc!$Z$2- COUNTIF(acumulado_absoluto[[#This Row],[Ene 2024]:[Ago 2024]],"")</f>
        <v>1</v>
      </c>
      <c r="L6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acum_porc!$Z$2- COUNTIF(acumulado_absoluto[[#This Row],[Ene 2024]:[Ago 2024]],"")</f>
        <v>2</v>
      </c>
      <c r="L6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acum_porc!$Z$2- COUNTIF(acumulado_absoluto[[#This Row],[Ene 2024]:[Ago 2024]],"")</f>
        <v>3</v>
      </c>
      <c r="L6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acum_porc!$Z$2- COUNTIF(acumulado_absoluto[[#This Row],[Ene 2024]:[Ago 2024]],"")</f>
        <v>5</v>
      </c>
      <c r="L6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acum_porc!$Z$2- COUNTIF(acumulado_absoluto[[#This Row],[Ene 2024]:[Ago 2024]],"")</f>
        <v>2</v>
      </c>
      <c r="L6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acum_porc!$Z$2- COUNTIF(acumulado_absoluto[[#This Row],[Ene 2024]:[Ago 2024]],"")</f>
        <v>2</v>
      </c>
      <c r="L6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acum_porc!$Z$2- COUNTIF(acumulado_absoluto[[#This Row],[Ene 2024]:[Ago 2024]],"")</f>
        <v>2</v>
      </c>
      <c r="L6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acum_porc!$Z$2- COUNTIF(acumulado_absoluto[[#This Row],[Ene 2024]:[Ago 2024]],"")</f>
        <v>2</v>
      </c>
      <c r="L6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acum_porc!$Z$2- COUNTIF(acumulado_absoluto[[#This Row],[Ene 2024]:[Ago 2024]],"")</f>
        <v>4</v>
      </c>
      <c r="L6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acum_porc!$Z$2- COUNTIF(acumulado_absoluto[[#This Row],[Ene 2024]:[Ago 2024]],"")</f>
        <v>3</v>
      </c>
      <c r="L7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acum_porc!$Z$2- COUNTIF(acumulado_absoluto[[#This Row],[Ene 2024]:[Ago 2024]],"")</f>
        <v>2</v>
      </c>
      <c r="L7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acum_porc!$Z$2- COUNTIF(acumulado_absoluto[[#This Row],[Ene 2024]:[Ago 2024]],"")</f>
        <v>2</v>
      </c>
      <c r="L7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acum_porc!$Z$2- COUNTIF(acumulado_absoluto[[#This Row],[Ene 2024]:[Ago 2024]],"")</f>
        <v>2</v>
      </c>
      <c r="L7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acum_porc!$Z$2- COUNTIF(acumulado_absoluto[[#This Row],[Ene 2024]:[Ago 2024]],"")</f>
        <v>2</v>
      </c>
      <c r="L7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acum_porc!$Z$2- COUNTIF(acumulado_absoluto[[#This Row],[Ene 2024]:[Ago 2024]],"")</f>
        <v>2</v>
      </c>
      <c r="L7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acum_porc!$Z$2- COUNTIF(acumulado_absoluto[[#This Row],[Ene 2024]:[Ago 2024]],"")</f>
        <v>2</v>
      </c>
      <c r="L7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acum_porc!$Z$2- COUNTIF(acumulado_absoluto[[#This Row],[Ene 2024]:[Ago 2024]],"")</f>
        <v>2</v>
      </c>
      <c r="L7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acum_porc!$Z$2- COUNTIF(acumulado_absoluto[[#This Row],[Ene 2024]:[Ago 2024]],"")</f>
        <v>4</v>
      </c>
      <c r="L7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acum_porc!$Z$2- COUNTIF(acumulado_absoluto[[#This Row],[Ene 2024]:[Ago 2024]],"")</f>
        <v>3</v>
      </c>
      <c r="L7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acum_porc!$Z$2- COUNTIF(acumulado_absoluto[[#This Row],[Ene 2024]:[Ago 2024]],"")</f>
        <v>3</v>
      </c>
      <c r="L8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acum_porc!$Z$2- COUNTIF(acumulado_absoluto[[#This Row],[Ene 2024]:[Ago 2024]],"")</f>
        <v>3</v>
      </c>
      <c r="L8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acum_porc!$Z$2- COUNTIF(acumulado_absoluto[[#This Row],[Ene 2024]:[Ago 2024]],"")</f>
        <v>4</v>
      </c>
      <c r="L8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acum_porc!$Z$2- COUNTIF(acumulado_absoluto[[#This Row],[Ene 2024]:[Ago 2024]],"")</f>
        <v>2</v>
      </c>
      <c r="L8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1107</v>
      </c>
      <c r="F84"/>
      <c r="G84"/>
      <c r="H84"/>
      <c r="I84"/>
      <c r="J84">
        <v>5.6400000000000006</v>
      </c>
      <c r="K84" s="4">
        <f>acum_porc!$Z$2- COUNTIF(acumulado_absoluto[[#This Row],[Ene 2024]:[Ago 2024]],"")</f>
        <v>1</v>
      </c>
      <c r="L8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acum_porc!$Z$2- COUNTIF(acumulado_absoluto[[#This Row],[Ene 2024]:[Ago 2024]],"")</f>
        <v>6</v>
      </c>
      <c r="L85"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acum_porc!$Z$2- COUNTIF(acumulado_absoluto[[#This Row],[Ene 2024]:[Ago 2024]],"")</f>
        <v>3</v>
      </c>
      <c r="L86"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acum_porc!$Z$2- COUNTIF(acumulado_absoluto[[#This Row],[Ene 2024]:[Ago 2024]],"")</f>
        <v>2</v>
      </c>
      <c r="L87"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acum_porc!$Z$2- COUNTIF(acumulado_absoluto[[#This Row],[Ene 2024]:[Ago 2024]],"")</f>
        <v>5</v>
      </c>
      <c r="L88"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acum_porc!$Z$2- COUNTIF(acumulado_absoluto[[#This Row],[Ene 2024]:[Ago 2024]],"")</f>
        <v>2</v>
      </c>
      <c r="L89"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acum_porc!$Z$2- COUNTIF(acumulado_absoluto[[#This Row],[Ene 2024]:[Ago 2024]],"")</f>
        <v>2</v>
      </c>
      <c r="L90"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acum_porc!$Z$2- COUNTIF(acumulado_absoluto[[#This Row],[Ene 2024]:[Ago 2024]],"")</f>
        <v>6</v>
      </c>
      <c r="L91"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acum_porc!$Z$2- COUNTIF(acumulado_absoluto[[#This Row],[Ene 2024]:[Ago 2024]],"")</f>
        <v>2</v>
      </c>
      <c r="L92"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acum_porc!$Z$2- COUNTIF(acumulado_absoluto[[#This Row],[Ene 2024]:[Ago 2024]],"")</f>
        <v>4</v>
      </c>
      <c r="L93"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acum_porc!$Z$2- COUNTIF(acumulado_absoluto[[#This Row],[Ene 2024]:[Ago 2024]],"")</f>
        <v>2</v>
      </c>
      <c r="L94" s="4" t="str">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acum_porc!$Z$2- COUNTIF(acumulado_absoluto[[#This Row],[Ene 2024]:[Ago 2024]],"")</f>
        <v>7</v>
      </c>
      <c r="L95" s="4" t="e">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acum_porc!$Z$2- COUNTIF(acumulado_absoluto[[#This Row],[Ene 2024]:[Ago 2024]],"")</f>
        <v>7</v>
      </c>
      <c r="L96" s="4" t="e">
        <f>IF(acumulado_absoluto[[#This Row],[contar]]&gt;=acum_porc!$Z$3,SUM(SMALL(acumulado_absoluto[[#This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4" t="s">
        <v>556</v>
      </c>
      <c r="L23" s="114"/>
      <c r="M23" s="114"/>
      <c r="N23" s="114"/>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8"/>
  <sheetViews>
    <sheetView topLeftCell="A28" zoomScale="115" zoomScaleNormal="115" workbookViewId="0">
      <selection activeCell="C34" sqref="C34"/>
    </sheetView>
  </sheetViews>
  <sheetFormatPr baseColWidth="10" defaultRowHeight="12" x14ac:dyDescent="0.2"/>
  <cols>
    <col min="1" max="1" width="12.42578125" bestFit="1" customWidth="1"/>
    <col min="2" max="2" width="23.5703125" bestFit="1" customWidth="1"/>
    <col min="3" max="3" width="21.7109375" bestFit="1" customWidth="1"/>
  </cols>
  <sheetData>
    <row r="1" spans="1:3" x14ac:dyDescent="0.2">
      <c r="A1" t="s">
        <v>233</v>
      </c>
      <c r="B1" t="s">
        <v>485</v>
      </c>
      <c r="C1" t="s">
        <v>21</v>
      </c>
    </row>
    <row r="2" spans="1:3" x14ac:dyDescent="0.2">
      <c r="A2" t="s">
        <v>383</v>
      </c>
      <c r="B2" t="s">
        <v>326</v>
      </c>
      <c r="C2" t="s">
        <v>328</v>
      </c>
    </row>
    <row r="3" spans="1:3" x14ac:dyDescent="0.2">
      <c r="A3" t="s">
        <v>301</v>
      </c>
      <c r="B3" t="s">
        <v>747</v>
      </c>
      <c r="C3" t="s">
        <v>203</v>
      </c>
    </row>
    <row r="4" spans="1:3" x14ac:dyDescent="0.2">
      <c r="A4" t="s">
        <v>301</v>
      </c>
      <c r="B4" t="s">
        <v>302</v>
      </c>
      <c r="C4" t="s">
        <v>301</v>
      </c>
    </row>
    <row r="5" spans="1:3" x14ac:dyDescent="0.2">
      <c r="A5" t="s">
        <v>200</v>
      </c>
      <c r="B5" t="s">
        <v>201</v>
      </c>
      <c r="C5" t="s">
        <v>593</v>
      </c>
    </row>
    <row r="6" spans="1:3" x14ac:dyDescent="0.2">
      <c r="A6" t="s">
        <v>124</v>
      </c>
      <c r="B6" t="s">
        <v>125</v>
      </c>
      <c r="C6" t="s">
        <v>561</v>
      </c>
    </row>
    <row r="7" spans="1:3" x14ac:dyDescent="0.2">
      <c r="A7" t="s">
        <v>124</v>
      </c>
      <c r="B7" t="s">
        <v>166</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103</v>
      </c>
    </row>
    <row r="15" spans="1:3" x14ac:dyDescent="0.2">
      <c r="A15" t="s">
        <v>160</v>
      </c>
      <c r="B15" t="s">
        <v>332</v>
      </c>
      <c r="C15" t="s">
        <v>758</v>
      </c>
    </row>
    <row r="16" spans="1:3" x14ac:dyDescent="0.2">
      <c r="A16" t="s">
        <v>160</v>
      </c>
      <c r="B16" t="s">
        <v>635</v>
      </c>
      <c r="C16" t="s">
        <v>637</v>
      </c>
    </row>
    <row r="17" spans="1:3" x14ac:dyDescent="0.2">
      <c r="A17" t="s">
        <v>160</v>
      </c>
      <c r="B17" t="s">
        <v>260</v>
      </c>
      <c r="C17" t="s">
        <v>263</v>
      </c>
    </row>
    <row r="18" spans="1:3" x14ac:dyDescent="0.2">
      <c r="A18" t="s">
        <v>160</v>
      </c>
      <c r="B18" t="s">
        <v>630</v>
      </c>
      <c r="C18" t="s">
        <v>633</v>
      </c>
    </row>
    <row r="19" spans="1:3" x14ac:dyDescent="0.2">
      <c r="A19" t="s">
        <v>160</v>
      </c>
      <c r="B19" t="s">
        <v>447</v>
      </c>
      <c r="C19" t="s">
        <v>449</v>
      </c>
    </row>
    <row r="20" spans="1:3" x14ac:dyDescent="0.2">
      <c r="A20" t="s">
        <v>264</v>
      </c>
      <c r="B20" t="s">
        <v>265</v>
      </c>
      <c r="C20" t="s">
        <v>264</v>
      </c>
    </row>
    <row r="21" spans="1:3" x14ac:dyDescent="0.2">
      <c r="A21" t="s">
        <v>525</v>
      </c>
      <c r="B21" t="s">
        <v>690</v>
      </c>
      <c r="C21" t="s">
        <v>999</v>
      </c>
    </row>
    <row r="22" spans="1:3" x14ac:dyDescent="0.2">
      <c r="A22" t="s">
        <v>525</v>
      </c>
      <c r="B22" t="s">
        <v>526</v>
      </c>
      <c r="C22" t="s">
        <v>525</v>
      </c>
    </row>
    <row r="23" spans="1:3" x14ac:dyDescent="0.2">
      <c r="A23" t="s">
        <v>424</v>
      </c>
      <c r="B23" t="s">
        <v>424</v>
      </c>
      <c r="C23" t="s">
        <v>424</v>
      </c>
    </row>
    <row r="24" spans="1:3" x14ac:dyDescent="0.2">
      <c r="A24" t="s">
        <v>195</v>
      </c>
      <c r="B24" t="s">
        <v>196</v>
      </c>
      <c r="C24" t="s">
        <v>199</v>
      </c>
    </row>
    <row r="25" spans="1:3" x14ac:dyDescent="0.2">
      <c r="A25" t="s">
        <v>120</v>
      </c>
      <c r="B25" t="s">
        <v>121</v>
      </c>
      <c r="C25" t="s">
        <v>123</v>
      </c>
    </row>
    <row r="26" spans="1:3" x14ac:dyDescent="0.2">
      <c r="A26" t="s">
        <v>305</v>
      </c>
      <c r="B26" t="s">
        <v>306</v>
      </c>
      <c r="C26" t="s">
        <v>309</v>
      </c>
    </row>
    <row r="27" spans="1:3" x14ac:dyDescent="0.2">
      <c r="A27" t="s">
        <v>748</v>
      </c>
      <c r="B27" t="s">
        <v>622</v>
      </c>
      <c r="C27" t="s">
        <v>748</v>
      </c>
    </row>
    <row r="28" spans="1:3" x14ac:dyDescent="0.2">
      <c r="A28" t="s">
        <v>130</v>
      </c>
      <c r="B28" t="s">
        <v>86</v>
      </c>
      <c r="C28" t="s">
        <v>462</v>
      </c>
    </row>
    <row r="29" spans="1:3" x14ac:dyDescent="0.2">
      <c r="A29" t="s">
        <v>664</v>
      </c>
      <c r="B29" t="s">
        <v>665</v>
      </c>
      <c r="C29" t="s">
        <v>664</v>
      </c>
    </row>
    <row r="30" spans="1:3" x14ac:dyDescent="0.2">
      <c r="A30" t="s">
        <v>716</v>
      </c>
      <c r="B30" t="s">
        <v>717</v>
      </c>
      <c r="C30" t="s">
        <v>719</v>
      </c>
    </row>
    <row r="31" spans="1:3" x14ac:dyDescent="0.2">
      <c r="A31" t="s">
        <v>342</v>
      </c>
      <c r="B31" t="s">
        <v>211</v>
      </c>
      <c r="C31" t="s">
        <v>1046</v>
      </c>
    </row>
    <row r="32" spans="1:3" x14ac:dyDescent="0.2">
      <c r="A32" t="s">
        <v>625</v>
      </c>
      <c r="B32" t="s">
        <v>626</v>
      </c>
      <c r="C32" t="s">
        <v>760</v>
      </c>
    </row>
    <row r="33" spans="1:3" x14ac:dyDescent="0.2">
      <c r="A33" t="s">
        <v>1037</v>
      </c>
      <c r="B33" t="s">
        <v>1038</v>
      </c>
      <c r="C33" t="s">
        <v>1041</v>
      </c>
    </row>
    <row r="34" spans="1:3" x14ac:dyDescent="0.2">
      <c r="A34" t="s">
        <v>138</v>
      </c>
      <c r="B34" t="s">
        <v>139</v>
      </c>
      <c r="C34" t="s">
        <v>451</v>
      </c>
    </row>
    <row r="35" spans="1:3" x14ac:dyDescent="0.2">
      <c r="A35" t="s">
        <v>28</v>
      </c>
      <c r="B35" t="s">
        <v>751</v>
      </c>
      <c r="C35" t="s">
        <v>753</v>
      </c>
    </row>
    <row r="36" spans="1:3" x14ac:dyDescent="0.2">
      <c r="A36" t="s">
        <v>28</v>
      </c>
      <c r="B36" t="s">
        <v>441</v>
      </c>
      <c r="C36" t="s">
        <v>535</v>
      </c>
    </row>
    <row r="37" spans="1:3" x14ac:dyDescent="0.2">
      <c r="A37" t="s">
        <v>28</v>
      </c>
      <c r="B37" t="s">
        <v>185</v>
      </c>
      <c r="C37" t="s">
        <v>187</v>
      </c>
    </row>
    <row r="38" spans="1:3" x14ac:dyDescent="0.2">
      <c r="A38" t="s">
        <v>28</v>
      </c>
      <c r="B38" t="s">
        <v>323</v>
      </c>
      <c r="C38" t="s">
        <v>2</v>
      </c>
    </row>
    <row r="39" spans="1:3" x14ac:dyDescent="0.2">
      <c r="A39" t="s">
        <v>28</v>
      </c>
      <c r="B39" t="s">
        <v>29</v>
      </c>
      <c r="C39" t="s">
        <v>271</v>
      </c>
    </row>
    <row r="40" spans="1:3" x14ac:dyDescent="0.2">
      <c r="A40" t="s">
        <v>28</v>
      </c>
      <c r="B40" t="s">
        <v>390</v>
      </c>
      <c r="C40" t="s">
        <v>1072</v>
      </c>
    </row>
    <row r="41" spans="1:3" x14ac:dyDescent="0.2">
      <c r="A41" t="s">
        <v>28</v>
      </c>
      <c r="B41" t="s">
        <v>685</v>
      </c>
      <c r="C41" t="s">
        <v>688</v>
      </c>
    </row>
    <row r="42" spans="1:3" x14ac:dyDescent="0.2">
      <c r="A42" t="s">
        <v>188</v>
      </c>
      <c r="B42" t="s">
        <v>736</v>
      </c>
      <c r="C42" t="s">
        <v>1092</v>
      </c>
    </row>
    <row r="43" spans="1:3" x14ac:dyDescent="0.2">
      <c r="A43" t="s">
        <v>188</v>
      </c>
      <c r="B43" t="s">
        <v>189</v>
      </c>
      <c r="C43" t="s">
        <v>188</v>
      </c>
    </row>
    <row r="44" spans="1:3" x14ac:dyDescent="0.2">
      <c r="A44" t="s">
        <v>112</v>
      </c>
      <c r="B44" t="s">
        <v>395</v>
      </c>
      <c r="C44" t="s">
        <v>697</v>
      </c>
    </row>
    <row r="45" spans="1:3" x14ac:dyDescent="0.2">
      <c r="A45" t="s">
        <v>282</v>
      </c>
      <c r="B45" t="s">
        <v>815</v>
      </c>
      <c r="C45" t="s">
        <v>860</v>
      </c>
    </row>
    <row r="46" spans="1:3" x14ac:dyDescent="0.2">
      <c r="A46" t="s">
        <v>282</v>
      </c>
      <c r="B46" t="s">
        <v>703</v>
      </c>
      <c r="C46" t="s">
        <v>706</v>
      </c>
    </row>
    <row r="47" spans="1:3" x14ac:dyDescent="0.2">
      <c r="A47" t="s">
        <v>131</v>
      </c>
      <c r="B47" t="s">
        <v>132</v>
      </c>
      <c r="C47" t="s">
        <v>1025</v>
      </c>
    </row>
    <row r="48" spans="1:3" x14ac:dyDescent="0.2">
      <c r="A48" t="s">
        <v>577</v>
      </c>
      <c r="B48" t="s">
        <v>578</v>
      </c>
      <c r="C48" t="s">
        <v>581</v>
      </c>
    </row>
    <row r="49" spans="1:3" x14ac:dyDescent="0.2">
      <c r="A49" t="s">
        <v>175</v>
      </c>
      <c r="B49" t="s">
        <v>23</v>
      </c>
      <c r="C49" t="s">
        <v>178</v>
      </c>
    </row>
    <row r="50" spans="1:3" x14ac:dyDescent="0.2">
      <c r="A50" t="s">
        <v>385</v>
      </c>
      <c r="B50" t="s">
        <v>379</v>
      </c>
      <c r="C50" t="s">
        <v>1096</v>
      </c>
    </row>
    <row r="51" spans="1:3" x14ac:dyDescent="0.2">
      <c r="A51" t="s">
        <v>1075</v>
      </c>
      <c r="B51" t="s">
        <v>23</v>
      </c>
      <c r="C51" t="s">
        <v>1075</v>
      </c>
    </row>
    <row r="52" spans="1:3" x14ac:dyDescent="0.2">
      <c r="A52" t="s">
        <v>863</v>
      </c>
      <c r="B52" t="s">
        <v>864</v>
      </c>
      <c r="C52" t="s">
        <v>1015</v>
      </c>
    </row>
    <row r="53" spans="1:3" x14ac:dyDescent="0.2">
      <c r="A53" t="s">
        <v>145</v>
      </c>
      <c r="B53" t="s">
        <v>380</v>
      </c>
      <c r="C53" t="s">
        <v>802</v>
      </c>
    </row>
    <row r="54" spans="1:3" x14ac:dyDescent="0.2">
      <c r="A54" t="s">
        <v>382</v>
      </c>
      <c r="B54" t="s">
        <v>182</v>
      </c>
      <c r="C54" t="s">
        <v>331</v>
      </c>
    </row>
    <row r="55" spans="1:3" x14ac:dyDescent="0.2">
      <c r="A55" t="s">
        <v>8</v>
      </c>
      <c r="B55" t="s">
        <v>152</v>
      </c>
      <c r="C55" t="s">
        <v>8</v>
      </c>
    </row>
    <row r="56" spans="1:3" x14ac:dyDescent="0.2">
      <c r="A56" t="s">
        <v>135</v>
      </c>
      <c r="B56" t="s">
        <v>389</v>
      </c>
      <c r="C56" t="s">
        <v>456</v>
      </c>
    </row>
    <row r="57" spans="1:3" x14ac:dyDescent="0.2">
      <c r="A57" t="s">
        <v>67</v>
      </c>
      <c r="B57" t="s">
        <v>68</v>
      </c>
      <c r="C57" t="s">
        <v>67</v>
      </c>
    </row>
    <row r="58" spans="1:3" x14ac:dyDescent="0.2">
      <c r="A58" t="s">
        <v>298</v>
      </c>
      <c r="B58" t="s">
        <v>386</v>
      </c>
      <c r="C58" t="s">
        <v>467</v>
      </c>
    </row>
    <row r="59" spans="1:3" x14ac:dyDescent="0.2">
      <c r="A59" t="s">
        <v>115</v>
      </c>
      <c r="B59" t="s">
        <v>394</v>
      </c>
      <c r="C59" t="s">
        <v>117</v>
      </c>
    </row>
    <row r="60" spans="1:3" x14ac:dyDescent="0.2">
      <c r="A60" t="s">
        <v>115</v>
      </c>
      <c r="B60" t="s">
        <v>391</v>
      </c>
      <c r="C60" t="s">
        <v>194</v>
      </c>
    </row>
    <row r="61" spans="1:3" x14ac:dyDescent="0.2">
      <c r="A61" t="s">
        <v>46</v>
      </c>
      <c r="B61" t="s">
        <v>47</v>
      </c>
      <c r="C61" t="s">
        <v>159</v>
      </c>
    </row>
    <row r="62" spans="1:3" x14ac:dyDescent="0.2">
      <c r="A62" t="s">
        <v>357</v>
      </c>
      <c r="B62" t="s">
        <v>358</v>
      </c>
      <c r="C62" t="s">
        <v>357</v>
      </c>
    </row>
    <row r="63" spans="1:3" x14ac:dyDescent="0.2">
      <c r="A63" t="s">
        <v>605</v>
      </c>
      <c r="B63" t="s">
        <v>606</v>
      </c>
      <c r="C63" t="s">
        <v>608</v>
      </c>
    </row>
    <row r="64" spans="1:3" x14ac:dyDescent="0.2">
      <c r="A64" t="s">
        <v>599</v>
      </c>
      <c r="B64" t="s">
        <v>600</v>
      </c>
      <c r="C64" t="s">
        <v>599</v>
      </c>
    </row>
    <row r="65" spans="1:3" x14ac:dyDescent="0.2">
      <c r="A65" t="s">
        <v>207</v>
      </c>
      <c r="B65" t="s">
        <v>208</v>
      </c>
      <c r="C65" t="s">
        <v>207</v>
      </c>
    </row>
    <row r="66" spans="1:3" x14ac:dyDescent="0.2">
      <c r="A66" t="s">
        <v>531</v>
      </c>
      <c r="B66" t="s">
        <v>293</v>
      </c>
      <c r="C66" t="s">
        <v>531</v>
      </c>
    </row>
    <row r="67" spans="1:3" x14ac:dyDescent="0.2">
      <c r="A67" t="s">
        <v>435</v>
      </c>
      <c r="B67" t="s">
        <v>970</v>
      </c>
      <c r="C67" t="s">
        <v>973</v>
      </c>
    </row>
    <row r="68" spans="1:3" x14ac:dyDescent="0.2">
      <c r="A68" t="s">
        <v>435</v>
      </c>
      <c r="B68" t="s">
        <v>436</v>
      </c>
      <c r="C68" t="s">
        <v>435</v>
      </c>
    </row>
    <row r="69" spans="1:3" x14ac:dyDescent="0.2">
      <c r="A69" t="s">
        <v>33</v>
      </c>
      <c r="B69" t="s">
        <v>724</v>
      </c>
      <c r="C69" t="s">
        <v>727</v>
      </c>
    </row>
    <row r="70" spans="1:3" x14ac:dyDescent="0.2">
      <c r="A70" t="s">
        <v>772</v>
      </c>
      <c r="B70" t="s">
        <v>773</v>
      </c>
      <c r="C70" t="s">
        <v>775</v>
      </c>
    </row>
    <row r="71" spans="1:3" x14ac:dyDescent="0.2">
      <c r="A71" s="47" t="s">
        <v>897</v>
      </c>
      <c r="B71" s="47" t="s">
        <v>1008</v>
      </c>
      <c r="C71" s="47" t="s">
        <v>935</v>
      </c>
    </row>
    <row r="72" spans="1:3" x14ac:dyDescent="0.2">
      <c r="A72" t="s">
        <v>897</v>
      </c>
      <c r="B72" t="s">
        <v>898</v>
      </c>
      <c r="C72" t="s">
        <v>901</v>
      </c>
    </row>
    <row r="73" spans="1:3" x14ac:dyDescent="0.2">
      <c r="A73" t="s">
        <v>768</v>
      </c>
      <c r="B73" t="s">
        <v>1017</v>
      </c>
      <c r="C73" t="s">
        <v>1098</v>
      </c>
    </row>
    <row r="74" spans="1:3" x14ac:dyDescent="0.2">
      <c r="A74" t="s">
        <v>204</v>
      </c>
      <c r="B74" t="s">
        <v>378</v>
      </c>
      <c r="C74" t="s">
        <v>37</v>
      </c>
    </row>
    <row r="75" spans="1:3" x14ac:dyDescent="0.2">
      <c r="A75" t="s">
        <v>204</v>
      </c>
      <c r="B75" t="s">
        <v>515</v>
      </c>
      <c r="C75" t="s">
        <v>351</v>
      </c>
    </row>
    <row r="76" spans="1:3" x14ac:dyDescent="0.2">
      <c r="A76" t="s">
        <v>204</v>
      </c>
      <c r="B76" t="s">
        <v>286</v>
      </c>
      <c r="C76" t="s">
        <v>289</v>
      </c>
    </row>
    <row r="77" spans="1:3" x14ac:dyDescent="0.2">
      <c r="A77" s="47" t="s">
        <v>76</v>
      </c>
      <c r="B77" s="47" t="s">
        <v>77</v>
      </c>
      <c r="C77" s="47" t="s">
        <v>76</v>
      </c>
    </row>
    <row r="78" spans="1:3" x14ac:dyDescent="0.2">
      <c r="A78" t="s">
        <v>1083</v>
      </c>
      <c r="B78" t="s">
        <v>1084</v>
      </c>
      <c r="C78" t="s">
        <v>1087</v>
      </c>
    </row>
    <row r="79" spans="1:3" x14ac:dyDescent="0.2">
      <c r="A79" t="s">
        <v>72</v>
      </c>
      <c r="B79" t="s">
        <v>562</v>
      </c>
      <c r="C79" t="s">
        <v>566</v>
      </c>
    </row>
    <row r="80" spans="1:3" x14ac:dyDescent="0.2">
      <c r="A80" t="s">
        <v>72</v>
      </c>
      <c r="B80" t="s">
        <v>552</v>
      </c>
      <c r="C80" t="s">
        <v>700</v>
      </c>
    </row>
    <row r="81" spans="1:3" x14ac:dyDescent="0.2">
      <c r="A81" t="s">
        <v>72</v>
      </c>
      <c r="B81" t="s">
        <v>707</v>
      </c>
      <c r="C81" t="s">
        <v>709</v>
      </c>
    </row>
    <row r="82" spans="1:3" x14ac:dyDescent="0.2">
      <c r="A82" t="s">
        <v>72</v>
      </c>
      <c r="B82" t="s">
        <v>124</v>
      </c>
      <c r="C82" t="s">
        <v>542</v>
      </c>
    </row>
    <row r="83" spans="1:3" x14ac:dyDescent="0.2">
      <c r="A83" t="s">
        <v>72</v>
      </c>
      <c r="B83" t="s">
        <v>614</v>
      </c>
      <c r="C83" t="s">
        <v>617</v>
      </c>
    </row>
    <row r="84" spans="1:3" x14ac:dyDescent="0.2">
      <c r="A84" t="s">
        <v>72</v>
      </c>
      <c r="B84" t="s">
        <v>73</v>
      </c>
      <c r="C84" t="s">
        <v>278</v>
      </c>
    </row>
    <row r="85" spans="1:3" x14ac:dyDescent="0.2">
      <c r="A85" t="s">
        <v>388</v>
      </c>
      <c r="B85" t="s">
        <v>148</v>
      </c>
      <c r="C85" t="s">
        <v>151</v>
      </c>
    </row>
    <row r="86" spans="1:3" x14ac:dyDescent="0.2">
      <c r="A86" t="s">
        <v>256</v>
      </c>
      <c r="B86" t="s">
        <v>257</v>
      </c>
      <c r="C86" t="s">
        <v>240</v>
      </c>
    </row>
    <row r="87" spans="1:3" x14ac:dyDescent="0.2">
      <c r="A87" t="s">
        <v>729</v>
      </c>
      <c r="B87" t="s">
        <v>730</v>
      </c>
      <c r="C87" t="s">
        <v>733</v>
      </c>
    </row>
    <row r="88" spans="1:3" x14ac:dyDescent="0.2">
      <c r="A88" t="s">
        <v>521</v>
      </c>
      <c r="B88" t="s">
        <v>522</v>
      </c>
      <c r="C88"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in</vt:lpstr>
      <vt:lpstr>omie</vt:lpstr>
      <vt:lpstr>ene</vt:lpstr>
      <vt:lpstr>feb</vt:lpstr>
      <vt:lpstr>mar</vt:lpstr>
      <vt:lpstr>abr</vt:lpstr>
      <vt:lpstr>may</vt:lpstr>
      <vt:lpstr>jun</vt:lpstr>
      <vt:lpstr>jul</vt:lpstr>
      <vt:lpstr>ago</vt:lpstr>
      <vt:lpstr>sep</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2024-09-28T10:13:57Z</dcterms:modified>
</cp:coreProperties>
</file>