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tables/table15.xml" ContentType="application/vnd.openxmlformats-officedocument.spreadsheetml.table+xml"/>
  <Override PartName="/xl/queryTables/queryTable14.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tables/table18.xml" ContentType="application/vnd.openxmlformats-officedocument.spreadsheetml.table+xml"/>
  <Override PartName="/xl/queryTables/queryTable16.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queryTables/queryTable17.xml" ContentType="application/vnd.openxmlformats-officedocument.spreadsheetml.queryTable+xml"/>
  <Override PartName="/xl/tables/table21.xml" ContentType="application/vnd.openxmlformats-officedocument.spreadsheetml.table+xml"/>
  <Override PartName="/xl/queryTables/queryTable18.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queryTables/queryTable19.xml" ContentType="application/vnd.openxmlformats-officedocument.spreadsheetml.queryTable+xml"/>
  <Override PartName="/xl/tables/table24.xml" ContentType="application/vnd.openxmlformats-officedocument.spreadsheetml.table+xml"/>
  <Override PartName="/xl/queryTables/queryTable20.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5.xml" ContentType="application/vnd.openxmlformats-officedocument.spreadsheetml.table+xml"/>
  <Override PartName="/xl/tables/table26.xml" ContentType="application/vnd.openxmlformats-officedocument.spreadsheetml.table+xml"/>
  <Override PartName="/xl/queryTables/queryTable21.xml" ContentType="application/vnd.openxmlformats-officedocument.spreadsheetml.queryTable+xml"/>
  <Override PartName="/xl/tables/table27.xml" ContentType="application/vnd.openxmlformats-officedocument.spreadsheetml.table+xml"/>
  <Override PartName="/xl/queryTables/queryTable22.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queryTables/queryTable23.xml" ContentType="application/vnd.openxmlformats-officedocument.spreadsheetml.queryTable+xml"/>
  <Override PartName="/xl/tables/table30.xml" ContentType="application/vnd.openxmlformats-officedocument.spreadsheetml.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31.xml" ContentType="application/vnd.openxmlformats-officedocument.spreadsheetml.table+xml"/>
  <Override PartName="/xl/tables/table32.xml" ContentType="application/vnd.openxmlformats-officedocument.spreadsheetml.table+xml"/>
  <Override PartName="/xl/queryTables/queryTable24.xml" ContentType="application/vnd.openxmlformats-officedocument.spreadsheetml.queryTable+xml"/>
  <Override PartName="/xl/tables/table33.xml" ContentType="application/vnd.openxmlformats-officedocument.spreadsheetml.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charts/chart48.xml" ContentType="application/vnd.openxmlformats-officedocument.drawingml.chart+xml"/>
  <Override PartName="/xl/charts/style36.xml" ContentType="application/vnd.ms-office.chartstyle+xml"/>
  <Override PartName="/xl/charts/colors36.xml" ContentType="application/vnd.ms-office.chartcolorstyle+xml"/>
  <Override PartName="/xl/charts/chart49.xml" ContentType="application/vnd.openxmlformats-officedocument.drawingml.chart+xml"/>
  <Override PartName="/xl/charts/style37.xml" ContentType="application/vnd.ms-office.chartstyle+xml"/>
  <Override PartName="/xl/charts/colors37.xml" ContentType="application/vnd.ms-office.chartcolorstyle+xml"/>
  <Override PartName="/xl/charts/chart50.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3.xml" ContentType="application/vnd.openxmlformats-officedocument.drawingml.chartshapes+xml"/>
  <Override PartName="/xl/charts/chart51.xml" ContentType="application/vnd.openxmlformats-officedocument.drawingml.chart+xml"/>
  <Override PartName="/xl/charts/style39.xml" ContentType="application/vnd.ms-office.chartstyle+xml"/>
  <Override PartName="/xl/charts/colors39.xml" ContentType="application/vnd.ms-office.chartcolorstyle+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style40.xml" ContentType="application/vnd.ms-office.chartstyle+xml"/>
  <Override PartName="/xl/charts/colors40.xml" ContentType="application/vnd.ms-office.chartcolorstyle+xml"/>
  <Override PartName="/xl/charts/chart55.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34.xml" ContentType="application/vnd.openxmlformats-officedocument.spreadsheetml.table+xml"/>
  <Override PartName="/xl/tables/table35.xml" ContentType="application/vnd.openxmlformats-officedocument.spreadsheetml.table+xml"/>
  <Override PartName="/xl/queryTables/queryTable25.xml" ContentType="application/vnd.openxmlformats-officedocument.spreadsheetml.queryTable+xml"/>
  <Override PartName="/xl/tables/table36.xml" ContentType="application/vnd.openxmlformats-officedocument.spreadsheetml.table+xml"/>
  <Override PartName="/xl/charts/chart56.xml" ContentType="application/vnd.openxmlformats-officedocument.drawingml.chart+xml"/>
  <Override PartName="/xl/charts/style42.xml" ContentType="application/vnd.ms-office.chartstyle+xml"/>
  <Override PartName="/xl/charts/colors42.xml" ContentType="application/vnd.ms-office.chartcolorstyle+xml"/>
  <Override PartName="/xl/charts/chart57.xml" ContentType="application/vnd.openxmlformats-officedocument.drawingml.chart+xml"/>
  <Override PartName="/xl/charts/style43.xml" ContentType="application/vnd.ms-office.chartstyle+xml"/>
  <Override PartName="/xl/charts/colors43.xml" ContentType="application/vnd.ms-office.chartcolorstyle+xml"/>
  <Override PartName="/xl/charts/chart58.xml" ContentType="application/vnd.openxmlformats-officedocument.drawingml.chart+xml"/>
  <Override PartName="/xl/charts/style44.xml" ContentType="application/vnd.ms-office.chartstyle+xml"/>
  <Override PartName="/xl/charts/colors44.xml" ContentType="application/vnd.ms-office.chartcolorstyle+xml"/>
  <Override PartName="/xl/charts/chart59.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5.xml" ContentType="application/vnd.openxmlformats-officedocument.drawingml.chartshapes+xml"/>
  <Override PartName="/xl/charts/chart60.xml" ContentType="application/vnd.openxmlformats-officedocument.drawingml.chart+xml"/>
  <Override PartName="/xl/charts/style46.xml" ContentType="application/vnd.ms-office.chartstyle+xml"/>
  <Override PartName="/xl/charts/colors46.xml" ContentType="application/vnd.ms-office.chartcolorstyle+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style47.xml" ContentType="application/vnd.ms-office.chartstyle+xml"/>
  <Override PartName="/xl/charts/colors47.xml" ContentType="application/vnd.ms-office.chartcolorstyle+xml"/>
  <Override PartName="/xl/charts/chart64.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queryTables/queryTable26.xml" ContentType="application/vnd.openxmlformats-officedocument.spreadsheetml.queryTable+xml"/>
  <Override PartName="/xl/tables/table39.xml" ContentType="application/vnd.openxmlformats-officedocument.spreadsheetml.table+xml"/>
  <Override PartName="/xl/charts/chart65.xml" ContentType="application/vnd.openxmlformats-officedocument.drawingml.chart+xml"/>
  <Override PartName="/xl/charts/style49.xml" ContentType="application/vnd.ms-office.chartstyle+xml"/>
  <Override PartName="/xl/charts/colors49.xml" ContentType="application/vnd.ms-office.chartcolorstyle+xml"/>
  <Override PartName="/xl/charts/chart66.xml" ContentType="application/vnd.openxmlformats-officedocument.drawingml.chart+xml"/>
  <Override PartName="/xl/charts/style50.xml" ContentType="application/vnd.ms-office.chartstyle+xml"/>
  <Override PartName="/xl/charts/colors50.xml" ContentType="application/vnd.ms-office.chartcolorstyle+xml"/>
  <Override PartName="/xl/charts/chart67.xml" ContentType="application/vnd.openxmlformats-officedocument.drawingml.chart+xml"/>
  <Override PartName="/xl/charts/style51.xml" ContentType="application/vnd.ms-office.chartstyle+xml"/>
  <Override PartName="/xl/charts/colors51.xml" ContentType="application/vnd.ms-office.chartcolorstyle+xml"/>
  <Override PartName="/xl/charts/chart68.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18.xml" ContentType="application/vnd.openxmlformats-officedocument.drawingml.chartshapes+xml"/>
  <Override PartName="/xl/charts/chart69.xml" ContentType="application/vnd.openxmlformats-officedocument.drawingml.chart+xml"/>
  <Override PartName="/xl/charts/style53.xml" ContentType="application/vnd.ms-office.chartstyle+xml"/>
  <Override PartName="/xl/charts/colors53.xml" ContentType="application/vnd.ms-office.chartcolorstyle+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style54.xml" ContentType="application/vnd.ms-office.chartstyle+xml"/>
  <Override PartName="/xl/charts/colors54.xml" ContentType="application/vnd.ms-office.chartcolorstyle+xml"/>
  <Override PartName="/xl/charts/chart73.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19.xml" ContentType="application/vnd.openxmlformats-officedocument.drawingml.chartshapes+xml"/>
  <Override PartName="/xl/drawings/drawing2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tables/table40.xml" ContentType="application/vnd.openxmlformats-officedocument.spreadsheetml.table+xml"/>
  <Override PartName="/xl/tables/table41.xml" ContentType="application/vnd.openxmlformats-officedocument.spreadsheetml.table+xml"/>
  <Override PartName="/xl/queryTables/queryTable27.xml" ContentType="application/vnd.openxmlformats-officedocument.spreadsheetml.queryTable+xml"/>
  <Override PartName="/xl/tables/table42.xml" ContentType="application/vnd.openxmlformats-officedocument.spreadsheetml.table+xml"/>
  <Override PartName="/xl/charts/chart74.xml" ContentType="application/vnd.openxmlformats-officedocument.drawingml.chart+xml"/>
  <Override PartName="/xl/charts/style56.xml" ContentType="application/vnd.ms-office.chartstyle+xml"/>
  <Override PartName="/xl/charts/colors56.xml" ContentType="application/vnd.ms-office.chartcolorstyle+xml"/>
  <Override PartName="/xl/charts/chart75.xml" ContentType="application/vnd.openxmlformats-officedocument.drawingml.chart+xml"/>
  <Override PartName="/xl/charts/style57.xml" ContentType="application/vnd.ms-office.chartstyle+xml"/>
  <Override PartName="/xl/charts/colors57.xml" ContentType="application/vnd.ms-office.chartcolorstyle+xml"/>
  <Override PartName="/xl/charts/chart76.xml" ContentType="application/vnd.openxmlformats-officedocument.drawingml.chart+xml"/>
  <Override PartName="/xl/charts/style58.xml" ContentType="application/vnd.ms-office.chartstyle+xml"/>
  <Override PartName="/xl/charts/colors58.xml" ContentType="application/vnd.ms-office.chartcolorstyle+xml"/>
  <Override PartName="/xl/charts/chart77.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21.xml" ContentType="application/vnd.openxmlformats-officedocument.drawingml.chartshapes+xml"/>
  <Override PartName="/xl/charts/chart78.xml" ContentType="application/vnd.openxmlformats-officedocument.drawingml.chart+xml"/>
  <Override PartName="/xl/charts/style60.xml" ContentType="application/vnd.ms-office.chartstyle+xml"/>
  <Override PartName="/xl/charts/colors60.xml" ContentType="application/vnd.ms-office.chartcolorstyle+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style61.xml" ContentType="application/vnd.ms-office.chartstyle+xml"/>
  <Override PartName="/xl/charts/colors61.xml" ContentType="application/vnd.ms-office.chartcolorstyle+xml"/>
  <Override PartName="/xl/charts/chart8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22.xml" ContentType="application/vnd.openxmlformats-officedocument.drawingml.chartshapes+xml"/>
  <Override PartName="/xl/drawings/drawing23.xml" ContentType="application/vnd.openxmlformats-officedocument.drawing+xml"/>
  <Override PartName="/xl/tables/table43.xml" ContentType="application/vnd.openxmlformats-officedocument.spreadsheetml.table+xml"/>
  <Override PartName="/xl/tables/table44.xml" ContentType="application/vnd.openxmlformats-officedocument.spreadsheetml.table+xml"/>
  <Override PartName="/xl/drawings/drawing24.xml" ContentType="application/vnd.openxmlformats-officedocument.drawing+xml"/>
  <Override PartName="/xl/tables/table45.xml" ContentType="application/vnd.openxmlformats-officedocument.spreadsheetml.table+xml"/>
  <Override PartName="/xl/charts/chart8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25.xml" ContentType="application/vnd.openxmlformats-officedocument.drawingml.chartshapes+xml"/>
  <Override PartName="/xl/charts/chartEx1.xml" ContentType="application/vnd.ms-office.chartex+xml"/>
  <Override PartName="/xl/charts/style64.xml" ContentType="application/vnd.ms-office.chartstyle+xml"/>
  <Override PartName="/xl/charts/colors64.xml" ContentType="application/vnd.ms-office.chartcolorstyle+xml"/>
  <Override PartName="/xl/tables/table46.xml" ContentType="application/vnd.openxmlformats-officedocument.spreadsheetml.table+xml"/>
  <Override PartName="/xl/queryTables/queryTable28.xml" ContentType="application/vnd.openxmlformats-officedocument.spreadsheetml.queryTable+xml"/>
  <Override PartName="/xl/tables/table47.xml" ContentType="application/vnd.openxmlformats-officedocument.spreadsheetml.table+xml"/>
  <Override PartName="/xl/queryTables/queryTable29.xml" ContentType="application/vnd.openxmlformats-officedocument.spreadsheetml.queryTable+xml"/>
  <Override PartName="/xl/tables/table48.xml" ContentType="application/vnd.openxmlformats-officedocument.spreadsheetml.table+xml"/>
  <Override PartName="/xl/queryTables/queryTable30.xml" ContentType="application/vnd.openxmlformats-officedocument.spreadsheetml.queryTable+xml"/>
  <Override PartName="/xl/tables/table49.xml" ContentType="application/vnd.openxmlformats-officedocument.spreadsheetml.table+xml"/>
  <Override PartName="/xl/queryTables/queryTable31.xml" ContentType="application/vnd.openxmlformats-officedocument.spreadsheetml.queryTable+xml"/>
  <Override PartName="/xl/tables/table50.xml" ContentType="application/vnd.openxmlformats-officedocument.spreadsheetml.table+xml"/>
  <Override PartName="/xl/queryTables/queryTable32.xml" ContentType="application/vnd.openxmlformats-officedocument.spreadsheetml.queryTable+xml"/>
  <Override PartName="/xl/tables/table51.xml" ContentType="application/vnd.openxmlformats-officedocument.spreadsheetml.table+xml"/>
  <Override PartName="/xl/queryTables/queryTable33.xml" ContentType="application/vnd.openxmlformats-officedocument.spreadsheetml.queryTable+xml"/>
  <Override PartName="/xl/tables/table52.xml" ContentType="application/vnd.openxmlformats-officedocument.spreadsheetml.table+xml"/>
  <Override PartName="/xl/queryTables/queryTable34.xml" ContentType="application/vnd.openxmlformats-officedocument.spreadsheetml.queryTable+xml"/>
  <Override PartName="/xl/tables/table53.xml" ContentType="application/vnd.openxmlformats-officedocument.spreadsheetml.table+xml"/>
  <Override PartName="/xl/queryTables/queryTable35.xml" ContentType="application/vnd.openxmlformats-officedocument.spreadsheetml.queryTable+xml"/>
  <Override PartName="/xl/tables/table54.xml" ContentType="application/vnd.openxmlformats-officedocument.spreadsheetml.table+xml"/>
  <Override PartName="/xl/queryTables/queryTable36.xml" ContentType="application/vnd.openxmlformats-officedocument.spreadsheetml.queryTable+xml"/>
  <Override PartName="/xl/drawings/drawing26.xml" ContentType="application/vnd.openxmlformats-officedocument.drawing+xml"/>
  <Override PartName="/xl/tables/table55.xml" ContentType="application/vnd.openxmlformats-officedocument.spreadsheetml.table+xml"/>
  <Override PartName="/xl/queryTables/queryTable37.xml" ContentType="application/vnd.openxmlformats-officedocument.spreadsheetml.queryTable+xml"/>
  <Override PartName="/xl/charts/chart84.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27.xml" ContentType="application/vnd.openxmlformats-officedocument.drawingml.chartshapes+xml"/>
  <Override PartName="/xl/drawings/drawing28.xml" ContentType="application/vnd.openxmlformats-officedocument.drawing+xml"/>
  <Override PartName="/xl/tables/table56.xml" ContentType="application/vnd.openxmlformats-officedocument.spreadsheetml.table+xml"/>
  <Override PartName="/xl/queryTables/queryTable38.xml" ContentType="application/vnd.openxmlformats-officedocument.spreadsheetml.queryTable+xml"/>
  <Override PartName="/xl/charts/chart85.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29.xml" ContentType="application/vnd.openxmlformats-officedocument.drawingml.chartshapes+xml"/>
  <Override PartName="/xl/pivotTables/pivotTable1.xml" ContentType="application/vnd.openxmlformats-officedocument.spreadsheetml.pivotTable+xml"/>
  <Override PartName="/xl/tables/table57.xml" ContentType="application/vnd.openxmlformats-officedocument.spreadsheetml.table+xml"/>
  <Override PartName="/xl/tables/table58.xml" ContentType="application/vnd.openxmlformats-officedocument.spreadsheetml.table+xml"/>
  <Override PartName="/xl/queryTables/queryTable39.xml" ContentType="application/vnd.openxmlformats-officedocument.spreadsheetml.queryTable+xml"/>
  <Override PartName="/xl/tables/table59.xml" ContentType="application/vnd.openxmlformats-officedocument.spreadsheetml.table+xml"/>
  <Override PartName="/xl/queryTables/queryTable4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
    </mc:Choice>
  </mc:AlternateContent>
  <xr:revisionPtr revIDLastSave="0" documentId="13_ncr:1_{76B05197-4F99-46E6-819E-C66D7D4C5BFE}" xr6:coauthVersionLast="47" xr6:coauthVersionMax="47" xr10:uidLastSave="{00000000-0000-0000-0000-000000000000}"/>
  <bookViews>
    <workbookView xWindow="-120" yWindow="-120" windowWidth="38640" windowHeight="21840" activeTab="16"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jul" sheetId="42" r:id="rId9"/>
    <sheet name="ago" sheetId="43" r:id="rId10"/>
    <sheet name="sep" sheetId="44" r:id="rId11"/>
    <sheet name="oct" sheetId="45" r:id="rId12"/>
    <sheet name="powerrange" sheetId="39" r:id="rId13"/>
    <sheet name="gauss" sheetId="41" r:id="rId14"/>
    <sheet name="externo" sheetId="7" r:id="rId15"/>
    <sheet name="res_mes" sheetId="12" r:id="rId16"/>
    <sheet name="acum_porc" sheetId="32" r:id="rId17"/>
    <sheet name="acum_abs" sheetId="33" r:id="rId18"/>
    <sheet name="estadisticas" sheetId="35" r:id="rId19"/>
    <sheet name="jugadores_2024" sheetId="36" r:id="rId20"/>
    <sheet name="apuestas_2024" sheetId="46" r:id="rId21"/>
  </sheets>
  <externalReferences>
    <externalReference r:id="rId22"/>
  </externalReferences>
  <definedNames>
    <definedName name="_xlchart.v1.0" hidden="1">gauss!$B$3:$B$41</definedName>
    <definedName name="DatosExternos_1" localSheetId="5" hidden="1">abr!$A$6:$E$35</definedName>
    <definedName name="DatosExternos_1" localSheetId="17" hidden="1">acum_abs!$A$1:$J$96</definedName>
    <definedName name="DatosExternos_1" localSheetId="16" hidden="1">acum_porc!$A$1:$K$100</definedName>
    <definedName name="DatosExternos_1" localSheetId="9" hidden="1">ago!$A$6:$E$47</definedName>
    <definedName name="DatosExternos_1" localSheetId="20" hidden="1">apuestas_2024!$A$1:$C$392</definedName>
    <definedName name="DatosExternos_1" localSheetId="2" hidden="1">ene!$A$6:$E$42</definedName>
    <definedName name="DatosExternos_1" localSheetId="18" hidden="1">estadisticas!$A$1:$E$64</definedName>
    <definedName name="DatosExternos_1" localSheetId="14" hidden="1">externo!$A$3:$E$27</definedName>
    <definedName name="DatosExternos_1" localSheetId="3" hidden="1">feb!$A$6:$E$41</definedName>
    <definedName name="DatosExternos_1" localSheetId="0" hidden="1">in!$A$1:$H$373</definedName>
    <definedName name="DatosExternos_1" localSheetId="19" hidden="1">jugadores_2024!$A$1:$C$92</definedName>
    <definedName name="DatosExternos_1" localSheetId="8" hidden="1">jul!$A$6:$E$58</definedName>
    <definedName name="DatosExternos_1" localSheetId="7" hidden="1">jun!$A$6:$E$59</definedName>
    <definedName name="DatosExternos_1" localSheetId="4" hidden="1">mar!$A$6:$E$31</definedName>
    <definedName name="DatosExternos_1" localSheetId="6" hidden="1">may!$A$6:$E$49</definedName>
    <definedName name="DatosExternos_1" localSheetId="11" hidden="1">oct!$A$6:$E$45</definedName>
    <definedName name="DatosExternos_1" localSheetId="1" hidden="1">omie!$A$4:$B$298</definedName>
    <definedName name="DatosExternos_1" localSheetId="10" hidden="1">sep!$A$6:$E$45</definedName>
    <definedName name="DatosExternos_10" localSheetId="1" hidden="1">omie!$AB$4:$AC$34</definedName>
    <definedName name="DatosExternos_11" localSheetId="1" hidden="1">omie!$AE$4:$AF$24</definedName>
    <definedName name="DatosExternos_2" localSheetId="5" hidden="1">abr!$P$6:$Q$36</definedName>
    <definedName name="DatosExternos_2" localSheetId="2" hidden="1">ene!$P$6:$Q$37</definedName>
    <definedName name="DatosExternos_2" localSheetId="14" hidden="1">externo!$G$3:$I$34</definedName>
    <definedName name="DatosExternos_2" localSheetId="3" hidden="1">feb!$P$6:$Q$35</definedName>
    <definedName name="DatosExternos_2" localSheetId="4" hidden="1">mar!$P$6:$Q$37</definedName>
    <definedName name="DatosExternos_2" localSheetId="6" hidden="1">may!$P$6:$Q$37</definedName>
    <definedName name="DatosExternos_2" localSheetId="1" hidden="1">omie!$D$4:$E$35</definedName>
    <definedName name="DatosExternos_2" localSheetId="15" hidden="1">res_mes!$H$1:$M$36</definedName>
    <definedName name="DatosExternos_3" localSheetId="14" hidden="1">externo!$K$3:$M$34</definedName>
    <definedName name="DatosExternos_3" localSheetId="1" hidden="1">omie!$G$4:$H$33</definedName>
    <definedName name="DatosExternos_3" localSheetId="15" hidden="1">res_mes!$O$1:$T$26</definedName>
    <definedName name="DatosExternos_4" localSheetId="14" hidden="1">externo!$O$3:$AD$34</definedName>
    <definedName name="DatosExternos_4" localSheetId="1" hidden="1">omie!$J$4:$K$35</definedName>
    <definedName name="DatosExternos_4" localSheetId="15" hidden="1">res_mes!$V$1:$AA$30</definedName>
    <definedName name="DatosExternos_5" localSheetId="1" hidden="1">omie!$M$4:$N$34</definedName>
    <definedName name="DatosExternos_5" localSheetId="15" hidden="1">res_mes!$AC$1:$AH$44</definedName>
    <definedName name="DatosExternos_6" localSheetId="1" hidden="1">omie!$P$4:$Q$35</definedName>
    <definedName name="DatosExternos_6" localSheetId="15" hidden="1">res_mes!$A$41:$F$94</definedName>
    <definedName name="DatosExternos_7" localSheetId="1" hidden="1">omie!$S$4:$T$34</definedName>
    <definedName name="DatosExternos_8" localSheetId="1" hidden="1">omie!$V$4:$W$35</definedName>
    <definedName name="DatosExternos_9" localSheetId="1" hidden="1">omie!$Y$4:$Z$35</definedName>
  </definedNames>
  <calcPr calcId="181029"/>
  <pivotCaches>
    <pivotCache cacheId="0" r:id="rId23"/>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8" i="32" l="1"/>
  <c r="L30" i="32"/>
  <c r="L62" i="32"/>
  <c r="L63" i="32"/>
  <c r="N63" i="32" s="1"/>
  <c r="L19" i="32"/>
  <c r="L2" i="32"/>
  <c r="L64" i="32"/>
  <c r="N64" i="32" s="1"/>
  <c r="L46" i="32"/>
  <c r="L65" i="32"/>
  <c r="N65" i="32" s="1"/>
  <c r="L66" i="32"/>
  <c r="L26" i="32"/>
  <c r="L67" i="32"/>
  <c r="L14" i="32"/>
  <c r="L52" i="32"/>
  <c r="L31" i="32"/>
  <c r="N31" i="32" s="1"/>
  <c r="L27" i="32"/>
  <c r="N27" i="32" s="1"/>
  <c r="L47" i="32"/>
  <c r="L68" i="32"/>
  <c r="L69" i="32"/>
  <c r="L53" i="32"/>
  <c r="L48" i="32"/>
  <c r="N48" i="32" s="1"/>
  <c r="L70" i="32"/>
  <c r="L71" i="32"/>
  <c r="N71" i="32" s="1"/>
  <c r="L3" i="32"/>
  <c r="L4" i="32"/>
  <c r="L39" i="32"/>
  <c r="L54" i="32"/>
  <c r="L5" i="32"/>
  <c r="L72" i="32"/>
  <c r="L32" i="32"/>
  <c r="L73" i="32"/>
  <c r="L74" i="32"/>
  <c r="L6" i="32"/>
  <c r="N6" i="32" s="1"/>
  <c r="L49" i="32"/>
  <c r="N49" i="32" s="1"/>
  <c r="L75" i="32"/>
  <c r="N75" i="32" s="1"/>
  <c r="L15" i="32"/>
  <c r="L76" i="32"/>
  <c r="L20" i="32"/>
  <c r="L21" i="32"/>
  <c r="L77" i="32"/>
  <c r="L78" i="32"/>
  <c r="L79" i="32"/>
  <c r="L7" i="32"/>
  <c r="N7" i="32" s="1"/>
  <c r="L8" i="32"/>
  <c r="L80" i="32"/>
  <c r="N80" i="32" s="1"/>
  <c r="L33" i="32"/>
  <c r="L55" i="32"/>
  <c r="L40" i="32"/>
  <c r="L9" i="32"/>
  <c r="L81" i="32"/>
  <c r="N81" i="32" s="1"/>
  <c r="L34" i="32"/>
  <c r="L41" i="32"/>
  <c r="N41" i="32" s="1"/>
  <c r="L82" i="32"/>
  <c r="L10" i="32"/>
  <c r="L11" i="32"/>
  <c r="L56" i="32"/>
  <c r="L83" i="32"/>
  <c r="N83" i="32" s="1"/>
  <c r="L57" i="32"/>
  <c r="N57" i="32" s="1"/>
  <c r="L42" i="32"/>
  <c r="N42" i="32" s="1"/>
  <c r="L16" i="32"/>
  <c r="L84" i="32"/>
  <c r="L85" i="32"/>
  <c r="L12" i="32"/>
  <c r="N12" i="32" s="1"/>
  <c r="L17" i="32"/>
  <c r="N17" i="32" s="1"/>
  <c r="L86" i="32"/>
  <c r="L23" i="32"/>
  <c r="L87" i="32"/>
  <c r="N87" i="32" s="1"/>
  <c r="L50" i="32"/>
  <c r="L58" i="32"/>
  <c r="N58" i="32" s="1"/>
  <c r="L28" i="32"/>
  <c r="L88" i="32"/>
  <c r="L89" i="32"/>
  <c r="L90" i="32"/>
  <c r="L91" i="32"/>
  <c r="L92" i="32"/>
  <c r="L24" i="32"/>
  <c r="L93" i="32"/>
  <c r="L51" i="32"/>
  <c r="L94" i="32"/>
  <c r="L35" i="32"/>
  <c r="L59" i="32"/>
  <c r="N59" i="32" s="1"/>
  <c r="L43" i="32"/>
  <c r="L44" i="32"/>
  <c r="N44" i="32" s="1"/>
  <c r="L36" i="32"/>
  <c r="L22" i="32"/>
  <c r="L95" i="32"/>
  <c r="L29" i="32"/>
  <c r="N29" i="32" s="1"/>
  <c r="L13" i="32"/>
  <c r="N13" i="32" s="1"/>
  <c r="L60" i="32"/>
  <c r="L25" i="32"/>
  <c r="L61" i="32"/>
  <c r="L96" i="32"/>
  <c r="L45" i="32"/>
  <c r="N45" i="32" s="1"/>
  <c r="L97" i="32"/>
  <c r="L98" i="32"/>
  <c r="N98" i="32" s="1"/>
  <c r="L37" i="32"/>
  <c r="L99" i="32"/>
  <c r="L38" i="32"/>
  <c r="L100" i="32"/>
  <c r="N18" i="32"/>
  <c r="N30" i="32"/>
  <c r="N62" i="32"/>
  <c r="N19" i="32"/>
  <c r="N2" i="32"/>
  <c r="N46" i="32"/>
  <c r="N66" i="32"/>
  <c r="N14" i="32"/>
  <c r="N52" i="32"/>
  <c r="N47" i="32"/>
  <c r="N68" i="32"/>
  <c r="N69" i="32"/>
  <c r="N53" i="32"/>
  <c r="N70" i="32"/>
  <c r="N4" i="32"/>
  <c r="N39" i="32"/>
  <c r="N54" i="32"/>
  <c r="N72" i="32"/>
  <c r="N32" i="32"/>
  <c r="N73" i="32"/>
  <c r="N74" i="32"/>
  <c r="N76" i="32"/>
  <c r="N20" i="32"/>
  <c r="N21" i="32"/>
  <c r="N78" i="32"/>
  <c r="N79" i="32"/>
  <c r="N8" i="32"/>
  <c r="N55" i="32"/>
  <c r="N9" i="32"/>
  <c r="N34" i="32"/>
  <c r="N82" i="32"/>
  <c r="N10" i="32"/>
  <c r="N11" i="32"/>
  <c r="N56" i="32"/>
  <c r="N84" i="32"/>
  <c r="N85" i="32"/>
  <c r="N86" i="32"/>
  <c r="N23" i="32"/>
  <c r="N50" i="32"/>
  <c r="N28" i="32"/>
  <c r="N90" i="32"/>
  <c r="N91" i="32"/>
  <c r="N92" i="32"/>
  <c r="N24" i="32"/>
  <c r="N93" i="32"/>
  <c r="N51" i="32"/>
  <c r="N94" i="32"/>
  <c r="N35" i="32"/>
  <c r="N43" i="32"/>
  <c r="N22" i="32"/>
  <c r="N95" i="32"/>
  <c r="N60" i="32"/>
  <c r="N25" i="32"/>
  <c r="N61" i="32"/>
  <c r="N96" i="32"/>
  <c r="N97" i="32"/>
  <c r="N99" i="32"/>
  <c r="N38" i="32"/>
  <c r="N100" i="32"/>
  <c r="Q26" i="45"/>
  <c r="Q25" i="45"/>
  <c r="Q24" i="45"/>
  <c r="Q23" i="45"/>
  <c r="Q22" i="45"/>
  <c r="Q21" i="45"/>
  <c r="Q20" i="45"/>
  <c r="Q19" i="45"/>
  <c r="Q18" i="45"/>
  <c r="Q17" i="45"/>
  <c r="Q16" i="45"/>
  <c r="Q15" i="45"/>
  <c r="Q14" i="45"/>
  <c r="Q13" i="45"/>
  <c r="Q12" i="45"/>
  <c r="Q11" i="45"/>
  <c r="Q10" i="45"/>
  <c r="Q9" i="45"/>
  <c r="Q8" i="45"/>
  <c r="AE4" i="7"/>
  <c r="AE5" i="7"/>
  <c r="AE6" i="7"/>
  <c r="AE7" i="7"/>
  <c r="AE8" i="7"/>
  <c r="AE9" i="7"/>
  <c r="AE10" i="7"/>
  <c r="AE11" i="7"/>
  <c r="AE12" i="7"/>
  <c r="AE13" i="7"/>
  <c r="AE14" i="7"/>
  <c r="AE15" i="7"/>
  <c r="AE16" i="7"/>
  <c r="AE17" i="7"/>
  <c r="AE18" i="7"/>
  <c r="AE19" i="7"/>
  <c r="AE20" i="7"/>
  <c r="AE21" i="7"/>
  <c r="AE22" i="7"/>
  <c r="AE23" i="7"/>
  <c r="N33" i="32" l="1"/>
  <c r="N88" i="32"/>
  <c r="N5" i="32"/>
  <c r="N26" i="32"/>
  <c r="N77" i="32"/>
  <c r="N37" i="32"/>
  <c r="N36" i="32"/>
  <c r="N89" i="32"/>
  <c r="N16" i="32"/>
  <c r="N40" i="32"/>
  <c r="N15" i="32"/>
  <c r="N3" i="32"/>
  <c r="N67" i="32"/>
  <c r="U13" i="39" l="1"/>
  <c r="U12" i="39"/>
  <c r="U23" i="39"/>
  <c r="U10" i="39"/>
  <c r="U9" i="39"/>
  <c r="U21" i="39"/>
  <c r="P16" i="32" l="1"/>
  <c r="P10" i="32"/>
  <c r="P8" i="32"/>
  <c r="Q16" i="32"/>
  <c r="P18" i="32"/>
  <c r="Q7" i="45"/>
  <c r="F18" i="39" l="1"/>
  <c r="Q37" i="45"/>
  <c r="Q36" i="45"/>
  <c r="C38" i="39" s="1"/>
  <c r="Q35" i="45"/>
  <c r="C37" i="39" s="1"/>
  <c r="Q34" i="45"/>
  <c r="C36" i="39" s="1"/>
  <c r="Q33" i="45"/>
  <c r="C35" i="39" s="1"/>
  <c r="Q32" i="45"/>
  <c r="C34" i="39" s="1"/>
  <c r="Q31" i="45"/>
  <c r="C33" i="39" s="1"/>
  <c r="Q30" i="45"/>
  <c r="C32" i="39" s="1"/>
  <c r="Q29" i="45"/>
  <c r="C31" i="39" s="1"/>
  <c r="Q28" i="45"/>
  <c r="C30" i="39" s="1"/>
  <c r="Q27" i="45"/>
  <c r="C29" i="39" s="1"/>
  <c r="C28" i="39"/>
  <c r="C27" i="39"/>
  <c r="C26" i="39"/>
  <c r="C25" i="39"/>
  <c r="C24" i="39"/>
  <c r="C23" i="39"/>
  <c r="C22" i="39"/>
  <c r="C21" i="39"/>
  <c r="C20" i="39"/>
  <c r="C19" i="39"/>
  <c r="C18" i="39"/>
  <c r="C17" i="39"/>
  <c r="C16" i="39"/>
  <c r="C15" i="39"/>
  <c r="C14" i="39"/>
  <c r="C13" i="39"/>
  <c r="C12" i="39"/>
  <c r="C11" i="39"/>
  <c r="C10" i="39"/>
  <c r="C9" i="39"/>
  <c r="B5" i="45"/>
  <c r="B4" i="45"/>
  <c r="B3" i="45" s="1"/>
  <c r="AF3" i="1"/>
  <c r="M45" i="45"/>
  <c r="M46" i="39" s="1"/>
  <c r="L45" i="45"/>
  <c r="L46" i="39" s="1"/>
  <c r="M44" i="45"/>
  <c r="M45" i="39" s="1"/>
  <c r="L44" i="45"/>
  <c r="L45" i="39" s="1"/>
  <c r="M43" i="45"/>
  <c r="M44" i="39" s="1"/>
  <c r="L43" i="45"/>
  <c r="L44" i="39" s="1"/>
  <c r="M42" i="45"/>
  <c r="M43" i="39" s="1"/>
  <c r="L42" i="45"/>
  <c r="L43" i="39" s="1"/>
  <c r="M41" i="45"/>
  <c r="M42" i="39" s="1"/>
  <c r="L41" i="45"/>
  <c r="L42" i="39" s="1"/>
  <c r="M40" i="45"/>
  <c r="M41" i="39" s="1"/>
  <c r="L40" i="45"/>
  <c r="L41" i="39" s="1"/>
  <c r="M39" i="45"/>
  <c r="M40" i="39" s="1"/>
  <c r="L39" i="45"/>
  <c r="L40" i="39" s="1"/>
  <c r="M38" i="45"/>
  <c r="M39" i="39" s="1"/>
  <c r="L38" i="45"/>
  <c r="L39" i="39" s="1"/>
  <c r="M37" i="45"/>
  <c r="M38" i="39" s="1"/>
  <c r="L37" i="45"/>
  <c r="L38" i="39" s="1"/>
  <c r="M36" i="45"/>
  <c r="M37" i="39" s="1"/>
  <c r="L36" i="45"/>
  <c r="L37" i="39" s="1"/>
  <c r="M35" i="45"/>
  <c r="M36" i="39" s="1"/>
  <c r="L35" i="45"/>
  <c r="L36" i="39" s="1"/>
  <c r="M34" i="45"/>
  <c r="M35" i="39" s="1"/>
  <c r="L34" i="45"/>
  <c r="L35" i="39" s="1"/>
  <c r="M33" i="45"/>
  <c r="M34" i="39" s="1"/>
  <c r="L33" i="45"/>
  <c r="L34" i="39" s="1"/>
  <c r="M32" i="45"/>
  <c r="M33" i="39" s="1"/>
  <c r="L32" i="45"/>
  <c r="L33" i="39" s="1"/>
  <c r="M31" i="45"/>
  <c r="M32" i="39" s="1"/>
  <c r="L31" i="45"/>
  <c r="L32" i="39" s="1"/>
  <c r="M30" i="45"/>
  <c r="M31" i="39" s="1"/>
  <c r="L30" i="45"/>
  <c r="L31" i="39" s="1"/>
  <c r="M29" i="45"/>
  <c r="M30" i="39" s="1"/>
  <c r="L29" i="45"/>
  <c r="L30" i="39" s="1"/>
  <c r="M28" i="45"/>
  <c r="M29" i="39" s="1"/>
  <c r="L28" i="45"/>
  <c r="L29" i="39" s="1"/>
  <c r="M27" i="45"/>
  <c r="M28" i="39" s="1"/>
  <c r="L27" i="45"/>
  <c r="L28" i="39" s="1"/>
  <c r="M26" i="45"/>
  <c r="M27" i="39" s="1"/>
  <c r="L26" i="45"/>
  <c r="L27" i="39" s="1"/>
  <c r="M25" i="45"/>
  <c r="M26" i="39" s="1"/>
  <c r="L25" i="45"/>
  <c r="L26" i="39" s="1"/>
  <c r="M24" i="45"/>
  <c r="M25" i="39" s="1"/>
  <c r="L24" i="45"/>
  <c r="L25" i="39" s="1"/>
  <c r="M23" i="45"/>
  <c r="M24" i="39" s="1"/>
  <c r="L23" i="45"/>
  <c r="L24" i="39" s="1"/>
  <c r="M22" i="45"/>
  <c r="M23" i="39" s="1"/>
  <c r="L22" i="45"/>
  <c r="L23" i="39" s="1"/>
  <c r="M21" i="45"/>
  <c r="M22" i="39" s="1"/>
  <c r="L21" i="45"/>
  <c r="L22" i="39" s="1"/>
  <c r="M20" i="45"/>
  <c r="M21" i="39" s="1"/>
  <c r="L20" i="45"/>
  <c r="L21" i="39" s="1"/>
  <c r="M19" i="45"/>
  <c r="M20" i="39" s="1"/>
  <c r="L19" i="45"/>
  <c r="L20" i="39" s="1"/>
  <c r="M18" i="45"/>
  <c r="M19" i="39" s="1"/>
  <c r="L18" i="45"/>
  <c r="L19" i="39" s="1"/>
  <c r="M17" i="45"/>
  <c r="M18" i="39" s="1"/>
  <c r="L17" i="45"/>
  <c r="L18" i="39" s="1"/>
  <c r="M16" i="45"/>
  <c r="M17" i="39" s="1"/>
  <c r="L16" i="45"/>
  <c r="L17" i="39" s="1"/>
  <c r="M15" i="45"/>
  <c r="M16" i="39" s="1"/>
  <c r="L15" i="45"/>
  <c r="L16" i="39" s="1"/>
  <c r="M14" i="45"/>
  <c r="M15" i="39" s="1"/>
  <c r="L14" i="45"/>
  <c r="L15" i="39" s="1"/>
  <c r="M13" i="45"/>
  <c r="M14" i="39" s="1"/>
  <c r="L13" i="45"/>
  <c r="L14" i="39" s="1"/>
  <c r="M12" i="45"/>
  <c r="M13" i="39" s="1"/>
  <c r="L12" i="45"/>
  <c r="L13" i="39" s="1"/>
  <c r="M11" i="45"/>
  <c r="M12" i="39" s="1"/>
  <c r="L11" i="45"/>
  <c r="L12" i="39" s="1"/>
  <c r="M10" i="45"/>
  <c r="M11" i="39" s="1"/>
  <c r="L10" i="45"/>
  <c r="L11" i="39" s="1"/>
  <c r="M9" i="45"/>
  <c r="M10" i="39" s="1"/>
  <c r="L9" i="45"/>
  <c r="L10" i="39" s="1"/>
  <c r="M8" i="45"/>
  <c r="M9" i="39" s="1"/>
  <c r="L8" i="45"/>
  <c r="L9" i="39" s="1"/>
  <c r="M7" i="45"/>
  <c r="M8" i="39" s="1"/>
  <c r="L7" i="45"/>
  <c r="L8" i="39" s="1"/>
  <c r="H4" i="45"/>
  <c r="N3" i="45"/>
  <c r="H2" i="45"/>
  <c r="B2" i="45"/>
  <c r="B1" i="45"/>
  <c r="Q36" i="44"/>
  <c r="Q35" i="44"/>
  <c r="Q34" i="44"/>
  <c r="Q33" i="44"/>
  <c r="Q32" i="44"/>
  <c r="Q31" i="44"/>
  <c r="Q30" i="44"/>
  <c r="Q29" i="44"/>
  <c r="Q28" i="44"/>
  <c r="Q27" i="44"/>
  <c r="Q26" i="44"/>
  <c r="Q25" i="44"/>
  <c r="Q24" i="44"/>
  <c r="Q23" i="44"/>
  <c r="Q22" i="44"/>
  <c r="Q21" i="44"/>
  <c r="Q20" i="44"/>
  <c r="Q19" i="44"/>
  <c r="Q18" i="44"/>
  <c r="Q17" i="44"/>
  <c r="Q16" i="44"/>
  <c r="Q15" i="44"/>
  <c r="Q14" i="44"/>
  <c r="Q13" i="44"/>
  <c r="Q12" i="44"/>
  <c r="Q11" i="44"/>
  <c r="Q10" i="44"/>
  <c r="Q9" i="44"/>
  <c r="Q8" i="44"/>
  <c r="F15" i="39" l="1"/>
  <c r="F7" i="45"/>
  <c r="G7" i="45" s="1"/>
  <c r="F19" i="45"/>
  <c r="G19" i="45" s="1"/>
  <c r="F31" i="45"/>
  <c r="G31" i="45" s="1"/>
  <c r="F43" i="45"/>
  <c r="G43" i="45" s="1"/>
  <c r="F20" i="45"/>
  <c r="G20" i="45" s="1"/>
  <c r="F8" i="45"/>
  <c r="G8" i="45" s="1"/>
  <c r="F32" i="45"/>
  <c r="G32" i="45" s="1"/>
  <c r="F44" i="45"/>
  <c r="G44" i="45" s="1"/>
  <c r="F9" i="45"/>
  <c r="G9" i="45" s="1"/>
  <c r="F21" i="45"/>
  <c r="G21" i="45" s="1"/>
  <c r="F33" i="45"/>
  <c r="G33" i="45" s="1"/>
  <c r="F45" i="45"/>
  <c r="G45" i="45" s="1"/>
  <c r="F10" i="45"/>
  <c r="G10" i="45" s="1"/>
  <c r="F22" i="45"/>
  <c r="G22" i="45" s="1"/>
  <c r="F34" i="45"/>
  <c r="G34" i="45" s="1"/>
  <c r="F16" i="45"/>
  <c r="G16" i="45" s="1"/>
  <c r="F11" i="45"/>
  <c r="G11" i="45" s="1"/>
  <c r="F23" i="45"/>
  <c r="G23" i="45" s="1"/>
  <c r="F35" i="45"/>
  <c r="G35" i="45" s="1"/>
  <c r="F12" i="45"/>
  <c r="G12" i="45" s="1"/>
  <c r="F24" i="45"/>
  <c r="G24" i="45" s="1"/>
  <c r="F36" i="45"/>
  <c r="G36" i="45" s="1"/>
  <c r="F26" i="45"/>
  <c r="G26" i="45" s="1"/>
  <c r="F28" i="45"/>
  <c r="G28" i="45" s="1"/>
  <c r="F13" i="45"/>
  <c r="G13" i="45" s="1"/>
  <c r="F25" i="45"/>
  <c r="G25" i="45" s="1"/>
  <c r="F37" i="45"/>
  <c r="G37" i="45" s="1"/>
  <c r="F38" i="45"/>
  <c r="G38" i="45" s="1"/>
  <c r="F40" i="45"/>
  <c r="G40" i="45" s="1"/>
  <c r="F17" i="45"/>
  <c r="G17" i="45" s="1"/>
  <c r="F14" i="45"/>
  <c r="G14" i="45" s="1"/>
  <c r="F29" i="45"/>
  <c r="G29" i="45" s="1"/>
  <c r="F15" i="45"/>
  <c r="G15" i="45" s="1"/>
  <c r="F27" i="45"/>
  <c r="G27" i="45" s="1"/>
  <c r="F39" i="45"/>
  <c r="G39" i="45" s="1"/>
  <c r="F18" i="45"/>
  <c r="G18" i="45" s="1"/>
  <c r="F30" i="45"/>
  <c r="G30" i="45" s="1"/>
  <c r="F42" i="45"/>
  <c r="G42" i="45" s="1"/>
  <c r="F41" i="45"/>
  <c r="G41" i="45" s="1"/>
  <c r="L49" i="41"/>
  <c r="M50" i="41" s="1"/>
  <c r="R45" i="41"/>
  <c r="R46" i="41" s="1"/>
  <c r="P3" i="45"/>
  <c r="U34" i="39"/>
  <c r="N22" i="45" l="1"/>
  <c r="N7" i="45"/>
  <c r="N34" i="45"/>
  <c r="H16" i="45"/>
  <c r="H32" i="45"/>
  <c r="H40" i="45"/>
  <c r="H38" i="45"/>
  <c r="H36" i="45"/>
  <c r="H37" i="45"/>
  <c r="H39" i="45"/>
  <c r="H20" i="45"/>
  <c r="H18" i="45"/>
  <c r="H27" i="45"/>
  <c r="H13" i="45"/>
  <c r="H35" i="45"/>
  <c r="H31" i="45"/>
  <c r="H29" i="45"/>
  <c r="H28" i="45"/>
  <c r="H23" i="45"/>
  <c r="H14" i="45"/>
  <c r="H11" i="45"/>
  <c r="H24" i="45"/>
  <c r="H42" i="45"/>
  <c r="H45" i="45"/>
  <c r="H8" i="45"/>
  <c r="H33" i="45"/>
  <c r="H21" i="45"/>
  <c r="H41" i="45"/>
  <c r="H9" i="45"/>
  <c r="H10" i="45"/>
  <c r="H34" i="45"/>
  <c r="H12" i="45"/>
  <c r="H30" i="45"/>
  <c r="H26" i="45"/>
  <c r="H43" i="45"/>
  <c r="H22" i="45"/>
  <c r="H17" i="45"/>
  <c r="H15" i="45"/>
  <c r="H25" i="45"/>
  <c r="H44" i="45"/>
  <c r="H19" i="45"/>
  <c r="H7" i="45"/>
  <c r="N39" i="45"/>
  <c r="O22" i="45"/>
  <c r="O7" i="45"/>
  <c r="N31" i="45"/>
  <c r="N19" i="45"/>
  <c r="N43" i="45"/>
  <c r="N9" i="45"/>
  <c r="N14" i="45"/>
  <c r="N28" i="45"/>
  <c r="N10" i="45"/>
  <c r="N33" i="45"/>
  <c r="O14" i="45"/>
  <c r="N32" i="45"/>
  <c r="N37" i="45"/>
  <c r="N20" i="45"/>
  <c r="N18" i="45"/>
  <c r="N17" i="45"/>
  <c r="N12" i="45"/>
  <c r="N45" i="45"/>
  <c r="N35" i="45"/>
  <c r="O31" i="45"/>
  <c r="N40" i="45"/>
  <c r="N44" i="45"/>
  <c r="N11" i="45"/>
  <c r="N23" i="45"/>
  <c r="N27" i="45"/>
  <c r="O39" i="45"/>
  <c r="O21" i="45"/>
  <c r="O10" i="45"/>
  <c r="O26" i="45"/>
  <c r="N21" i="45"/>
  <c r="N16" i="45"/>
  <c r="N15" i="45"/>
  <c r="N25" i="45"/>
  <c r="N26" i="45"/>
  <c r="N30" i="45"/>
  <c r="N36" i="45"/>
  <c r="O18" i="45"/>
  <c r="O32" i="45"/>
  <c r="N24" i="45"/>
  <c r="N8" i="45"/>
  <c r="O27" i="45"/>
  <c r="O8" i="45"/>
  <c r="O41" i="45"/>
  <c r="O36" i="45"/>
  <c r="O38" i="45"/>
  <c r="O13" i="45"/>
  <c r="O40" i="45"/>
  <c r="O29" i="45"/>
  <c r="O17" i="45"/>
  <c r="O42" i="45"/>
  <c r="O30" i="45"/>
  <c r="O24" i="45"/>
  <c r="N29" i="45"/>
  <c r="N41" i="45"/>
  <c r="N42" i="45"/>
  <c r="N38" i="45"/>
  <c r="O25" i="45"/>
  <c r="N13" i="45"/>
  <c r="O44" i="45"/>
  <c r="O33" i="45"/>
  <c r="O28" i="45"/>
  <c r="K14" i="33"/>
  <c r="K25" i="33"/>
  <c r="K26" i="33"/>
  <c r="K27" i="33"/>
  <c r="K16" i="33"/>
  <c r="K24" i="33"/>
  <c r="K28" i="33"/>
  <c r="K29" i="33"/>
  <c r="K30" i="33"/>
  <c r="K31" i="33"/>
  <c r="K32" i="33"/>
  <c r="K33" i="33"/>
  <c r="K18" i="33"/>
  <c r="K34" i="33"/>
  <c r="K35" i="33"/>
  <c r="K36" i="33"/>
  <c r="K37" i="33"/>
  <c r="K38" i="33"/>
  <c r="K39" i="33"/>
  <c r="K40" i="33"/>
  <c r="K41" i="33"/>
  <c r="K15" i="33"/>
  <c r="K20" i="33"/>
  <c r="K42" i="33"/>
  <c r="K43" i="33"/>
  <c r="K12" i="33"/>
  <c r="K44" i="33"/>
  <c r="K45" i="33"/>
  <c r="K46" i="33"/>
  <c r="K47" i="33"/>
  <c r="K10" i="33"/>
  <c r="K48" i="33"/>
  <c r="K49" i="33"/>
  <c r="K11" i="33"/>
  <c r="K50" i="33"/>
  <c r="K9" i="33"/>
  <c r="K22" i="33"/>
  <c r="K51" i="33"/>
  <c r="K52" i="33"/>
  <c r="K53" i="33"/>
  <c r="K4" i="33"/>
  <c r="K2" i="33"/>
  <c r="K54" i="33"/>
  <c r="K55" i="33"/>
  <c r="K56" i="33"/>
  <c r="K13" i="33"/>
  <c r="K57" i="33"/>
  <c r="K58" i="33"/>
  <c r="K59" i="33"/>
  <c r="K60" i="33"/>
  <c r="K3" i="33"/>
  <c r="K21" i="33"/>
  <c r="K61" i="33"/>
  <c r="K62" i="33"/>
  <c r="K63" i="33"/>
  <c r="K64" i="33"/>
  <c r="K23" i="33"/>
  <c r="K65" i="33"/>
  <c r="K66" i="33"/>
  <c r="K5" i="33"/>
  <c r="K8" i="33"/>
  <c r="K67" i="33"/>
  <c r="K17" i="33"/>
  <c r="K68" i="33"/>
  <c r="K69" i="33"/>
  <c r="K70" i="33"/>
  <c r="K95" i="33"/>
  <c r="K71" i="33"/>
  <c r="K72" i="33"/>
  <c r="K73" i="33"/>
  <c r="K74" i="33"/>
  <c r="K75" i="33"/>
  <c r="K19" i="33"/>
  <c r="K76" i="33"/>
  <c r="K77" i="33"/>
  <c r="K78" i="33"/>
  <c r="K79" i="33"/>
  <c r="K80" i="33"/>
  <c r="K81" i="33"/>
  <c r="K82" i="33"/>
  <c r="K7" i="33"/>
  <c r="K83" i="33"/>
  <c r="K96" i="33"/>
  <c r="K6" i="33"/>
  <c r="K84" i="33"/>
  <c r="K85" i="33"/>
  <c r="K86" i="33"/>
  <c r="K87" i="33"/>
  <c r="K88" i="33"/>
  <c r="K89" i="33"/>
  <c r="K90" i="33"/>
  <c r="K91" i="33"/>
  <c r="K92" i="33"/>
  <c r="K93" i="33"/>
  <c r="K94" i="33"/>
  <c r="K14" i="45" l="1"/>
  <c r="K15" i="39" s="1"/>
  <c r="K22" i="45"/>
  <c r="K23" i="39" s="1"/>
  <c r="K34" i="45"/>
  <c r="K35" i="39" s="1"/>
  <c r="K8" i="45"/>
  <c r="K9" i="39" s="1"/>
  <c r="K43" i="45"/>
  <c r="K44" i="39" s="1"/>
  <c r="K35" i="45"/>
  <c r="K36" i="39" s="1"/>
  <c r="K28" i="45"/>
  <c r="K29" i="39" s="1"/>
  <c r="K16" i="45"/>
  <c r="K17" i="39" s="1"/>
  <c r="K9" i="45"/>
  <c r="K10" i="39" s="1"/>
  <c r="K41" i="45"/>
  <c r="K42" i="39" s="1"/>
  <c r="K27" i="45"/>
  <c r="K28" i="39" s="1"/>
  <c r="K38" i="45"/>
  <c r="K39" i="39" s="1"/>
  <c r="K29" i="45"/>
  <c r="K30" i="39" s="1"/>
  <c r="K13" i="45"/>
  <c r="K14" i="39" s="1"/>
  <c r="K37" i="45"/>
  <c r="K38" i="39" s="1"/>
  <c r="K36" i="45"/>
  <c r="K37" i="39" s="1"/>
  <c r="K10" i="45"/>
  <c r="K11" i="39" s="1"/>
  <c r="K33" i="45"/>
  <c r="K34" i="39" s="1"/>
  <c r="K40" i="45"/>
  <c r="K41" i="39" s="1"/>
  <c r="K30" i="45"/>
  <c r="K31" i="39" s="1"/>
  <c r="K24" i="45"/>
  <c r="K25" i="39" s="1"/>
  <c r="K32" i="45"/>
  <c r="K33" i="39" s="1"/>
  <c r="K19" i="45"/>
  <c r="K20" i="39" s="1"/>
  <c r="O34" i="45"/>
  <c r="K17" i="45"/>
  <c r="K18" i="39" s="1"/>
  <c r="K21" i="45"/>
  <c r="K22" i="39" s="1"/>
  <c r="K45" i="45"/>
  <c r="K46" i="39" s="1"/>
  <c r="K31" i="45"/>
  <c r="K32" i="39" s="1"/>
  <c r="K15" i="45"/>
  <c r="K16" i="39" s="1"/>
  <c r="K7" i="45"/>
  <c r="K8" i="39" s="1"/>
  <c r="K18" i="45"/>
  <c r="K19" i="39" s="1"/>
  <c r="K25" i="45"/>
  <c r="K26" i="39" s="1"/>
  <c r="K20" i="45"/>
  <c r="K21" i="39" s="1"/>
  <c r="K23" i="45"/>
  <c r="K24" i="39" s="1"/>
  <c r="K12" i="45"/>
  <c r="K13" i="39" s="1"/>
  <c r="K39" i="45"/>
  <c r="K40" i="39" s="1"/>
  <c r="K44" i="45"/>
  <c r="K45" i="39" s="1"/>
  <c r="K26" i="45"/>
  <c r="K27" i="39" s="1"/>
  <c r="K42" i="45"/>
  <c r="K43" i="39" s="1"/>
  <c r="K11" i="45"/>
  <c r="K12" i="39" s="1"/>
  <c r="O9" i="45"/>
  <c r="O43" i="45"/>
  <c r="O20" i="45"/>
  <c r="O16" i="45"/>
  <c r="O45" i="45"/>
  <c r="O15" i="45"/>
  <c r="O23" i="45"/>
  <c r="O37" i="45"/>
  <c r="O12" i="45"/>
  <c r="O35" i="45"/>
  <c r="O11" i="45"/>
  <c r="O19" i="45"/>
  <c r="Q7" i="44"/>
  <c r="F5" i="41"/>
  <c r="F4" i="41"/>
  <c r="F3" i="41"/>
  <c r="Q37" i="44"/>
  <c r="B5" i="44"/>
  <c r="B4" i="44"/>
  <c r="B3" i="44" s="1"/>
  <c r="AC3" i="1"/>
  <c r="M45" i="44"/>
  <c r="L45" i="44"/>
  <c r="M44" i="44"/>
  <c r="L44" i="44"/>
  <c r="M43" i="44"/>
  <c r="L43" i="44"/>
  <c r="M42" i="44"/>
  <c r="L42" i="44"/>
  <c r="M41" i="44"/>
  <c r="L41" i="44"/>
  <c r="M40" i="44"/>
  <c r="L40" i="44"/>
  <c r="M39" i="44"/>
  <c r="L39" i="44"/>
  <c r="M38" i="44"/>
  <c r="L38" i="44"/>
  <c r="M37" i="44"/>
  <c r="L37" i="44"/>
  <c r="M36" i="44"/>
  <c r="L36" i="44"/>
  <c r="M35" i="44"/>
  <c r="L35" i="44"/>
  <c r="M34" i="44"/>
  <c r="L34" i="44"/>
  <c r="M33" i="44"/>
  <c r="L33" i="44"/>
  <c r="M32" i="44"/>
  <c r="L32" i="44"/>
  <c r="M31" i="44"/>
  <c r="L31" i="44"/>
  <c r="M30" i="44"/>
  <c r="L30" i="44"/>
  <c r="M29" i="44"/>
  <c r="L29" i="44"/>
  <c r="M28" i="44"/>
  <c r="L28" i="44"/>
  <c r="M27" i="44"/>
  <c r="L27" i="44"/>
  <c r="M26" i="44"/>
  <c r="L26" i="44"/>
  <c r="M25" i="44"/>
  <c r="L25" i="44"/>
  <c r="M24" i="44"/>
  <c r="L24" i="44"/>
  <c r="M23" i="44"/>
  <c r="L23" i="44"/>
  <c r="M22" i="44"/>
  <c r="L22" i="44"/>
  <c r="M21" i="44"/>
  <c r="L21" i="44"/>
  <c r="M20" i="44"/>
  <c r="L20" i="44"/>
  <c r="M19" i="44"/>
  <c r="L19" i="44"/>
  <c r="M18" i="44"/>
  <c r="L18" i="44"/>
  <c r="M17" i="44"/>
  <c r="L17" i="44"/>
  <c r="M16" i="44"/>
  <c r="L16" i="44"/>
  <c r="M15" i="44"/>
  <c r="L15" i="44"/>
  <c r="M14" i="44"/>
  <c r="L14" i="44"/>
  <c r="M13" i="44"/>
  <c r="L13" i="44"/>
  <c r="M12" i="44"/>
  <c r="L12" i="44"/>
  <c r="M11" i="44"/>
  <c r="L11" i="44"/>
  <c r="M10" i="44"/>
  <c r="L10" i="44"/>
  <c r="M9" i="44"/>
  <c r="L9" i="44"/>
  <c r="M8" i="44"/>
  <c r="L8" i="44"/>
  <c r="M7" i="44"/>
  <c r="L7" i="44"/>
  <c r="H4" i="44"/>
  <c r="N3" i="44"/>
  <c r="H2" i="44"/>
  <c r="B2" i="44"/>
  <c r="B1" i="44"/>
  <c r="F7" i="44" l="1"/>
  <c r="G7" i="44" s="1"/>
  <c r="F19" i="44"/>
  <c r="G19" i="44" s="1"/>
  <c r="F31" i="44"/>
  <c r="G31" i="44" s="1"/>
  <c r="F43" i="44"/>
  <c r="G43" i="44" s="1"/>
  <c r="F8" i="44"/>
  <c r="G8" i="44" s="1"/>
  <c r="F20" i="44"/>
  <c r="G20" i="44" s="1"/>
  <c r="F32" i="44"/>
  <c r="G32" i="44" s="1"/>
  <c r="F44" i="44"/>
  <c r="G44" i="44" s="1"/>
  <c r="F39" i="44"/>
  <c r="G39" i="44" s="1"/>
  <c r="F9" i="44"/>
  <c r="G9" i="44" s="1"/>
  <c r="F21" i="44"/>
  <c r="G21" i="44" s="1"/>
  <c r="F33" i="44"/>
  <c r="G33" i="44" s="1"/>
  <c r="F45" i="44"/>
  <c r="G45" i="44" s="1"/>
  <c r="F14" i="44"/>
  <c r="G14" i="44" s="1"/>
  <c r="F10" i="44"/>
  <c r="G10" i="44" s="1"/>
  <c r="F22" i="44"/>
  <c r="G22" i="44" s="1"/>
  <c r="F34" i="44"/>
  <c r="G34" i="44" s="1"/>
  <c r="F38" i="44"/>
  <c r="G38" i="44" s="1"/>
  <c r="F15" i="44"/>
  <c r="G15" i="44" s="1"/>
  <c r="F11" i="44"/>
  <c r="G11" i="44" s="1"/>
  <c r="F23" i="44"/>
  <c r="G23" i="44" s="1"/>
  <c r="F35" i="44"/>
  <c r="G35" i="44" s="1"/>
  <c r="F26" i="44"/>
  <c r="G26" i="44" s="1"/>
  <c r="F27" i="44"/>
  <c r="G27" i="44" s="1"/>
  <c r="F12" i="44"/>
  <c r="G12" i="44" s="1"/>
  <c r="F24" i="44"/>
  <c r="G24" i="44" s="1"/>
  <c r="F36" i="44"/>
  <c r="G36" i="44" s="1"/>
  <c r="F13" i="44"/>
  <c r="G13" i="44" s="1"/>
  <c r="F25" i="44"/>
  <c r="G25" i="44" s="1"/>
  <c r="F37" i="44"/>
  <c r="G37" i="44" s="1"/>
  <c r="F16" i="44"/>
  <c r="G16" i="44" s="1"/>
  <c r="F28" i="44"/>
  <c r="G28" i="44" s="1"/>
  <c r="F40" i="44"/>
  <c r="G40" i="44" s="1"/>
  <c r="F17" i="44"/>
  <c r="G17" i="44" s="1"/>
  <c r="F29" i="44"/>
  <c r="G29" i="44" s="1"/>
  <c r="F41" i="44"/>
  <c r="G41" i="44" s="1"/>
  <c r="F18" i="44"/>
  <c r="G18" i="44" s="1"/>
  <c r="F30" i="44"/>
  <c r="G30" i="44" s="1"/>
  <c r="F42" i="44"/>
  <c r="G42" i="44" s="1"/>
  <c r="F25" i="39"/>
  <c r="P3" i="44"/>
  <c r="N45" i="44" l="1"/>
  <c r="N25" i="44"/>
  <c r="H23" i="44"/>
  <c r="H25" i="44"/>
  <c r="H40" i="44"/>
  <c r="H29" i="44"/>
  <c r="H32" i="44"/>
  <c r="H24" i="44"/>
  <c r="H44" i="44"/>
  <c r="H42" i="44"/>
  <c r="H30" i="44"/>
  <c r="H12" i="44"/>
  <c r="H8" i="44"/>
  <c r="H28" i="44"/>
  <c r="H14" i="44"/>
  <c r="H16" i="44"/>
  <c r="H27" i="44"/>
  <c r="H31" i="44"/>
  <c r="H45" i="44"/>
  <c r="H19" i="44"/>
  <c r="H41" i="44"/>
  <c r="H37" i="44"/>
  <c r="H33" i="44"/>
  <c r="H7" i="44"/>
  <c r="H38" i="44"/>
  <c r="H26" i="44"/>
  <c r="H35" i="44"/>
  <c r="H9" i="44"/>
  <c r="H34" i="44"/>
  <c r="H36" i="44"/>
  <c r="H22" i="44"/>
  <c r="H18" i="44"/>
  <c r="H10" i="44"/>
  <c r="H21" i="44"/>
  <c r="H43" i="44"/>
  <c r="H39" i="44"/>
  <c r="H17" i="44"/>
  <c r="H15" i="44"/>
  <c r="H13" i="44"/>
  <c r="H11" i="44"/>
  <c r="H20" i="44"/>
  <c r="N20" i="44"/>
  <c r="N32" i="44"/>
  <c r="N44" i="44"/>
  <c r="N43" i="44"/>
  <c r="N41" i="44"/>
  <c r="N39" i="44"/>
  <c r="N24" i="44"/>
  <c r="N34" i="44"/>
  <c r="N7" i="44"/>
  <c r="N18" i="44"/>
  <c r="N13" i="44"/>
  <c r="N8" i="44"/>
  <c r="N40" i="44"/>
  <c r="N19" i="44"/>
  <c r="N15" i="44"/>
  <c r="N21" i="44"/>
  <c r="N11" i="44"/>
  <c r="N38" i="44"/>
  <c r="N22" i="44"/>
  <c r="N36" i="44"/>
  <c r="N10" i="44"/>
  <c r="N27" i="44"/>
  <c r="O44" i="44"/>
  <c r="N26" i="44"/>
  <c r="O31" i="44"/>
  <c r="N16" i="44"/>
  <c r="N14" i="44"/>
  <c r="N9" i="44"/>
  <c r="O34" i="44"/>
  <c r="N42" i="44"/>
  <c r="N30" i="44"/>
  <c r="O15" i="44"/>
  <c r="N31" i="44"/>
  <c r="N23" i="44"/>
  <c r="O13" i="44"/>
  <c r="O40" i="44"/>
  <c r="N12" i="44"/>
  <c r="O27" i="44"/>
  <c r="N37" i="44"/>
  <c r="O8" i="44"/>
  <c r="N33" i="44"/>
  <c r="O29" i="44"/>
  <c r="O23" i="44"/>
  <c r="O17" i="44"/>
  <c r="O12" i="44"/>
  <c r="O33" i="44"/>
  <c r="O35" i="44"/>
  <c r="O28" i="44"/>
  <c r="O10" i="44"/>
  <c r="N28" i="44"/>
  <c r="O37" i="44"/>
  <c r="O18" i="44"/>
  <c r="O11" i="44"/>
  <c r="N17" i="44"/>
  <c r="N35" i="44"/>
  <c r="N29" i="44"/>
  <c r="O7" i="44"/>
  <c r="K8" i="44" l="1"/>
  <c r="O25" i="44"/>
  <c r="K40" i="44"/>
  <c r="K19" i="44"/>
  <c r="K9" i="44"/>
  <c r="K43" i="44"/>
  <c r="K39" i="44"/>
  <c r="K21" i="44"/>
  <c r="K7" i="44"/>
  <c r="K32" i="44"/>
  <c r="K17" i="44"/>
  <c r="K42" i="44"/>
  <c r="K33" i="44"/>
  <c r="K23" i="44"/>
  <c r="K30" i="44"/>
  <c r="K27" i="44"/>
  <c r="K34" i="44"/>
  <c r="K29" i="44"/>
  <c r="K25" i="44"/>
  <c r="K28" i="44"/>
  <c r="K15" i="44"/>
  <c r="K10" i="44"/>
  <c r="K16" i="44"/>
  <c r="K24" i="44"/>
  <c r="K13" i="44"/>
  <c r="K18" i="44"/>
  <c r="K26" i="44"/>
  <c r="K41" i="44"/>
  <c r="K14" i="44"/>
  <c r="K11" i="44"/>
  <c r="K35" i="44"/>
  <c r="K37" i="44"/>
  <c r="K12" i="44"/>
  <c r="K45" i="44"/>
  <c r="K44" i="44"/>
  <c r="K20" i="44"/>
  <c r="K31" i="44"/>
  <c r="K38" i="44"/>
  <c r="K22" i="44"/>
  <c r="K36" i="44"/>
  <c r="O32" i="44"/>
  <c r="O43" i="44"/>
  <c r="O21" i="44"/>
  <c r="O38" i="44"/>
  <c r="O30" i="44"/>
  <c r="O16" i="44"/>
  <c r="O20" i="44"/>
  <c r="O45" i="44"/>
  <c r="O14" i="44"/>
  <c r="O42" i="44"/>
  <c r="O24" i="44"/>
  <c r="O26" i="44"/>
  <c r="O22" i="44"/>
  <c r="O36" i="44"/>
  <c r="O19" i="44"/>
  <c r="O39" i="44"/>
  <c r="O41" i="44"/>
  <c r="O9" i="44"/>
  <c r="F16" i="39" l="1"/>
  <c r="Q37" i="43"/>
  <c r="Q36" i="43"/>
  <c r="Q35" i="43"/>
  <c r="Q34" i="43"/>
  <c r="Q33" i="43"/>
  <c r="Q32" i="43"/>
  <c r="Q31" i="43"/>
  <c r="Q30" i="43"/>
  <c r="Q29" i="43"/>
  <c r="Q28" i="43"/>
  <c r="Q27" i="43"/>
  <c r="Q26" i="43"/>
  <c r="Q25" i="43"/>
  <c r="Q24" i="43"/>
  <c r="Q23" i="43"/>
  <c r="Q22" i="43"/>
  <c r="Q21" i="43"/>
  <c r="Q20" i="43"/>
  <c r="Q19" i="43"/>
  <c r="Q18" i="43"/>
  <c r="Q17" i="43"/>
  <c r="Q16" i="43"/>
  <c r="Q15" i="43"/>
  <c r="Q14" i="43"/>
  <c r="Q13" i="43"/>
  <c r="Q12" i="43"/>
  <c r="Q11" i="43"/>
  <c r="Q10" i="43"/>
  <c r="Q9" i="43"/>
  <c r="Q8" i="43"/>
  <c r="Q37" i="42" l="1"/>
  <c r="Q2" i="32"/>
  <c r="P2" i="32"/>
  <c r="Q7" i="43" l="1"/>
  <c r="B5" i="43"/>
  <c r="B4" i="43"/>
  <c r="B3" i="43" s="1"/>
  <c r="Z3" i="1"/>
  <c r="M47" i="43"/>
  <c r="L47" i="43"/>
  <c r="M46" i="43"/>
  <c r="L46" i="43"/>
  <c r="M45" i="43"/>
  <c r="L45" i="43"/>
  <c r="M44" i="43"/>
  <c r="L44" i="43"/>
  <c r="M43" i="43"/>
  <c r="L43" i="43"/>
  <c r="M42" i="43"/>
  <c r="L42" i="43"/>
  <c r="M41" i="43"/>
  <c r="L41" i="43"/>
  <c r="M40" i="43"/>
  <c r="L40" i="43"/>
  <c r="M39" i="43"/>
  <c r="L39" i="43"/>
  <c r="M38" i="43"/>
  <c r="L38" i="43"/>
  <c r="M37" i="43"/>
  <c r="L37" i="43"/>
  <c r="M36" i="43"/>
  <c r="L36" i="43"/>
  <c r="M35" i="43"/>
  <c r="L35" i="43"/>
  <c r="M34" i="43"/>
  <c r="L34" i="43"/>
  <c r="M33" i="43"/>
  <c r="L33" i="43"/>
  <c r="M32" i="43"/>
  <c r="L32" i="43"/>
  <c r="M31" i="43"/>
  <c r="L31" i="43"/>
  <c r="M30" i="43"/>
  <c r="L30" i="43"/>
  <c r="M29" i="43"/>
  <c r="L29" i="43"/>
  <c r="M28" i="43"/>
  <c r="L28" i="43"/>
  <c r="M27" i="43"/>
  <c r="L27" i="43"/>
  <c r="M26" i="43"/>
  <c r="L26" i="43"/>
  <c r="M25" i="43"/>
  <c r="L25" i="43"/>
  <c r="M24" i="43"/>
  <c r="L24" i="43"/>
  <c r="M23" i="43"/>
  <c r="L23" i="43"/>
  <c r="M22" i="43"/>
  <c r="L22" i="43"/>
  <c r="M21" i="43"/>
  <c r="L21" i="43"/>
  <c r="M20" i="43"/>
  <c r="L20" i="43"/>
  <c r="M19" i="43"/>
  <c r="L19" i="43"/>
  <c r="M18" i="43"/>
  <c r="L18" i="43"/>
  <c r="M17" i="43"/>
  <c r="L17" i="43"/>
  <c r="M16" i="43"/>
  <c r="L16" i="43"/>
  <c r="M15" i="43"/>
  <c r="L15" i="43"/>
  <c r="M14" i="43"/>
  <c r="L14" i="43"/>
  <c r="M13" i="43"/>
  <c r="L13" i="43"/>
  <c r="M12" i="43"/>
  <c r="L12" i="43"/>
  <c r="M11" i="43"/>
  <c r="L11" i="43"/>
  <c r="M10" i="43"/>
  <c r="L10" i="43"/>
  <c r="M9" i="43"/>
  <c r="L9" i="43"/>
  <c r="M8" i="43"/>
  <c r="L8" i="43"/>
  <c r="M7" i="43"/>
  <c r="L7" i="43"/>
  <c r="H4" i="43"/>
  <c r="N3" i="43"/>
  <c r="H2" i="43"/>
  <c r="B2" i="43"/>
  <c r="B1" i="43"/>
  <c r="F10" i="43" l="1"/>
  <c r="G10" i="43" s="1"/>
  <c r="F22" i="43"/>
  <c r="G22" i="43" s="1"/>
  <c r="F34" i="43"/>
  <c r="G34" i="43" s="1"/>
  <c r="F46" i="43"/>
  <c r="G46" i="43" s="1"/>
  <c r="F11" i="43"/>
  <c r="G11" i="43" s="1"/>
  <c r="F23" i="43"/>
  <c r="G23" i="43" s="1"/>
  <c r="F35" i="43"/>
  <c r="G35" i="43" s="1"/>
  <c r="F47" i="43"/>
  <c r="G47" i="43" s="1"/>
  <c r="F26" i="43"/>
  <c r="G26" i="43" s="1"/>
  <c r="F27" i="43"/>
  <c r="G27" i="43" s="1"/>
  <c r="F16" i="43"/>
  <c r="G16" i="43" s="1"/>
  <c r="F17" i="43"/>
  <c r="G17" i="43" s="1"/>
  <c r="F41" i="43"/>
  <c r="G41" i="43" s="1"/>
  <c r="F12" i="43"/>
  <c r="G12" i="43" s="1"/>
  <c r="F24" i="43"/>
  <c r="G24" i="43" s="1"/>
  <c r="F36" i="43"/>
  <c r="G36" i="43" s="1"/>
  <c r="F13" i="43"/>
  <c r="G13" i="43" s="1"/>
  <c r="F25" i="43"/>
  <c r="G25" i="43" s="1"/>
  <c r="F37" i="43"/>
  <c r="G37" i="43" s="1"/>
  <c r="F14" i="43"/>
  <c r="G14" i="43" s="1"/>
  <c r="F38" i="43"/>
  <c r="G38" i="43" s="1"/>
  <c r="F15" i="43"/>
  <c r="G15" i="43" s="1"/>
  <c r="F39" i="43"/>
  <c r="N39" i="43" s="1"/>
  <c r="F28" i="43"/>
  <c r="G28" i="43" s="1"/>
  <c r="F40" i="43"/>
  <c r="G40" i="43" s="1"/>
  <c r="F29" i="43"/>
  <c r="G29" i="43" s="1"/>
  <c r="F18" i="43"/>
  <c r="N18" i="43" s="1"/>
  <c r="F30" i="43"/>
  <c r="G30" i="43" s="1"/>
  <c r="F42" i="43"/>
  <c r="G42" i="43" s="1"/>
  <c r="F7" i="43"/>
  <c r="G7" i="43" s="1"/>
  <c r="F19" i="43"/>
  <c r="G19" i="43" s="1"/>
  <c r="F31" i="43"/>
  <c r="G31" i="43" s="1"/>
  <c r="F43" i="43"/>
  <c r="G43" i="43" s="1"/>
  <c r="F8" i="43"/>
  <c r="G8" i="43" s="1"/>
  <c r="F20" i="43"/>
  <c r="G20" i="43" s="1"/>
  <c r="F32" i="43"/>
  <c r="G32" i="43" s="1"/>
  <c r="F44" i="43"/>
  <c r="G44" i="43" s="1"/>
  <c r="F9" i="43"/>
  <c r="G9" i="43" s="1"/>
  <c r="F21" i="43"/>
  <c r="G21" i="43" s="1"/>
  <c r="F33" i="43"/>
  <c r="G33" i="43" s="1"/>
  <c r="F45" i="43"/>
  <c r="G45" i="43" s="1"/>
  <c r="R47" i="41"/>
  <c r="P3" i="39"/>
  <c r="P3" i="43"/>
  <c r="N42" i="43" l="1"/>
  <c r="N31" i="43"/>
  <c r="G18" i="43"/>
  <c r="G39" i="43"/>
  <c r="N37" i="43"/>
  <c r="N7" i="43"/>
  <c r="N30" i="43"/>
  <c r="N17" i="43"/>
  <c r="N46" i="43"/>
  <c r="N36" i="43"/>
  <c r="N34" i="43"/>
  <c r="O17" i="43"/>
  <c r="N28" i="43"/>
  <c r="N23" i="43"/>
  <c r="N14" i="43"/>
  <c r="N11" i="43"/>
  <c r="N16" i="43"/>
  <c r="N38" i="43"/>
  <c r="N45" i="43"/>
  <c r="N20" i="43"/>
  <c r="N35" i="43"/>
  <c r="N44" i="43"/>
  <c r="N33" i="43"/>
  <c r="N40" i="43"/>
  <c r="N47" i="43"/>
  <c r="N9" i="43"/>
  <c r="N8" i="43"/>
  <c r="N10" i="43"/>
  <c r="N32" i="43"/>
  <c r="O30" i="43"/>
  <c r="N19" i="43"/>
  <c r="N27" i="43"/>
  <c r="N26" i="43"/>
  <c r="O43" i="43"/>
  <c r="N15" i="43"/>
  <c r="N24" i="43"/>
  <c r="N41" i="43"/>
  <c r="O44" i="43"/>
  <c r="N43" i="43"/>
  <c r="O9" i="43"/>
  <c r="O27" i="43"/>
  <c r="N13" i="43"/>
  <c r="O7" i="43"/>
  <c r="O36" i="43"/>
  <c r="O32" i="43"/>
  <c r="O8" i="43"/>
  <c r="O11" i="43"/>
  <c r="O20" i="43"/>
  <c r="O35" i="43"/>
  <c r="N29" i="43"/>
  <c r="N12" i="43"/>
  <c r="O33" i="43"/>
  <c r="O12" i="43"/>
  <c r="O25" i="43"/>
  <c r="O13" i="43"/>
  <c r="O21" i="43"/>
  <c r="O29" i="43"/>
  <c r="O22" i="43"/>
  <c r="N25" i="43"/>
  <c r="N22" i="43"/>
  <c r="N21" i="43"/>
  <c r="O47" i="43"/>
  <c r="O14" i="43"/>
  <c r="O28" i="43"/>
  <c r="O26" i="43"/>
  <c r="O38" i="43"/>
  <c r="O10" i="43"/>
  <c r="O40" i="43"/>
  <c r="Z6" i="41"/>
  <c r="Z5" i="41"/>
  <c r="H39" i="43" l="1"/>
  <c r="K39" i="43" s="1"/>
  <c r="H18" i="43"/>
  <c r="K18" i="43" s="1"/>
  <c r="H43" i="43"/>
  <c r="K43" i="43" s="1"/>
  <c r="H34" i="43"/>
  <c r="K34" i="43" s="1"/>
  <c r="H22" i="43"/>
  <c r="K22" i="43" s="1"/>
  <c r="H16" i="43"/>
  <c r="K16" i="43" s="1"/>
  <c r="H36" i="43"/>
  <c r="K36" i="43" s="1"/>
  <c r="H26" i="43"/>
  <c r="H37" i="43"/>
  <c r="K37" i="43" s="1"/>
  <c r="H32" i="43"/>
  <c r="K32" i="43" s="1"/>
  <c r="H8" i="43"/>
  <c r="K8" i="43" s="1"/>
  <c r="H31" i="43"/>
  <c r="K31" i="43" s="1"/>
  <c r="H28" i="43"/>
  <c r="K28" i="43" s="1"/>
  <c r="H7" i="43"/>
  <c r="K7" i="43" s="1"/>
  <c r="H33" i="43"/>
  <c r="K33" i="43" s="1"/>
  <c r="H41" i="43"/>
  <c r="K41" i="43" s="1"/>
  <c r="H15" i="43"/>
  <c r="K15" i="43" s="1"/>
  <c r="H11" i="43"/>
  <c r="K11" i="43" s="1"/>
  <c r="H45" i="43"/>
  <c r="K45" i="43" s="1"/>
  <c r="H14" i="43"/>
  <c r="K14" i="43" s="1"/>
  <c r="H40" i="43"/>
  <c r="K40" i="43" s="1"/>
  <c r="H10" i="43"/>
  <c r="K10" i="43" s="1"/>
  <c r="H12" i="43"/>
  <c r="K12" i="43" s="1"/>
  <c r="H13" i="43"/>
  <c r="K13" i="43" s="1"/>
  <c r="H35" i="43"/>
  <c r="K35" i="43" s="1"/>
  <c r="H23" i="43"/>
  <c r="K23" i="43" s="1"/>
  <c r="H38" i="43"/>
  <c r="K38" i="43" s="1"/>
  <c r="H19" i="43"/>
  <c r="K19" i="43" s="1"/>
  <c r="H25" i="43"/>
  <c r="K25" i="43" s="1"/>
  <c r="H20" i="43"/>
  <c r="K20" i="43" s="1"/>
  <c r="H30" i="43"/>
  <c r="K30" i="43" s="1"/>
  <c r="H21" i="43"/>
  <c r="K21" i="43" s="1"/>
  <c r="H9" i="43"/>
  <c r="K9" i="43" s="1"/>
  <c r="H42" i="43"/>
  <c r="K42" i="43" s="1"/>
  <c r="H24" i="43"/>
  <c r="K24" i="43" s="1"/>
  <c r="H17" i="43"/>
  <c r="K17" i="43" s="1"/>
  <c r="H44" i="43"/>
  <c r="K44" i="43" s="1"/>
  <c r="H29" i="43"/>
  <c r="K29" i="43" s="1"/>
  <c r="H46" i="43"/>
  <c r="K46" i="43" s="1"/>
  <c r="H47" i="43"/>
  <c r="K47" i="43" s="1"/>
  <c r="H27" i="43"/>
  <c r="K27" i="43" s="1"/>
  <c r="O39" i="43"/>
  <c r="O18" i="43"/>
  <c r="O46" i="43"/>
  <c r="O45" i="43"/>
  <c r="O34" i="43"/>
  <c r="O23" i="43"/>
  <c r="O15" i="43"/>
  <c r="O24" i="43"/>
  <c r="O31" i="43"/>
  <c r="O19" i="43"/>
  <c r="O37" i="43"/>
  <c r="O41" i="43"/>
  <c r="O16" i="43"/>
  <c r="O42" i="43"/>
  <c r="L58" i="42"/>
  <c r="M58" i="42"/>
  <c r="Q36" i="42"/>
  <c r="Q35" i="42"/>
  <c r="Q34" i="42"/>
  <c r="Q33" i="42"/>
  <c r="Q32" i="42"/>
  <c r="Q31" i="42"/>
  <c r="Q30" i="42"/>
  <c r="Q29" i="42"/>
  <c r="Q28" i="42"/>
  <c r="Q27" i="42"/>
  <c r="Q26" i="42"/>
  <c r="Q25" i="42"/>
  <c r="Q24" i="42"/>
  <c r="Q23" i="42"/>
  <c r="Q22" i="42"/>
  <c r="Q21" i="42"/>
  <c r="Q20" i="42"/>
  <c r="Q19" i="42"/>
  <c r="Q18" i="42"/>
  <c r="Q17" i="42"/>
  <c r="Q16" i="42"/>
  <c r="Q15" i="42"/>
  <c r="Q14" i="42"/>
  <c r="Q13" i="42"/>
  <c r="Q12" i="42"/>
  <c r="Q11" i="42"/>
  <c r="Q10" i="42"/>
  <c r="Q9" i="42"/>
  <c r="Q8" i="42"/>
  <c r="Q7" i="42"/>
  <c r="B5" i="42"/>
  <c r="K26" i="43" l="1"/>
  <c r="AI2" i="1"/>
  <c r="AJ2" i="1" s="1"/>
  <c r="W3" i="1"/>
  <c r="B4" i="42"/>
  <c r="M57" i="42"/>
  <c r="L57" i="42"/>
  <c r="M56" i="42"/>
  <c r="L56" i="42"/>
  <c r="M55" i="42"/>
  <c r="L55" i="42"/>
  <c r="M54" i="42"/>
  <c r="L54" i="42"/>
  <c r="M53" i="42"/>
  <c r="L53" i="42"/>
  <c r="M52" i="42"/>
  <c r="L52" i="42"/>
  <c r="M51" i="42"/>
  <c r="L51" i="42"/>
  <c r="M50" i="42"/>
  <c r="L50" i="42"/>
  <c r="M49" i="42"/>
  <c r="L49" i="42"/>
  <c r="M48" i="42"/>
  <c r="L48" i="42"/>
  <c r="M47" i="42"/>
  <c r="L47" i="42"/>
  <c r="M46" i="42"/>
  <c r="L46" i="42"/>
  <c r="M45" i="42"/>
  <c r="L45" i="42"/>
  <c r="M44" i="42"/>
  <c r="L44" i="42"/>
  <c r="M43" i="42"/>
  <c r="L43" i="42"/>
  <c r="M42" i="42"/>
  <c r="L42" i="42"/>
  <c r="M41" i="42"/>
  <c r="L41" i="42"/>
  <c r="M40" i="42"/>
  <c r="L40" i="42"/>
  <c r="M39" i="42"/>
  <c r="L39" i="42"/>
  <c r="M38" i="42"/>
  <c r="L38" i="42"/>
  <c r="M37" i="42"/>
  <c r="L37" i="42"/>
  <c r="M36" i="42"/>
  <c r="L36" i="42"/>
  <c r="M35" i="42"/>
  <c r="L35" i="42"/>
  <c r="M34" i="42"/>
  <c r="L34" i="42"/>
  <c r="M33" i="42"/>
  <c r="L33" i="42"/>
  <c r="M32" i="42"/>
  <c r="L32" i="42"/>
  <c r="M31" i="42"/>
  <c r="L31" i="42"/>
  <c r="M30" i="42"/>
  <c r="L30" i="42"/>
  <c r="M29" i="42"/>
  <c r="L29" i="42"/>
  <c r="M28" i="42"/>
  <c r="L28" i="42"/>
  <c r="M27" i="42"/>
  <c r="L27" i="42"/>
  <c r="M26" i="42"/>
  <c r="L26" i="42"/>
  <c r="M25" i="42"/>
  <c r="L25" i="42"/>
  <c r="M24" i="42"/>
  <c r="L24" i="42"/>
  <c r="M23" i="42"/>
  <c r="L23" i="42"/>
  <c r="M22" i="42"/>
  <c r="L22" i="42"/>
  <c r="M21" i="42"/>
  <c r="L21" i="42"/>
  <c r="M20" i="42"/>
  <c r="L20" i="42"/>
  <c r="M19" i="42"/>
  <c r="L19" i="42"/>
  <c r="M18" i="42"/>
  <c r="L18" i="42"/>
  <c r="M17" i="42"/>
  <c r="L17" i="42"/>
  <c r="M16" i="42"/>
  <c r="L16" i="42"/>
  <c r="M15" i="42"/>
  <c r="L15" i="42"/>
  <c r="M14" i="42"/>
  <c r="L14" i="42"/>
  <c r="M13" i="42"/>
  <c r="L13" i="42"/>
  <c r="M12" i="42"/>
  <c r="L12" i="42"/>
  <c r="M11" i="42"/>
  <c r="L11" i="42"/>
  <c r="M10" i="42"/>
  <c r="L10" i="42"/>
  <c r="M9" i="42"/>
  <c r="L9" i="42"/>
  <c r="M8" i="42"/>
  <c r="L8" i="42"/>
  <c r="M7" i="42"/>
  <c r="L7" i="42"/>
  <c r="H4" i="42"/>
  <c r="N3" i="42"/>
  <c r="H2" i="42"/>
  <c r="B2" i="42"/>
  <c r="B1" i="42"/>
  <c r="B3" i="42" l="1"/>
  <c r="F7" i="42" l="1"/>
  <c r="G7" i="42" s="1"/>
  <c r="F19" i="42"/>
  <c r="G19" i="42" s="1"/>
  <c r="F31" i="42"/>
  <c r="G31" i="42" s="1"/>
  <c r="F43" i="42"/>
  <c r="G43" i="42" s="1"/>
  <c r="F55" i="42"/>
  <c r="G55" i="42" s="1"/>
  <c r="F8" i="42"/>
  <c r="G8" i="42" s="1"/>
  <c r="F20" i="42"/>
  <c r="G20" i="42" s="1"/>
  <c r="F32" i="42"/>
  <c r="G32" i="42" s="1"/>
  <c r="F44" i="42"/>
  <c r="G44" i="42" s="1"/>
  <c r="F56" i="42"/>
  <c r="G56" i="42" s="1"/>
  <c r="F9" i="42"/>
  <c r="G9" i="42" s="1"/>
  <c r="F21" i="42"/>
  <c r="G21" i="42" s="1"/>
  <c r="F33" i="42"/>
  <c r="G33" i="42" s="1"/>
  <c r="F45" i="42"/>
  <c r="G45" i="42" s="1"/>
  <c r="F57" i="42"/>
  <c r="G57" i="42" s="1"/>
  <c r="F17" i="42"/>
  <c r="G17" i="42" s="1"/>
  <c r="F10" i="42"/>
  <c r="G10" i="42" s="1"/>
  <c r="F22" i="42"/>
  <c r="G22" i="42" s="1"/>
  <c r="F34" i="42"/>
  <c r="G34" i="42" s="1"/>
  <c r="F46" i="42"/>
  <c r="G46" i="42" s="1"/>
  <c r="F58" i="42"/>
  <c r="G58" i="42" s="1"/>
  <c r="F16" i="42"/>
  <c r="G16" i="42" s="1"/>
  <c r="F53" i="42"/>
  <c r="G53" i="42" s="1"/>
  <c r="F11" i="42"/>
  <c r="G11" i="42" s="1"/>
  <c r="F23" i="42"/>
  <c r="G23" i="42" s="1"/>
  <c r="F35" i="42"/>
  <c r="G35" i="42" s="1"/>
  <c r="F47" i="42"/>
  <c r="G47" i="42" s="1"/>
  <c r="F28" i="42"/>
  <c r="G28" i="42" s="1"/>
  <c r="F12" i="42"/>
  <c r="G12" i="42" s="1"/>
  <c r="F24" i="42"/>
  <c r="G24" i="42" s="1"/>
  <c r="F36" i="42"/>
  <c r="G36" i="42" s="1"/>
  <c r="F48" i="42"/>
  <c r="G48" i="42" s="1"/>
  <c r="F40" i="42"/>
  <c r="G40" i="42" s="1"/>
  <c r="F29" i="42"/>
  <c r="G29" i="42" s="1"/>
  <c r="F13" i="42"/>
  <c r="G13" i="42" s="1"/>
  <c r="F25" i="42"/>
  <c r="G25" i="42" s="1"/>
  <c r="F37" i="42"/>
  <c r="G37" i="42" s="1"/>
  <c r="F49" i="42"/>
  <c r="G49" i="42" s="1"/>
  <c r="F52" i="42"/>
  <c r="G52" i="42" s="1"/>
  <c r="F14" i="42"/>
  <c r="G14" i="42" s="1"/>
  <c r="F26" i="42"/>
  <c r="G26" i="42" s="1"/>
  <c r="F38" i="42"/>
  <c r="G38" i="42" s="1"/>
  <c r="F50" i="42"/>
  <c r="G50" i="42" s="1"/>
  <c r="F15" i="42"/>
  <c r="G15" i="42" s="1"/>
  <c r="F27" i="42"/>
  <c r="G27" i="42" s="1"/>
  <c r="F39" i="42"/>
  <c r="G39" i="42" s="1"/>
  <c r="F51" i="42"/>
  <c r="G51" i="42" s="1"/>
  <c r="F41" i="42"/>
  <c r="G41" i="42" s="1"/>
  <c r="F18" i="42"/>
  <c r="G18" i="42" s="1"/>
  <c r="F30" i="42"/>
  <c r="G30" i="42" s="1"/>
  <c r="F42" i="42"/>
  <c r="G42" i="42" s="1"/>
  <c r="F54" i="42"/>
  <c r="G54" i="42" s="1"/>
  <c r="F28" i="39"/>
  <c r="F29" i="39" s="1"/>
  <c r="P3" i="42"/>
  <c r="N31" i="42" l="1"/>
  <c r="H20" i="42"/>
  <c r="H47" i="42"/>
  <c r="H29" i="42"/>
  <c r="H17" i="42"/>
  <c r="H21" i="42"/>
  <c r="H9" i="42"/>
  <c r="H11" i="42"/>
  <c r="H36" i="42"/>
  <c r="H35" i="42"/>
  <c r="H16" i="42"/>
  <c r="H55" i="42"/>
  <c r="H33" i="42"/>
  <c r="H30" i="42"/>
  <c r="H46" i="42"/>
  <c r="H43" i="42"/>
  <c r="H8" i="42"/>
  <c r="H53" i="42"/>
  <c r="H18" i="42"/>
  <c r="H49" i="42"/>
  <c r="H56" i="42"/>
  <c r="H31" i="42"/>
  <c r="H48" i="42"/>
  <c r="H41" i="42"/>
  <c r="H28" i="42"/>
  <c r="H22" i="42"/>
  <c r="H23" i="42"/>
  <c r="H42" i="42"/>
  <c r="H58" i="42"/>
  <c r="H34" i="42"/>
  <c r="H10" i="42"/>
  <c r="H13" i="42"/>
  <c r="H7" i="42"/>
  <c r="H51" i="42"/>
  <c r="H32" i="42"/>
  <c r="H39" i="42"/>
  <c r="H19" i="42"/>
  <c r="H27" i="42"/>
  <c r="H12" i="42"/>
  <c r="H25" i="42"/>
  <c r="H50" i="42"/>
  <c r="H15" i="42"/>
  <c r="H45" i="42"/>
  <c r="H37" i="42"/>
  <c r="H38" i="42"/>
  <c r="H54" i="42"/>
  <c r="H44" i="42"/>
  <c r="H24" i="42"/>
  <c r="H40" i="42"/>
  <c r="H14" i="42"/>
  <c r="H52" i="42"/>
  <c r="H26" i="42"/>
  <c r="H57" i="42"/>
  <c r="N52" i="42"/>
  <c r="N7" i="42"/>
  <c r="O58" i="42"/>
  <c r="N58" i="42"/>
  <c r="N36" i="42"/>
  <c r="N56" i="42"/>
  <c r="O47" i="42"/>
  <c r="N32" i="42"/>
  <c r="N30" i="42"/>
  <c r="N53" i="42"/>
  <c r="N40" i="42"/>
  <c r="O24" i="42"/>
  <c r="O40" i="42"/>
  <c r="O57" i="42"/>
  <c r="N57" i="42"/>
  <c r="N29" i="42"/>
  <c r="N18" i="42"/>
  <c r="O51" i="42"/>
  <c r="N24" i="42"/>
  <c r="O7" i="42"/>
  <c r="N45" i="42"/>
  <c r="O43" i="42"/>
  <c r="O42" i="42"/>
  <c r="N21" i="42"/>
  <c r="N47" i="42"/>
  <c r="O11" i="42"/>
  <c r="O21" i="42"/>
  <c r="O38" i="42"/>
  <c r="O26" i="42"/>
  <c r="O52" i="42"/>
  <c r="N51" i="42"/>
  <c r="N49" i="42"/>
  <c r="N35" i="42"/>
  <c r="O16" i="42"/>
  <c r="O10" i="42"/>
  <c r="O20" i="42"/>
  <c r="N11" i="42"/>
  <c r="O19" i="42"/>
  <c r="N22" i="42"/>
  <c r="N15" i="42"/>
  <c r="O49" i="42"/>
  <c r="N14" i="42"/>
  <c r="O8" i="42"/>
  <c r="N50" i="42"/>
  <c r="N26" i="42"/>
  <c r="O15" i="42"/>
  <c r="N27" i="42"/>
  <c r="N23" i="42"/>
  <c r="O23" i="42"/>
  <c r="O33" i="42"/>
  <c r="N19" i="42"/>
  <c r="N44" i="42"/>
  <c r="N38" i="42"/>
  <c r="N20" i="42"/>
  <c r="N42" i="42"/>
  <c r="N9" i="42"/>
  <c r="N8" i="42"/>
  <c r="N25" i="42"/>
  <c r="N54" i="42"/>
  <c r="O28" i="42"/>
  <c r="N43" i="42"/>
  <c r="N28" i="42"/>
  <c r="N10" i="42"/>
  <c r="O54" i="42"/>
  <c r="O35" i="42"/>
  <c r="N17" i="42"/>
  <c r="O9" i="42"/>
  <c r="N41" i="42"/>
  <c r="O39" i="42"/>
  <c r="N13" i="42"/>
  <c r="O41" i="42"/>
  <c r="N33" i="42"/>
  <c r="N12" i="42"/>
  <c r="O13" i="42"/>
  <c r="N39" i="42"/>
  <c r="N48" i="42"/>
  <c r="O17" i="42"/>
  <c r="N55" i="42"/>
  <c r="O46" i="42"/>
  <c r="N46" i="42"/>
  <c r="O55" i="42"/>
  <c r="N34" i="42"/>
  <c r="O37" i="42"/>
  <c r="N37" i="42"/>
  <c r="N16" i="42"/>
  <c r="O56" i="42"/>
  <c r="O18" i="42"/>
  <c r="O36" i="42"/>
  <c r="O48" i="42"/>
  <c r="O44" i="42"/>
  <c r="O14" i="42"/>
  <c r="O50" i="42"/>
  <c r="O45" i="42"/>
  <c r="O12" i="42"/>
  <c r="O22" i="42"/>
  <c r="O34" i="42"/>
  <c r="O27" i="42"/>
  <c r="O25" i="42"/>
  <c r="K25" i="42" l="1"/>
  <c r="K12" i="42"/>
  <c r="K8" i="42"/>
  <c r="K15" i="42"/>
  <c r="K37" i="42"/>
  <c r="K44" i="42"/>
  <c r="K22" i="42"/>
  <c r="K41" i="42"/>
  <c r="K40" i="42"/>
  <c r="K16" i="42"/>
  <c r="K18" i="42"/>
  <c r="K57" i="42"/>
  <c r="K23" i="42"/>
  <c r="K54" i="42"/>
  <c r="K42" i="42"/>
  <c r="K56" i="42"/>
  <c r="K11" i="42"/>
  <c r="K29" i="42"/>
  <c r="K51" i="42"/>
  <c r="K58" i="42"/>
  <c r="K33" i="42"/>
  <c r="K53" i="42"/>
  <c r="K55" i="42"/>
  <c r="K30" i="42"/>
  <c r="K7" i="42"/>
  <c r="K52" i="42"/>
  <c r="K38" i="42"/>
  <c r="K13" i="42"/>
  <c r="K46" i="42"/>
  <c r="K14" i="42"/>
  <c r="K24" i="42"/>
  <c r="K48" i="42"/>
  <c r="K49" i="42"/>
  <c r="K21" i="42"/>
  <c r="K35" i="42"/>
  <c r="K34" i="42"/>
  <c r="K50" i="42"/>
  <c r="K32" i="42"/>
  <c r="K39" i="42"/>
  <c r="K19" i="42"/>
  <c r="K28" i="42"/>
  <c r="K36" i="42"/>
  <c r="K27" i="42"/>
  <c r="K9" i="42"/>
  <c r="K45" i="42"/>
  <c r="K43" i="42"/>
  <c r="O31" i="42"/>
  <c r="K20" i="42"/>
  <c r="K26" i="42"/>
  <c r="K10" i="42"/>
  <c r="K17" i="42"/>
  <c r="K47" i="42"/>
  <c r="K31" i="42"/>
  <c r="O29" i="42"/>
  <c r="O32" i="42"/>
  <c r="O30" i="42"/>
  <c r="O53" i="42"/>
  <c r="Q36" i="40"/>
  <c r="Q35" i="40"/>
  <c r="Q34" i="40"/>
  <c r="Q33" i="40"/>
  <c r="Q32" i="40"/>
  <c r="Q31" i="40"/>
  <c r="Q30" i="40"/>
  <c r="Q29" i="40"/>
  <c r="Q28" i="40"/>
  <c r="Q27" i="40"/>
  <c r="Q26" i="40"/>
  <c r="Q25" i="40"/>
  <c r="Q24" i="40"/>
  <c r="Q23" i="40"/>
  <c r="Q22" i="40"/>
  <c r="Q21" i="40"/>
  <c r="Q20" i="40"/>
  <c r="Q19" i="40"/>
  <c r="Q18" i="40"/>
  <c r="Q17" i="40"/>
  <c r="Q16" i="40"/>
  <c r="Q15" i="40"/>
  <c r="Q14" i="40"/>
  <c r="Q13" i="40"/>
  <c r="Q12" i="40"/>
  <c r="Q11" i="40"/>
  <c r="Q10" i="40"/>
  <c r="Q9" i="40"/>
  <c r="Q8" i="40"/>
  <c r="F22" i="39" l="1"/>
  <c r="F21" i="39"/>
  <c r="F23" i="39" l="1"/>
  <c r="O3" i="39"/>
  <c r="AA3" i="32" l="1"/>
  <c r="M90" i="32" l="1"/>
  <c r="M99" i="32"/>
  <c r="M44" i="32"/>
  <c r="M48" i="32"/>
  <c r="M9" i="32"/>
  <c r="M91" i="32"/>
  <c r="M38" i="32"/>
  <c r="M84" i="32"/>
  <c r="M70" i="32"/>
  <c r="M81" i="32"/>
  <c r="M92" i="32"/>
  <c r="M18" i="32"/>
  <c r="M71" i="32"/>
  <c r="M34" i="32"/>
  <c r="M51" i="32"/>
  <c r="M76" i="32"/>
  <c r="M2" i="32"/>
  <c r="M4" i="32"/>
  <c r="M46" i="32"/>
  <c r="M32" i="32"/>
  <c r="M10" i="32"/>
  <c r="M65" i="32"/>
  <c r="M74" i="32"/>
  <c r="M56" i="32"/>
  <c r="M14" i="32"/>
  <c r="M6" i="32"/>
  <c r="M52" i="32"/>
  <c r="M31" i="32"/>
  <c r="M20" i="32"/>
  <c r="M23" i="32"/>
  <c r="M22" i="32"/>
  <c r="M68" i="32"/>
  <c r="M79" i="32"/>
  <c r="M87" i="32"/>
  <c r="M25" i="32"/>
  <c r="M69" i="32"/>
  <c r="M7" i="32"/>
  <c r="M50" i="32"/>
  <c r="M96" i="32"/>
  <c r="M94" i="32"/>
  <c r="M67" i="32"/>
  <c r="M61" i="32"/>
  <c r="M77" i="32"/>
  <c r="M42" i="32"/>
  <c r="M17" i="32"/>
  <c r="M15" i="32"/>
  <c r="M8" i="32"/>
  <c r="M88" i="32"/>
  <c r="M5" i="32"/>
  <c r="M75" i="32"/>
  <c r="M13" i="32"/>
  <c r="M72" i="32"/>
  <c r="M30" i="32"/>
  <c r="M19" i="32"/>
  <c r="M35" i="32"/>
  <c r="M55" i="32"/>
  <c r="M41" i="32"/>
  <c r="M100" i="32"/>
  <c r="M98" i="32"/>
  <c r="M29" i="32"/>
  <c r="M54" i="32"/>
  <c r="M82" i="32"/>
  <c r="M43" i="32"/>
  <c r="M26" i="32"/>
  <c r="M60" i="32"/>
  <c r="M21" i="32"/>
  <c r="M64" i="32"/>
  <c r="M83" i="32"/>
  <c r="M93" i="32"/>
  <c r="M95" i="32"/>
  <c r="M45" i="32"/>
  <c r="M57" i="32"/>
  <c r="M47" i="32"/>
  <c r="M80" i="32"/>
  <c r="M53" i="32"/>
  <c r="M97" i="32"/>
  <c r="M58" i="32"/>
  <c r="M85" i="32"/>
  <c r="M63" i="32"/>
  <c r="M12" i="32"/>
  <c r="M11" i="32"/>
  <c r="M37" i="32"/>
  <c r="M28" i="32"/>
  <c r="M86" i="32"/>
  <c r="M62" i="32"/>
  <c r="M49" i="32"/>
  <c r="M66" i="32"/>
  <c r="M39" i="32"/>
  <c r="M59" i="32"/>
  <c r="M36" i="32"/>
  <c r="M33" i="32"/>
  <c r="M24" i="32"/>
  <c r="M89" i="32"/>
  <c r="M78" i="32"/>
  <c r="M40" i="32"/>
  <c r="M16" i="32"/>
  <c r="M27" i="32"/>
  <c r="M3" i="32"/>
  <c r="M73" i="32"/>
  <c r="V2" i="32"/>
  <c r="L16" i="33"/>
  <c r="L53" i="33"/>
  <c r="L79" i="33"/>
  <c r="L15" i="33"/>
  <c r="L68" i="33"/>
  <c r="L69" i="33"/>
  <c r="L24" i="33"/>
  <c r="L4" i="33"/>
  <c r="L80" i="33"/>
  <c r="L78" i="33"/>
  <c r="L31" i="33"/>
  <c r="L2" i="33"/>
  <c r="L87" i="33"/>
  <c r="L36" i="33"/>
  <c r="L21" i="33"/>
  <c r="L88" i="33"/>
  <c r="L62" i="33"/>
  <c r="L5" i="33"/>
  <c r="L11" i="33"/>
  <c r="L37" i="33"/>
  <c r="L61" i="33"/>
  <c r="L89" i="33"/>
  <c r="L38" i="33"/>
  <c r="L46" i="33"/>
  <c r="L47" i="33"/>
  <c r="L70" i="33"/>
  <c r="L93" i="33"/>
  <c r="L65" i="33"/>
  <c r="L45" i="33"/>
  <c r="L42" i="33"/>
  <c r="L27" i="33"/>
  <c r="L75" i="33"/>
  <c r="L23" i="33"/>
  <c r="L10" i="33"/>
  <c r="L86" i="33"/>
  <c r="L67" i="33"/>
  <c r="L22" i="33"/>
  <c r="L14" i="33"/>
  <c r="L58" i="33"/>
  <c r="L56" i="33"/>
  <c r="L39" i="33"/>
  <c r="L77" i="33"/>
  <c r="L60" i="33"/>
  <c r="L43" i="33"/>
  <c r="L55" i="33"/>
  <c r="L7" i="33"/>
  <c r="L95" i="33"/>
  <c r="L6" i="33"/>
  <c r="L76" i="33"/>
  <c r="L9" i="33"/>
  <c r="L49" i="33"/>
  <c r="L28" i="33"/>
  <c r="L17" i="33"/>
  <c r="L51" i="33"/>
  <c r="L18" i="33"/>
  <c r="L48" i="33"/>
  <c r="L29" i="33"/>
  <c r="L66" i="33"/>
  <c r="L59" i="33"/>
  <c r="L33" i="33"/>
  <c r="L41" i="33"/>
  <c r="L73" i="33"/>
  <c r="L3" i="33"/>
  <c r="L12" i="33"/>
  <c r="L63" i="33"/>
  <c r="L20" i="33"/>
  <c r="L84" i="33"/>
  <c r="L81" i="33"/>
  <c r="L72" i="33"/>
  <c r="L74" i="33"/>
  <c r="L30" i="33"/>
  <c r="L64" i="33"/>
  <c r="L52" i="33"/>
  <c r="L34" i="33"/>
  <c r="L35" i="33"/>
  <c r="L32" i="33"/>
  <c r="L8" i="33"/>
  <c r="L57" i="33"/>
  <c r="L83" i="33"/>
  <c r="L71" i="33"/>
  <c r="L44" i="33"/>
  <c r="L25" i="33"/>
  <c r="L94" i="33"/>
  <c r="L40" i="33"/>
  <c r="L82" i="33"/>
  <c r="L13" i="33"/>
  <c r="L90" i="33"/>
  <c r="L50" i="33"/>
  <c r="L19" i="33"/>
  <c r="L54" i="33"/>
  <c r="L26" i="33"/>
  <c r="L91" i="33"/>
  <c r="L96" i="33"/>
  <c r="L92" i="33"/>
  <c r="L85" i="33"/>
  <c r="Q7" i="40"/>
  <c r="F19" i="39" l="1"/>
  <c r="B5" i="40"/>
  <c r="L46" i="41"/>
  <c r="L55" i="40"/>
  <c r="L56" i="40"/>
  <c r="L57" i="40"/>
  <c r="L58" i="40"/>
  <c r="L59" i="40"/>
  <c r="M55" i="40"/>
  <c r="M56" i="40"/>
  <c r="M57" i="40"/>
  <c r="M58" i="40"/>
  <c r="M59" i="40"/>
  <c r="T3" i="1"/>
  <c r="C21" i="41" l="1"/>
  <c r="C3" i="41"/>
  <c r="F20" i="39"/>
  <c r="C13" i="41"/>
  <c r="C24" i="41"/>
  <c r="C20" i="41"/>
  <c r="C23" i="41"/>
  <c r="C11" i="41"/>
  <c r="D19" i="41"/>
  <c r="D18" i="41"/>
  <c r="D17" i="41"/>
  <c r="C10" i="41"/>
  <c r="D41" i="41"/>
  <c r="D40" i="41"/>
  <c r="C22" i="41"/>
  <c r="D16" i="41"/>
  <c r="C9" i="41"/>
  <c r="D38" i="41"/>
  <c r="D37" i="41"/>
  <c r="C19" i="41"/>
  <c r="D31" i="41"/>
  <c r="C36" i="41"/>
  <c r="D30" i="41"/>
  <c r="D6" i="41"/>
  <c r="D29" i="41"/>
  <c r="D5" i="41"/>
  <c r="C34" i="41"/>
  <c r="D28" i="41"/>
  <c r="D4" i="41"/>
  <c r="C33" i="41"/>
  <c r="C8" i="41"/>
  <c r="C32" i="41"/>
  <c r="C7" i="41"/>
  <c r="D21" i="41"/>
  <c r="D39" i="41"/>
  <c r="D15" i="41"/>
  <c r="D14" i="41"/>
  <c r="D7" i="41"/>
  <c r="C35" i="41"/>
  <c r="D27" i="41"/>
  <c r="D26" i="41"/>
  <c r="C31" i="41"/>
  <c r="C12" i="41"/>
  <c r="D25" i="41"/>
  <c r="C30" i="41"/>
  <c r="C6" i="41"/>
  <c r="D24" i="41"/>
  <c r="C29" i="41"/>
  <c r="C17" i="41"/>
  <c r="D35" i="41"/>
  <c r="D11" i="41"/>
  <c r="C40" i="41"/>
  <c r="C28" i="41"/>
  <c r="C16" i="41"/>
  <c r="C4" i="41"/>
  <c r="D34" i="41"/>
  <c r="D22" i="41"/>
  <c r="D10" i="41"/>
  <c r="C39" i="41"/>
  <c r="M46" i="41" s="1"/>
  <c r="C27" i="41"/>
  <c r="C15" i="41"/>
  <c r="D13" i="41"/>
  <c r="C18" i="41"/>
  <c r="D36" i="41"/>
  <c r="D12" i="41"/>
  <c r="C41" i="41"/>
  <c r="C5" i="41"/>
  <c r="D23" i="41"/>
  <c r="C38" i="41"/>
  <c r="C14" i="41"/>
  <c r="D33" i="41"/>
  <c r="D9" i="41"/>
  <c r="C26" i="41"/>
  <c r="D3" i="41"/>
  <c r="D32" i="41"/>
  <c r="D20" i="41"/>
  <c r="D8" i="41"/>
  <c r="C37" i="41"/>
  <c r="C25" i="41"/>
  <c r="F2" i="35"/>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M49" i="40"/>
  <c r="L49" i="40"/>
  <c r="M48" i="40"/>
  <c r="L48" i="40"/>
  <c r="M47" i="40"/>
  <c r="L47" i="40"/>
  <c r="M46" i="40"/>
  <c r="L46" i="40"/>
  <c r="M45" i="40"/>
  <c r="L45" i="40"/>
  <c r="M44" i="40"/>
  <c r="L44" i="40"/>
  <c r="M43" i="40"/>
  <c r="N44" i="39" s="1"/>
  <c r="O44" i="39" s="1"/>
  <c r="P45" i="39" s="1"/>
  <c r="R45" i="39" s="1"/>
  <c r="L43" i="40"/>
  <c r="M42" i="40"/>
  <c r="L42" i="40"/>
  <c r="M41" i="40"/>
  <c r="L41" i="40"/>
  <c r="M40" i="40"/>
  <c r="L40" i="40"/>
  <c r="M39" i="40"/>
  <c r="L39" i="40"/>
  <c r="M38" i="40"/>
  <c r="L38" i="40"/>
  <c r="M37" i="40"/>
  <c r="N38" i="39" s="1"/>
  <c r="O38" i="39" s="1"/>
  <c r="P39" i="39" s="1"/>
  <c r="R39" i="39" s="1"/>
  <c r="L37" i="40"/>
  <c r="M36" i="40"/>
  <c r="L36" i="40"/>
  <c r="M35" i="40"/>
  <c r="L35" i="40"/>
  <c r="M34" i="40"/>
  <c r="L34" i="40"/>
  <c r="M33" i="40"/>
  <c r="L33" i="40"/>
  <c r="M32" i="40"/>
  <c r="L32" i="40"/>
  <c r="M31" i="40"/>
  <c r="N32" i="39" s="1"/>
  <c r="O32" i="39" s="1"/>
  <c r="P33" i="39" s="1"/>
  <c r="R33" i="39" s="1"/>
  <c r="L31" i="40"/>
  <c r="M30" i="40"/>
  <c r="L30" i="40"/>
  <c r="M29" i="40"/>
  <c r="L29" i="40"/>
  <c r="M28" i="40"/>
  <c r="L28" i="40"/>
  <c r="M27" i="40"/>
  <c r="L27" i="40"/>
  <c r="M26" i="40"/>
  <c r="L26" i="40"/>
  <c r="M25" i="40"/>
  <c r="N26" i="39" s="1"/>
  <c r="O26" i="39" s="1"/>
  <c r="P27" i="39" s="1"/>
  <c r="R27" i="39" s="1"/>
  <c r="L25" i="40"/>
  <c r="M24" i="40"/>
  <c r="L24" i="40"/>
  <c r="M23" i="40"/>
  <c r="L23" i="40"/>
  <c r="M22" i="40"/>
  <c r="L22" i="40"/>
  <c r="M21" i="40"/>
  <c r="L21" i="40"/>
  <c r="M20" i="40"/>
  <c r="L20" i="40"/>
  <c r="M19" i="40"/>
  <c r="N20" i="39" s="1"/>
  <c r="O20" i="39" s="1"/>
  <c r="P21" i="39" s="1"/>
  <c r="R21" i="39" s="1"/>
  <c r="L19" i="40"/>
  <c r="M18" i="40"/>
  <c r="L18" i="40"/>
  <c r="M17" i="40"/>
  <c r="L17" i="40"/>
  <c r="M16" i="40"/>
  <c r="L16" i="40"/>
  <c r="M15" i="40"/>
  <c r="L15" i="40"/>
  <c r="M14" i="40"/>
  <c r="L14" i="40"/>
  <c r="M13" i="40"/>
  <c r="N14" i="39" s="1"/>
  <c r="O14" i="39" s="1"/>
  <c r="P15" i="39" s="1"/>
  <c r="R15" i="39" s="1"/>
  <c r="L13" i="40"/>
  <c r="M12" i="40"/>
  <c r="L12" i="40"/>
  <c r="M11" i="40"/>
  <c r="L11" i="40"/>
  <c r="M10" i="40"/>
  <c r="L10" i="40"/>
  <c r="M9" i="40"/>
  <c r="L9" i="40"/>
  <c r="M8" i="40"/>
  <c r="L8" i="40"/>
  <c r="M7" i="40"/>
  <c r="N8" i="39" s="1"/>
  <c r="O8" i="39" s="1"/>
  <c r="P9" i="39" s="1"/>
  <c r="R9" i="39" s="1"/>
  <c r="L7" i="40"/>
  <c r="H4" i="40"/>
  <c r="N3" i="40"/>
  <c r="H2" i="40"/>
  <c r="B2" i="40"/>
  <c r="B1" i="40"/>
  <c r="F13" i="41" l="1"/>
  <c r="N10" i="39"/>
  <c r="O10" i="39" s="1"/>
  <c r="P11" i="39" s="1"/>
  <c r="R11" i="39" s="1"/>
  <c r="N16" i="39"/>
  <c r="O16" i="39" s="1"/>
  <c r="P17" i="39" s="1"/>
  <c r="R17" i="39" s="1"/>
  <c r="N22" i="39"/>
  <c r="O22" i="39" s="1"/>
  <c r="P23" i="39" s="1"/>
  <c r="R23" i="39" s="1"/>
  <c r="N28" i="39"/>
  <c r="O28" i="39" s="1"/>
  <c r="P29" i="39" s="1"/>
  <c r="R29" i="39" s="1"/>
  <c r="N34" i="39"/>
  <c r="O34" i="39" s="1"/>
  <c r="P35" i="39" s="1"/>
  <c r="R35" i="39" s="1"/>
  <c r="N46" i="39"/>
  <c r="O46" i="39" s="1"/>
  <c r="N13" i="39"/>
  <c r="O13" i="39" s="1"/>
  <c r="P14" i="39" s="1"/>
  <c r="R14" i="39" s="1"/>
  <c r="N25" i="39"/>
  <c r="O25" i="39" s="1"/>
  <c r="P26" i="39" s="1"/>
  <c r="R26" i="39" s="1"/>
  <c r="N37" i="39"/>
  <c r="O37" i="39" s="1"/>
  <c r="P38" i="39" s="1"/>
  <c r="R38" i="39" s="1"/>
  <c r="N31" i="39"/>
  <c r="O31" i="39" s="1"/>
  <c r="P32" i="39" s="1"/>
  <c r="R32" i="39" s="1"/>
  <c r="N9" i="39"/>
  <c r="O9" i="39" s="1"/>
  <c r="P10" i="39" s="1"/>
  <c r="R10" i="39" s="1"/>
  <c r="N15" i="39"/>
  <c r="O15" i="39" s="1"/>
  <c r="P16" i="39" s="1"/>
  <c r="R16" i="39" s="1"/>
  <c r="N21" i="39"/>
  <c r="O21" i="39" s="1"/>
  <c r="P22" i="39" s="1"/>
  <c r="R22" i="39" s="1"/>
  <c r="N27" i="39"/>
  <c r="O27" i="39" s="1"/>
  <c r="P28" i="39" s="1"/>
  <c r="R28" i="39" s="1"/>
  <c r="N33" i="39"/>
  <c r="O33" i="39" s="1"/>
  <c r="P34" i="39" s="1"/>
  <c r="R34" i="39" s="1"/>
  <c r="N39" i="39"/>
  <c r="O39" i="39" s="1"/>
  <c r="P40" i="39" s="1"/>
  <c r="R40" i="39" s="1"/>
  <c r="N45" i="39"/>
  <c r="O45" i="39" s="1"/>
  <c r="P46" i="39" s="1"/>
  <c r="R46" i="39" s="1"/>
  <c r="N19" i="39"/>
  <c r="O19" i="39" s="1"/>
  <c r="P20" i="39" s="1"/>
  <c r="R20" i="39" s="1"/>
  <c r="N43" i="39"/>
  <c r="O43" i="39" s="1"/>
  <c r="P44" i="39" s="1"/>
  <c r="R44" i="39" s="1"/>
  <c r="N40" i="39"/>
  <c r="O40" i="39" s="1"/>
  <c r="P41" i="39" s="1"/>
  <c r="R41" i="39" s="1"/>
  <c r="N11" i="39"/>
  <c r="O11" i="39" s="1"/>
  <c r="P12" i="39" s="1"/>
  <c r="R12" i="39" s="1"/>
  <c r="N17" i="39"/>
  <c r="O17" i="39" s="1"/>
  <c r="P18" i="39" s="1"/>
  <c r="R18" i="39" s="1"/>
  <c r="N23" i="39"/>
  <c r="O23" i="39" s="1"/>
  <c r="P24" i="39" s="1"/>
  <c r="R24" i="39" s="1"/>
  <c r="N29" i="39"/>
  <c r="O29" i="39" s="1"/>
  <c r="P30" i="39" s="1"/>
  <c r="R30" i="39" s="1"/>
  <c r="N35" i="39"/>
  <c r="O35" i="39" s="1"/>
  <c r="P36" i="39" s="1"/>
  <c r="R36" i="39" s="1"/>
  <c r="N41" i="39"/>
  <c r="O41" i="39" s="1"/>
  <c r="P42" i="39" s="1"/>
  <c r="R42" i="39" s="1"/>
  <c r="N12" i="39"/>
  <c r="O12" i="39" s="1"/>
  <c r="P13" i="39" s="1"/>
  <c r="R13" i="39" s="1"/>
  <c r="N18" i="39"/>
  <c r="O18" i="39" s="1"/>
  <c r="P19" i="39" s="1"/>
  <c r="R19" i="39" s="1"/>
  <c r="N24" i="39"/>
  <c r="O24" i="39" s="1"/>
  <c r="P25" i="39" s="1"/>
  <c r="R25" i="39" s="1"/>
  <c r="N30" i="39"/>
  <c r="O30" i="39" s="1"/>
  <c r="P31" i="39" s="1"/>
  <c r="R31" i="39" s="1"/>
  <c r="N36" i="39"/>
  <c r="O36" i="39" s="1"/>
  <c r="P37" i="39" s="1"/>
  <c r="R37" i="39" s="1"/>
  <c r="N42" i="39"/>
  <c r="O42" i="39" s="1"/>
  <c r="P43" i="39" s="1"/>
  <c r="R43" i="39" s="1"/>
  <c r="B3" i="40"/>
  <c r="F9" i="40" l="1"/>
  <c r="G9" i="40" s="1"/>
  <c r="F21" i="40"/>
  <c r="G21" i="40" s="1"/>
  <c r="F33" i="40"/>
  <c r="G33" i="40" s="1"/>
  <c r="F45" i="40"/>
  <c r="G45" i="40" s="1"/>
  <c r="F57" i="40"/>
  <c r="G57" i="40" s="1"/>
  <c r="F50" i="40"/>
  <c r="G50" i="40" s="1"/>
  <c r="F27" i="40"/>
  <c r="G27" i="40" s="1"/>
  <c r="F40" i="40"/>
  <c r="G40" i="40" s="1"/>
  <c r="F29" i="40"/>
  <c r="G29" i="40" s="1"/>
  <c r="F44" i="40"/>
  <c r="G44" i="40" s="1"/>
  <c r="F10" i="40"/>
  <c r="G10" i="40" s="1"/>
  <c r="F22" i="40"/>
  <c r="G22" i="40" s="1"/>
  <c r="F34" i="40"/>
  <c r="G34" i="40" s="1"/>
  <c r="F46" i="40"/>
  <c r="G46" i="40" s="1"/>
  <c r="F58" i="40"/>
  <c r="G58" i="40" s="1"/>
  <c r="F51" i="40"/>
  <c r="G51" i="40" s="1"/>
  <c r="F16" i="40"/>
  <c r="G16" i="40" s="1"/>
  <c r="F41" i="40"/>
  <c r="G41" i="40" s="1"/>
  <c r="F32" i="40"/>
  <c r="G32" i="40" s="1"/>
  <c r="F11" i="40"/>
  <c r="G11" i="40" s="1"/>
  <c r="F23" i="40"/>
  <c r="G23" i="40" s="1"/>
  <c r="F35" i="40"/>
  <c r="G35" i="40" s="1"/>
  <c r="F47" i="40"/>
  <c r="G47" i="40" s="1"/>
  <c r="F59" i="40"/>
  <c r="G59" i="40" s="1"/>
  <c r="F38" i="40"/>
  <c r="G38" i="40" s="1"/>
  <c r="F56" i="40"/>
  <c r="G56" i="40" s="1"/>
  <c r="F12" i="40"/>
  <c r="G12" i="40" s="1"/>
  <c r="F24" i="40"/>
  <c r="G24" i="40" s="1"/>
  <c r="F36" i="40"/>
  <c r="G36" i="40" s="1"/>
  <c r="F48" i="40"/>
  <c r="G48" i="40" s="1"/>
  <c r="F26" i="40"/>
  <c r="G26" i="40" s="1"/>
  <c r="F39" i="40"/>
  <c r="G39" i="40" s="1"/>
  <c r="F28" i="40"/>
  <c r="G28" i="40" s="1"/>
  <c r="F53" i="40"/>
  <c r="G53" i="40" s="1"/>
  <c r="F8" i="40"/>
  <c r="G8" i="40" s="1"/>
  <c r="F13" i="40"/>
  <c r="G13" i="40" s="1"/>
  <c r="F25" i="40"/>
  <c r="G25" i="40" s="1"/>
  <c r="F37" i="40"/>
  <c r="G37" i="40" s="1"/>
  <c r="F49" i="40"/>
  <c r="G49" i="40" s="1"/>
  <c r="F14" i="40"/>
  <c r="G14" i="40" s="1"/>
  <c r="F15" i="40"/>
  <c r="G15" i="40" s="1"/>
  <c r="F52" i="40"/>
  <c r="G52" i="40" s="1"/>
  <c r="F17" i="40"/>
  <c r="G17" i="40" s="1"/>
  <c r="F18" i="40"/>
  <c r="G18" i="40" s="1"/>
  <c r="F30" i="40"/>
  <c r="G30" i="40" s="1"/>
  <c r="F42" i="40"/>
  <c r="G42" i="40" s="1"/>
  <c r="F54" i="40"/>
  <c r="G54" i="40" s="1"/>
  <c r="F7" i="40"/>
  <c r="G7" i="40" s="1"/>
  <c r="F19" i="40"/>
  <c r="G19" i="40" s="1"/>
  <c r="F31" i="40"/>
  <c r="G31" i="40" s="1"/>
  <c r="F43" i="40"/>
  <c r="G43" i="40" s="1"/>
  <c r="F55" i="40"/>
  <c r="G55" i="40" s="1"/>
  <c r="F20" i="40"/>
  <c r="G20" i="40" s="1"/>
  <c r="P3" i="40"/>
  <c r="C40" i="39"/>
  <c r="C43" i="39"/>
  <c r="C42" i="39"/>
  <c r="C41" i="39"/>
  <c r="H32" i="40" l="1"/>
  <c r="H14" i="40"/>
  <c r="H12" i="40"/>
  <c r="H28" i="40"/>
  <c r="H38" i="40"/>
  <c r="H54" i="40"/>
  <c r="H59" i="40"/>
  <c r="H16" i="40"/>
  <c r="H58" i="40"/>
  <c r="H18" i="40"/>
  <c r="H35" i="40"/>
  <c r="H29" i="40"/>
  <c r="H20" i="40"/>
  <c r="H25" i="40"/>
  <c r="H8" i="40"/>
  <c r="H34" i="40"/>
  <c r="H42" i="40"/>
  <c r="H13" i="40"/>
  <c r="H11" i="40"/>
  <c r="H22" i="40"/>
  <c r="H41" i="40"/>
  <c r="H30" i="40"/>
  <c r="H52" i="40"/>
  <c r="H48" i="40"/>
  <c r="H15" i="40"/>
  <c r="H53" i="40"/>
  <c r="H36" i="40"/>
  <c r="H17" i="40"/>
  <c r="H46" i="40"/>
  <c r="H21" i="40"/>
  <c r="H10" i="40"/>
  <c r="H45" i="40"/>
  <c r="H49" i="40"/>
  <c r="H23" i="40"/>
  <c r="H40" i="40"/>
  <c r="H50" i="40"/>
  <c r="H51" i="40"/>
  <c r="H24" i="40"/>
  <c r="H47" i="40"/>
  <c r="H27" i="40"/>
  <c r="H26" i="40"/>
  <c r="H31" i="40"/>
  <c r="H7" i="40"/>
  <c r="H9" i="40"/>
  <c r="H37" i="40"/>
  <c r="H44" i="40"/>
  <c r="H55" i="40"/>
  <c r="H57" i="40"/>
  <c r="H56" i="40"/>
  <c r="H33" i="40"/>
  <c r="H43" i="40"/>
  <c r="H19" i="40"/>
  <c r="H39" i="40"/>
  <c r="O21" i="40"/>
  <c r="O55" i="40"/>
  <c r="O20" i="40"/>
  <c r="O45" i="40"/>
  <c r="O7" i="40"/>
  <c r="N20" i="40"/>
  <c r="N59" i="40"/>
  <c r="O50" i="40"/>
  <c r="O58" i="40"/>
  <c r="O17" i="40"/>
  <c r="O48" i="40"/>
  <c r="O18" i="40"/>
  <c r="O44" i="40"/>
  <c r="O49" i="40"/>
  <c r="O37" i="40"/>
  <c r="O36" i="40"/>
  <c r="O27" i="40"/>
  <c r="O29" i="40"/>
  <c r="O40" i="40"/>
  <c r="O12" i="40"/>
  <c r="O9" i="40"/>
  <c r="O39" i="40"/>
  <c r="O38" i="40"/>
  <c r="O30" i="40"/>
  <c r="O13" i="40"/>
  <c r="O41" i="40"/>
  <c r="O15" i="40"/>
  <c r="O31" i="40"/>
  <c r="O28" i="40"/>
  <c r="O16" i="40"/>
  <c r="O19" i="40"/>
  <c r="O53" i="40"/>
  <c r="O57" i="40"/>
  <c r="O23" i="40"/>
  <c r="O56" i="40"/>
  <c r="O25" i="40"/>
  <c r="N54" i="40"/>
  <c r="N29" i="40"/>
  <c r="N56" i="40"/>
  <c r="N8" i="40"/>
  <c r="N41" i="40"/>
  <c r="N37" i="40"/>
  <c r="N35" i="40"/>
  <c r="N17" i="40"/>
  <c r="N13" i="40"/>
  <c r="N26" i="40"/>
  <c r="N39" i="40"/>
  <c r="N46" i="40"/>
  <c r="N58" i="40"/>
  <c r="N21" i="40"/>
  <c r="N47" i="40"/>
  <c r="N38" i="40"/>
  <c r="N31" i="40"/>
  <c r="N49" i="40"/>
  <c r="N42" i="40"/>
  <c r="N33" i="40"/>
  <c r="N36" i="40"/>
  <c r="N7" i="40"/>
  <c r="N55" i="40"/>
  <c r="N34" i="40"/>
  <c r="N18" i="40"/>
  <c r="N25" i="40"/>
  <c r="N16" i="40"/>
  <c r="N48" i="40"/>
  <c r="N52" i="40"/>
  <c r="N53" i="40"/>
  <c r="N51" i="40"/>
  <c r="N22" i="40"/>
  <c r="N45" i="40"/>
  <c r="N14" i="40"/>
  <c r="N19" i="40"/>
  <c r="N12" i="40"/>
  <c r="N30" i="40"/>
  <c r="N11" i="40"/>
  <c r="N44" i="40"/>
  <c r="N43" i="40"/>
  <c r="N27" i="40"/>
  <c r="N40" i="40"/>
  <c r="N28" i="40"/>
  <c r="N32" i="40"/>
  <c r="L50" i="41"/>
  <c r="N10" i="40"/>
  <c r="N24" i="40"/>
  <c r="N15" i="40"/>
  <c r="N57" i="40"/>
  <c r="N23" i="40"/>
  <c r="N9" i="40"/>
  <c r="N50" i="40"/>
  <c r="O42" i="40"/>
  <c r="O11" i="40"/>
  <c r="O54" i="40"/>
  <c r="O52" i="40"/>
  <c r="O51" i="40"/>
  <c r="O43" i="40"/>
  <c r="O33" i="40"/>
  <c r="O47" i="40"/>
  <c r="O34" i="40"/>
  <c r="O22" i="40"/>
  <c r="O14" i="40"/>
  <c r="O35" i="40"/>
  <c r="O24" i="40"/>
  <c r="O26" i="40"/>
  <c r="O32" i="40"/>
  <c r="O8" i="40"/>
  <c r="O46" i="40"/>
  <c r="O10" i="40"/>
  <c r="K22" i="40" l="1"/>
  <c r="K47" i="40"/>
  <c r="K17" i="40"/>
  <c r="K46" i="40"/>
  <c r="K8" i="40"/>
  <c r="K35" i="40"/>
  <c r="K37" i="40"/>
  <c r="O59" i="40"/>
  <c r="K43" i="40"/>
  <c r="K26" i="40"/>
  <c r="K32" i="40"/>
  <c r="K33" i="40"/>
  <c r="K24" i="40"/>
  <c r="K19" i="40"/>
  <c r="K54" i="40"/>
  <c r="K20" i="40"/>
  <c r="K14" i="40"/>
  <c r="K40" i="40"/>
  <c r="K55" i="40"/>
  <c r="K57" i="40"/>
  <c r="K18" i="40"/>
  <c r="K15" i="40"/>
  <c r="K23" i="40"/>
  <c r="K44" i="40"/>
  <c r="K45" i="40"/>
  <c r="K59" i="40"/>
  <c r="K12" i="40"/>
  <c r="K56" i="40"/>
  <c r="K42" i="40"/>
  <c r="K49" i="40"/>
  <c r="K51" i="40"/>
  <c r="K9" i="40"/>
  <c r="K53" i="40"/>
  <c r="K7" i="40"/>
  <c r="K13" i="40"/>
  <c r="K39" i="40"/>
  <c r="K38" i="40"/>
  <c r="K34" i="40"/>
  <c r="K29" i="40"/>
  <c r="K25" i="40"/>
  <c r="K28" i="40"/>
  <c r="K31" i="40"/>
  <c r="K41" i="40"/>
  <c r="K16" i="40"/>
  <c r="K48" i="40"/>
  <c r="K52" i="40"/>
  <c r="K11" i="40"/>
  <c r="K10" i="40"/>
  <c r="K58" i="40"/>
  <c r="K50" i="40"/>
  <c r="K27" i="40"/>
  <c r="K30" i="40"/>
  <c r="K21" i="40"/>
  <c r="K36" i="40"/>
  <c r="Q12" i="39" l="1"/>
  <c r="Q34" i="39"/>
  <c r="Q19" i="39"/>
  <c r="Q42" i="39"/>
  <c r="Q29" i="39"/>
  <c r="Q43" i="39"/>
  <c r="Q30" i="39"/>
  <c r="Q17" i="39"/>
  <c r="Q25" i="39"/>
  <c r="Q24" i="39"/>
  <c r="Q11" i="39"/>
  <c r="Q15" i="39"/>
  <c r="Q14" i="39"/>
  <c r="Q35" i="39"/>
  <c r="Q36" i="39"/>
  <c r="Q22" i="39"/>
  <c r="Q44" i="39"/>
  <c r="Q18" i="39"/>
  <c r="Q10" i="39"/>
  <c r="Q40" i="39"/>
  <c r="Q41" i="39"/>
  <c r="Q13" i="39"/>
  <c r="Q39" i="39"/>
  <c r="Q45" i="39"/>
  <c r="Q37" i="39"/>
  <c r="Q8" i="39"/>
  <c r="Q31" i="39"/>
  <c r="Q38" i="39"/>
  <c r="Q20" i="39"/>
  <c r="Q32" i="39"/>
  <c r="Q33" i="39"/>
  <c r="Q21" i="39"/>
  <c r="Q16" i="39"/>
  <c r="Q9" i="39"/>
  <c r="Q28" i="39"/>
  <c r="Q26" i="39"/>
  <c r="Q23" i="39"/>
  <c r="Q27" i="39"/>
  <c r="Q46" i="39"/>
  <c r="H2" i="37"/>
  <c r="L49" i="37" l="1"/>
  <c r="M49" i="37"/>
  <c r="M114" i="32"/>
  <c r="M116" i="32" s="1"/>
  <c r="M117" i="32" s="1"/>
  <c r="M115" i="32" l="1"/>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F39" i="37" l="1"/>
  <c r="G39" i="37" s="1"/>
  <c r="F40" i="37"/>
  <c r="G40" i="37" s="1"/>
  <c r="F36" i="37"/>
  <c r="G36" i="37" s="1"/>
  <c r="F30" i="37"/>
  <c r="G30" i="37" s="1"/>
  <c r="F38" i="37"/>
  <c r="G38" i="37" s="1"/>
  <c r="F28" i="37"/>
  <c r="G28" i="37" s="1"/>
  <c r="F7" i="37"/>
  <c r="G7" i="37" s="1"/>
  <c r="F42" i="37"/>
  <c r="G42" i="37" s="1"/>
  <c r="F16" i="37"/>
  <c r="G16" i="37" s="1"/>
  <c r="F31" i="37"/>
  <c r="G31" i="37" s="1"/>
  <c r="F25" i="37"/>
  <c r="G25" i="37" s="1"/>
  <c r="F35" i="37"/>
  <c r="G35" i="37" s="1"/>
  <c r="F21" i="37"/>
  <c r="G21" i="37" s="1"/>
  <c r="F11" i="37"/>
  <c r="G11" i="37" s="1"/>
  <c r="F48" i="37"/>
  <c r="G48" i="37" s="1"/>
  <c r="F43" i="37"/>
  <c r="G43" i="37" s="1"/>
  <c r="F8" i="37"/>
  <c r="G8" i="37" s="1"/>
  <c r="F20" i="37"/>
  <c r="G20" i="37" s="1"/>
  <c r="F29" i="37"/>
  <c r="G29" i="37" s="1"/>
  <c r="F14" i="37"/>
  <c r="G14" i="37" s="1"/>
  <c r="F18" i="37"/>
  <c r="G18" i="37" s="1"/>
  <c r="F15" i="37"/>
  <c r="G15" i="37" s="1"/>
  <c r="F32" i="37"/>
  <c r="G32" i="37" s="1"/>
  <c r="F44" i="37"/>
  <c r="G44" i="37" s="1"/>
  <c r="F17" i="37"/>
  <c r="G17" i="37" s="1"/>
  <c r="F49" i="37"/>
  <c r="G49" i="37" s="1"/>
  <c r="F24" i="37"/>
  <c r="G24" i="37" s="1"/>
  <c r="F13" i="37"/>
  <c r="G13" i="37" s="1"/>
  <c r="F26" i="37"/>
  <c r="G26" i="37" s="1"/>
  <c r="F23" i="37"/>
  <c r="G23" i="37" s="1"/>
  <c r="F27" i="37"/>
  <c r="G27" i="37" s="1"/>
  <c r="F46" i="37"/>
  <c r="G46" i="37" s="1"/>
  <c r="F37" i="37"/>
  <c r="G37" i="37" s="1"/>
  <c r="F10" i="37"/>
  <c r="G10" i="37" s="1"/>
  <c r="F34" i="37"/>
  <c r="G34" i="37" s="1"/>
  <c r="F12" i="37"/>
  <c r="G12" i="37" s="1"/>
  <c r="F47" i="37"/>
  <c r="G47" i="37" s="1"/>
  <c r="F41" i="37"/>
  <c r="G41" i="37" s="1"/>
  <c r="F19" i="37"/>
  <c r="G19" i="37" s="1"/>
  <c r="F22" i="37"/>
  <c r="G22" i="37" s="1"/>
  <c r="F45" i="37"/>
  <c r="G45" i="37" s="1"/>
  <c r="F9" i="37"/>
  <c r="G9" i="37" s="1"/>
  <c r="F33" i="37"/>
  <c r="G33" i="37" s="1"/>
  <c r="P3" i="37"/>
  <c r="H49" i="37" l="1"/>
  <c r="H7" i="37"/>
  <c r="H24" i="37"/>
  <c r="H17" i="37"/>
  <c r="H22" i="37"/>
  <c r="H23" i="37"/>
  <c r="H34" i="37"/>
  <c r="H11" i="37"/>
  <c r="H35" i="37"/>
  <c r="H38" i="37"/>
  <c r="H9" i="37"/>
  <c r="H25" i="37"/>
  <c r="H28" i="37"/>
  <c r="H26" i="37"/>
  <c r="H29" i="37"/>
  <c r="H31" i="37"/>
  <c r="H47" i="37"/>
  <c r="H13" i="37"/>
  <c r="H45" i="37"/>
  <c r="H20" i="37"/>
  <c r="H16" i="37"/>
  <c r="H19" i="37"/>
  <c r="H27" i="37"/>
  <c r="H21" i="37"/>
  <c r="H10" i="37"/>
  <c r="H44" i="37"/>
  <c r="H48" i="37"/>
  <c r="H32" i="37"/>
  <c r="H14" i="37"/>
  <c r="H36" i="37"/>
  <c r="H15" i="37"/>
  <c r="H41" i="37"/>
  <c r="H18" i="37"/>
  <c r="H12" i="37"/>
  <c r="H8" i="37"/>
  <c r="H40" i="37"/>
  <c r="H37" i="37"/>
  <c r="H43" i="37"/>
  <c r="H30" i="37"/>
  <c r="H33" i="37"/>
  <c r="H42" i="37"/>
  <c r="H46" i="37"/>
  <c r="H39" i="37"/>
  <c r="O49" i="37"/>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K32" i="37" l="1"/>
  <c r="K47" i="37"/>
  <c r="K43" i="37"/>
  <c r="K45" i="37"/>
  <c r="K41" i="37"/>
  <c r="K17" i="37"/>
  <c r="K34" i="37"/>
  <c r="K35" i="37"/>
  <c r="K25" i="37"/>
  <c r="K33" i="37"/>
  <c r="K14" i="37"/>
  <c r="K24" i="37"/>
  <c r="K40" i="37"/>
  <c r="K42" i="37"/>
  <c r="K37" i="37"/>
  <c r="K18" i="37"/>
  <c r="K21" i="37"/>
  <c r="K10" i="37"/>
  <c r="K7" i="37"/>
  <c r="K49" i="37"/>
  <c r="K38" i="37"/>
  <c r="K27" i="37"/>
  <c r="K8" i="37"/>
  <c r="K39" i="37"/>
  <c r="K31" i="37"/>
  <c r="K46" i="37"/>
  <c r="K44" i="37"/>
  <c r="K36" i="37"/>
  <c r="K48" i="37"/>
  <c r="K22" i="37"/>
  <c r="O29" i="37"/>
  <c r="O34" i="37"/>
  <c r="O21" i="37"/>
  <c r="O33" i="37"/>
  <c r="O15" i="37"/>
  <c r="O18" i="37"/>
  <c r="B1" i="15"/>
  <c r="K26" i="37" l="1"/>
  <c r="K11" i="37"/>
  <c r="K29" i="37"/>
  <c r="K20" i="37"/>
  <c r="K15" i="37"/>
  <c r="K19" i="37"/>
  <c r="K9" i="37"/>
  <c r="K30" i="37"/>
  <c r="K13" i="37"/>
  <c r="K12" i="37"/>
  <c r="K23" i="37"/>
  <c r="K16" i="37"/>
  <c r="K28" i="37"/>
  <c r="N24" i="35" l="1"/>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27" i="24" l="1"/>
  <c r="G27" i="24" s="1"/>
  <c r="F15" i="24"/>
  <c r="G15" i="24" s="1"/>
  <c r="F35" i="24"/>
  <c r="G35" i="24" s="1"/>
  <c r="F32" i="24"/>
  <c r="G32" i="24" s="1"/>
  <c r="F30" i="24"/>
  <c r="G30" i="24" s="1"/>
  <c r="F26" i="24"/>
  <c r="G26" i="24" s="1"/>
  <c r="F11" i="24"/>
  <c r="G11" i="24" s="1"/>
  <c r="F22" i="24"/>
  <c r="G22" i="24" s="1"/>
  <c r="F31" i="24"/>
  <c r="G31" i="24" s="1"/>
  <c r="F9" i="24"/>
  <c r="G9" i="24" s="1"/>
  <c r="F17" i="24"/>
  <c r="G17" i="24" s="1"/>
  <c r="F24" i="24"/>
  <c r="G24" i="24" s="1"/>
  <c r="F34" i="24"/>
  <c r="G34" i="24" s="1"/>
  <c r="F33" i="24"/>
  <c r="G33" i="24" s="1"/>
  <c r="F14" i="24"/>
  <c r="G14" i="24" s="1"/>
  <c r="F8" i="24"/>
  <c r="G8" i="24" s="1"/>
  <c r="F25" i="24"/>
  <c r="G25" i="24" s="1"/>
  <c r="F7" i="24"/>
  <c r="G7" i="24" s="1"/>
  <c r="F13" i="24"/>
  <c r="G13" i="24" s="1"/>
  <c r="F19" i="24"/>
  <c r="G19" i="24" s="1"/>
  <c r="F12" i="24"/>
  <c r="G12" i="24" s="1"/>
  <c r="F23" i="24"/>
  <c r="G23" i="24" s="1"/>
  <c r="F20" i="24"/>
  <c r="G20" i="24" s="1"/>
  <c r="F10" i="24"/>
  <c r="G10" i="24" s="1"/>
  <c r="F28" i="24"/>
  <c r="G28" i="24" s="1"/>
  <c r="F18" i="24"/>
  <c r="G18" i="24" s="1"/>
  <c r="F16" i="24"/>
  <c r="G16" i="24" s="1"/>
  <c r="F29" i="24"/>
  <c r="G29" i="24" s="1"/>
  <c r="F21" i="24"/>
  <c r="G21" i="24" s="1"/>
  <c r="P3" i="24"/>
  <c r="H11" i="24" l="1"/>
  <c r="H25" i="24"/>
  <c r="H13" i="24"/>
  <c r="H22" i="24"/>
  <c r="H10" i="24"/>
  <c r="H33" i="24"/>
  <c r="H20" i="24"/>
  <c r="H21" i="24"/>
  <c r="H26" i="24"/>
  <c r="H32" i="24"/>
  <c r="H7" i="24"/>
  <c r="H29" i="24"/>
  <c r="H17" i="24"/>
  <c r="H12" i="24"/>
  <c r="H16" i="24"/>
  <c r="H18" i="24"/>
  <c r="H14" i="24"/>
  <c r="H19" i="24"/>
  <c r="H30" i="24"/>
  <c r="H24" i="24"/>
  <c r="H31" i="24"/>
  <c r="H34" i="24"/>
  <c r="H35" i="24"/>
  <c r="H15" i="24"/>
  <c r="H9" i="24"/>
  <c r="H8" i="24"/>
  <c r="H27" i="24"/>
  <c r="H23" i="24"/>
  <c r="H28"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X38" i="7"/>
  <c r="AE28" i="7" l="1"/>
  <c r="AE34" i="7"/>
  <c r="AE29" i="7"/>
  <c r="AE33" i="7"/>
  <c r="AE30" i="7"/>
  <c r="AE25" i="7"/>
  <c r="AE31" i="7"/>
  <c r="AE26" i="7"/>
  <c r="AE32" i="7"/>
  <c r="AE27" i="7"/>
  <c r="AE24" i="7"/>
  <c r="M3" i="15"/>
  <c r="B4" i="15"/>
  <c r="B5" i="15"/>
  <c r="K3" i="1"/>
  <c r="H4" i="15" l="1"/>
  <c r="B3" i="15"/>
  <c r="H2" i="15"/>
  <c r="AI1" i="1"/>
  <c r="AJ1" i="1" s="1"/>
  <c r="F30" i="15" l="1"/>
  <c r="G30" i="15" s="1"/>
  <c r="F10" i="15"/>
  <c r="G10" i="15" s="1"/>
  <c r="F22" i="15"/>
  <c r="G22" i="15" s="1"/>
  <c r="F17" i="15"/>
  <c r="G17" i="15" s="1"/>
  <c r="F11" i="15"/>
  <c r="G11" i="15" s="1"/>
  <c r="F27" i="15"/>
  <c r="G27" i="15" s="1"/>
  <c r="F28" i="15"/>
  <c r="G28" i="15" s="1"/>
  <c r="F18" i="15"/>
  <c r="G18" i="15" s="1"/>
  <c r="F23" i="15"/>
  <c r="G23" i="15" s="1"/>
  <c r="F16" i="15"/>
  <c r="G16" i="15" s="1"/>
  <c r="F21" i="15"/>
  <c r="G21" i="15" s="1"/>
  <c r="F12" i="15"/>
  <c r="G12" i="15" s="1"/>
  <c r="F25" i="15"/>
  <c r="G25" i="15" s="1"/>
  <c r="F20" i="15"/>
  <c r="G20" i="15" s="1"/>
  <c r="F7" i="15"/>
  <c r="G7" i="15" s="1"/>
  <c r="F24" i="15"/>
  <c r="G24" i="15" s="1"/>
  <c r="F14" i="15"/>
  <c r="G14" i="15" s="1"/>
  <c r="F13" i="15"/>
  <c r="G13" i="15" s="1"/>
  <c r="F26" i="15"/>
  <c r="G26" i="15" s="1"/>
  <c r="F15" i="15"/>
  <c r="G15" i="15" s="1"/>
  <c r="F9" i="15"/>
  <c r="G9" i="15" s="1"/>
  <c r="F29" i="15"/>
  <c r="G29" i="15" s="1"/>
  <c r="F19" i="15"/>
  <c r="G19" i="15" s="1"/>
  <c r="F31" i="15"/>
  <c r="G31" i="15" s="1"/>
  <c r="F8" i="15"/>
  <c r="G8"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14" i="15" l="1"/>
  <c r="H8" i="15"/>
  <c r="H9" i="15"/>
  <c r="H7" i="15"/>
  <c r="H17" i="15"/>
  <c r="H11" i="15"/>
  <c r="H31" i="15"/>
  <c r="H12" i="15"/>
  <c r="H26" i="15"/>
  <c r="H19" i="15"/>
  <c r="H15" i="15"/>
  <c r="H13" i="15"/>
  <c r="H24" i="15"/>
  <c r="H29" i="15"/>
  <c r="H21" i="15"/>
  <c r="H16" i="15"/>
  <c r="H22" i="15"/>
  <c r="H30" i="15"/>
  <c r="H20" i="15"/>
  <c r="H27" i="15"/>
  <c r="H23" i="15"/>
  <c r="H18" i="15"/>
  <c r="H28" i="15"/>
  <c r="H10" i="15"/>
  <c r="H25" i="15"/>
  <c r="F39" i="11"/>
  <c r="G39" i="11" s="1"/>
  <c r="F31" i="11"/>
  <c r="G31" i="11" s="1"/>
  <c r="F19" i="11"/>
  <c r="G19" i="11" s="1"/>
  <c r="F21" i="11"/>
  <c r="G21" i="11" s="1"/>
  <c r="F24" i="11"/>
  <c r="G24" i="11" s="1"/>
  <c r="F8" i="11"/>
  <c r="G8" i="11" s="1"/>
  <c r="F14" i="11"/>
  <c r="G14" i="11" s="1"/>
  <c r="F15" i="11"/>
  <c r="G15" i="11" s="1"/>
  <c r="F27" i="11"/>
  <c r="G27" i="11" s="1"/>
  <c r="F35" i="11"/>
  <c r="G35" i="11" s="1"/>
  <c r="F41" i="11"/>
  <c r="G41" i="11" s="1"/>
  <c r="F25" i="11"/>
  <c r="G25" i="11" s="1"/>
  <c r="F28" i="11"/>
  <c r="G28" i="11" s="1"/>
  <c r="F16" i="11"/>
  <c r="G16" i="11" s="1"/>
  <c r="F33" i="11"/>
  <c r="G33" i="11" s="1"/>
  <c r="F40" i="11"/>
  <c r="G40" i="11" s="1"/>
  <c r="F10" i="11"/>
  <c r="G10" i="11" s="1"/>
  <c r="F18" i="11"/>
  <c r="G18" i="11" s="1"/>
  <c r="F29" i="11"/>
  <c r="G29" i="11" s="1"/>
  <c r="F38" i="11"/>
  <c r="G38" i="11" s="1"/>
  <c r="F9" i="11"/>
  <c r="G9" i="11" s="1"/>
  <c r="F30" i="11"/>
  <c r="G30" i="11" s="1"/>
  <c r="F7" i="11"/>
  <c r="G7" i="11" s="1"/>
  <c r="F22" i="11"/>
  <c r="G22" i="11" s="1"/>
  <c r="F17" i="11"/>
  <c r="G17" i="11" s="1"/>
  <c r="F34" i="11"/>
  <c r="G34" i="11" s="1"/>
  <c r="F11" i="11"/>
  <c r="G11" i="11" s="1"/>
  <c r="F26" i="11"/>
  <c r="G26" i="11" s="1"/>
  <c r="F23" i="11"/>
  <c r="G23" i="11" s="1"/>
  <c r="F32" i="11"/>
  <c r="G32" i="11" s="1"/>
  <c r="F12" i="11"/>
  <c r="G12" i="11" s="1"/>
  <c r="F20" i="11"/>
  <c r="G20" i="11" s="1"/>
  <c r="F36" i="11"/>
  <c r="G36" i="11" s="1"/>
  <c r="F13" i="11"/>
  <c r="G13" i="11" s="1"/>
  <c r="F37" i="11"/>
  <c r="G37"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F27" i="6" l="1"/>
  <c r="G27" i="6" s="1"/>
  <c r="F12" i="6"/>
  <c r="G12" i="6" s="1"/>
  <c r="F17" i="6"/>
  <c r="G17" i="6" s="1"/>
  <c r="F22" i="6"/>
  <c r="G22" i="6" s="1"/>
  <c r="F34" i="6"/>
  <c r="G34" i="6" s="1"/>
  <c r="F36" i="6"/>
  <c r="G36" i="6" s="1"/>
  <c r="F20" i="6"/>
  <c r="G20" i="6" s="1"/>
  <c r="F40" i="6"/>
  <c r="G40" i="6" s="1"/>
  <c r="F11" i="6"/>
  <c r="G11" i="6" s="1"/>
  <c r="F9" i="6"/>
  <c r="G9" i="6" s="1"/>
  <c r="F25" i="6"/>
  <c r="G25" i="6" s="1"/>
  <c r="F29" i="6"/>
  <c r="G29" i="6" s="1"/>
  <c r="F8" i="6"/>
  <c r="G8" i="6" s="1"/>
  <c r="F28" i="6"/>
  <c r="G28" i="6" s="1"/>
  <c r="F35" i="6"/>
  <c r="G35" i="6" s="1"/>
  <c r="F10" i="6"/>
  <c r="G10" i="6" s="1"/>
  <c r="F23" i="6"/>
  <c r="G23" i="6" s="1"/>
  <c r="F38" i="6"/>
  <c r="G38" i="6" s="1"/>
  <c r="F39" i="6"/>
  <c r="G39" i="6" s="1"/>
  <c r="F14" i="6"/>
  <c r="G14" i="6" s="1"/>
  <c r="F21" i="6"/>
  <c r="G21" i="6" s="1"/>
  <c r="F7" i="6"/>
  <c r="G7" i="6" s="1"/>
  <c r="F13" i="6"/>
  <c r="G13" i="6" s="1"/>
  <c r="F32" i="6"/>
  <c r="G32" i="6" s="1"/>
  <c r="F31" i="6"/>
  <c r="G31" i="6" s="1"/>
  <c r="F42" i="6"/>
  <c r="G42" i="6" s="1"/>
  <c r="F15" i="6"/>
  <c r="G15" i="6" s="1"/>
  <c r="F24" i="6"/>
  <c r="G24" i="6" s="1"/>
  <c r="F26" i="6"/>
  <c r="G26" i="6" s="1"/>
  <c r="F16" i="6"/>
  <c r="G16" i="6" s="1"/>
  <c r="F33" i="6"/>
  <c r="G33" i="6" s="1"/>
  <c r="F37" i="6"/>
  <c r="G37" i="6" s="1"/>
  <c r="F18" i="6"/>
  <c r="G18" i="6" s="1"/>
  <c r="F41" i="6"/>
  <c r="G41" i="6" s="1"/>
  <c r="F19" i="6"/>
  <c r="G19" i="6" s="1"/>
  <c r="F30" i="6"/>
  <c r="G30" i="6" s="1"/>
  <c r="H11" i="11"/>
  <c r="H18" i="11"/>
  <c r="H34" i="11"/>
  <c r="H10" i="11"/>
  <c r="H40" i="11"/>
  <c r="H37" i="11"/>
  <c r="H22" i="11"/>
  <c r="H7" i="11"/>
  <c r="H24" i="11"/>
  <c r="H20" i="11"/>
  <c r="H21" i="11"/>
  <c r="H30" i="11"/>
  <c r="H32" i="11"/>
  <c r="H25" i="11"/>
  <c r="H13" i="11"/>
  <c r="H8" i="11"/>
  <c r="H23" i="11"/>
  <c r="H41" i="11"/>
  <c r="H36" i="11"/>
  <c r="H9" i="11"/>
  <c r="H26" i="11"/>
  <c r="H35" i="11"/>
  <c r="H12" i="11"/>
  <c r="H17" i="11"/>
  <c r="H38" i="11"/>
  <c r="H33" i="11"/>
  <c r="H27" i="11"/>
  <c r="H19" i="11"/>
  <c r="H28" i="11"/>
  <c r="H14" i="11"/>
  <c r="H31" i="11"/>
  <c r="H39" i="11"/>
  <c r="H15" i="11"/>
  <c r="H29" i="11"/>
  <c r="H16" i="1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16" i="6" l="1"/>
  <c r="H26" i="6"/>
  <c r="H8" i="6"/>
  <c r="H29" i="6"/>
  <c r="H25" i="6"/>
  <c r="H9" i="6"/>
  <c r="H38" i="6"/>
  <c r="H14" i="6"/>
  <c r="H23" i="6"/>
  <c r="H18" i="6"/>
  <c r="H11" i="6"/>
  <c r="H12" i="6"/>
  <c r="H15" i="6"/>
  <c r="H33" i="6"/>
  <c r="H19" i="6"/>
  <c r="H7" i="6"/>
  <c r="H34" i="6"/>
  <c r="H41" i="6"/>
  <c r="H31" i="6"/>
  <c r="H21" i="6"/>
  <c r="H10" i="6"/>
  <c r="H22" i="6"/>
  <c r="H30" i="6"/>
  <c r="H24" i="6"/>
  <c r="H28" i="6"/>
  <c r="H13" i="6"/>
  <c r="H35" i="6"/>
  <c r="H42" i="6"/>
  <c r="H40" i="6"/>
  <c r="H17" i="6"/>
  <c r="H36" i="6"/>
  <c r="H32" i="6"/>
  <c r="H20" i="6"/>
  <c r="H37" i="6"/>
  <c r="H39" i="6"/>
  <c r="H27"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4" xr16:uid="{F961D745-BB12-4E6A-93B1-DDDA9906DB75}" keepAlive="1" name="Consulta - apuestas_2024" description="Conexión a la consulta 'apuestas_2024' en el libro." type="5" refreshedVersion="8" background="1" saveData="1">
    <dbPr connection="Provider=Microsoft.Mashup.OleDb.1;Data Source=$Workbook$;Location=apuestas_2024;Extended Properties=&quot;&quot;" command="SELECT * FROM [apuestas_2024]"/>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D2267005-596D-4ECB-A24D-B22744B4EC0A}" keepAlive="1" name="Consulta - apuestas_ago24" description="Conexión a la consulta 'apuestas_ago24' en el libro." type="5" refreshedVersion="8" background="1" saveData="1">
    <dbPr connection="Provider=Microsoft.Mashup.OleDb.1;Data Source=$Workbook$;Location=apuestas_ago24;Extended Properties=&quot;&quot;" command="SELECT * FROM [apuestas_ago24]"/>
  </connection>
  <connection id="7"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8"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9" xr16:uid="{5FB8FAFA-21BB-432A-94C8-5CD2A5885ABB}" keepAlive="1" name="Consulta - apuestas_juL24" description="Conexión a la consulta 'apuestas_juL24' en el libro." type="5" refreshedVersion="8" background="1" saveData="1">
    <dbPr connection="Provider=Microsoft.Mashup.OleDb.1;Data Source=$Workbook$;Location=apuestas_juL24;Extended Properties=&quot;&quot;" command="SELECT * FROM [apuestas_juL24]"/>
  </connection>
  <connection id="10"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11"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2"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3" xr16:uid="{CD043EF0-29EB-49D8-B336-EA35CF775977}" keepAlive="1" name="Consulta - apuestas_oct24" description="Conexión a la consulta 'apuestas_oct24' en el libro." type="5" refreshedVersion="8" background="1" saveData="1">
    <dbPr connection="Provider=Microsoft.Mashup.OleDb.1;Data Source=$Workbook$;Location=apuestas_oct24;Extended Properties=&quot;&quot;" command="SELECT * FROM [apuestas_oct24]"/>
  </connection>
  <connection id="14" xr16:uid="{CA97A856-C60F-463E-B6EA-49C7ABB8BCC8}" keepAlive="1" name="Consulta - apuestas_sep24" description="Conexión a la consulta 'apuestas_sep24' en el libro." type="5" refreshedVersion="8" background="1" saveData="1">
    <dbPr connection="Provider=Microsoft.Mashup.OleDb.1;Data Source=$Workbook$;Location=apuestas_sep24;Extended Properties=&quot;&quot;" command="SELECT * FROM [apuestas_sep24]"/>
  </connection>
  <connection id="15"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6"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7"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8"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9"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20" xr16:uid="{F89428E4-C8F9-4967-A534-FC84DCF075DA}" keepAlive="1" name="Consulta - omie_agosto" description="Conexión a la consulta 'omie_agosto' en el libro." type="5" refreshedVersion="8" background="1" saveData="1">
    <dbPr connection="Provider=Microsoft.Mashup.OleDb.1;Data Source=$Workbook$;Location=omie_agosto;Extended Properties=&quot;&quot;" command="SELECT * FROM [omie_agosto]"/>
  </connection>
  <connection id="21"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22"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23"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24"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5" xr16:uid="{623E6C5F-9677-4757-82DE-86839FC1DE31}" keepAlive="1" name="Consulta - omie_julio" description="Conexión a la consulta 'omie_julio' en el libro." type="5" refreshedVersion="8" background="1" saveData="1">
    <dbPr connection="Provider=Microsoft.Mashup.OleDb.1;Data Source=$Workbook$;Location=omie_julio;Extended Properties=&quot;&quot;" command="SELECT * FROM [omie_julio]"/>
  </connection>
  <connection id="26" xr16:uid="{50B259E3-F6E8-4114-938E-4AD52D180BAD}" keepAlive="1" name="Consulta - omie_junio" description="Conexión a la consulta 'omie_junio' en el libro." type="5" refreshedVersion="8" background="1" saveData="1">
    <dbPr connection="Provider=Microsoft.Mashup.OleDb.1;Data Source=$Workbook$;Location=omie_junio;Extended Properties=&quot;&quot;" command="SELECT * FROM [omie_junio]"/>
  </connection>
  <connection id="27" xr16:uid="{464C7217-64E2-48BA-94BA-CFDDFB61E6B6}" keepAlive="1" name="Consulta - omie_junio_miniporra" description="Conexión a la consulta 'omie_junio_miniporra' en el libro." type="5" refreshedVersion="8" saveData="1">
    <dbPr connection="Provider=Microsoft.Mashup.OleDb.1;Data Source=$Workbook$;Location=omie_junio_miniporra;Extended Properties=&quot;&quot;" command="SELECT * FROM [omie_junio_miniporra]"/>
    <extLst>
      <ext xmlns:x15="http://schemas.microsoft.com/office/spreadsheetml/2010/11/main" uri="{DE250136-89BD-433C-8126-D09CA5730AF9}">
        <x15:connection id="" excludeFromRefreshAll="1"/>
      </ext>
    </extLst>
  </connection>
  <connection id="28"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9"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30"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31"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32" xr16:uid="{7BB66B36-1B05-4927-BF0E-AD770E50E200}" keepAlive="1" name="Consulta - omie_octubre" description="Conexión a la consulta 'omie_octubre' en el libro." type="5" refreshedVersion="8" background="1" saveData="1">
    <dbPr connection="Provider=Microsoft.Mashup.OleDb.1;Data Source=$Workbook$;Location=omie_octubre;Extended Properties=&quot;&quot;" command="SELECT * FROM [omie_octubre]"/>
  </connection>
  <connection id="33" xr16:uid="{4F0F64B1-0FE0-4C62-824F-D4746F583A78}" keepAlive="1" name="Consulta - omie_septiembre" description="Conexión a la consulta 'omie_septiembre' en el libro." type="5" refreshedVersion="8" background="1" saveData="1">
    <dbPr connection="Provider=Microsoft.Mashup.OleDb.1;Data Source=$Workbook$;Location=omie_septiembre;Extended Properties=&quot;&quot;" command="SELECT * FROM [omie_septiembre]"/>
  </connection>
  <connection id="34"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35"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36" xr16:uid="{5C66E2B5-894D-467E-80BE-79865E6E72F1}"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37"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38" xr16:uid="{23E7A540-4045-4B67-B24A-C06F6C27F6C3}" keepAlive="1" name="Consulta - resultados_ago" description="Conexión a la consulta 'resultados_ago' en el libro." type="5" refreshedVersion="0" background="1">
    <dbPr connection="Provider=Microsoft.Mashup.OleDb.1;Data Source=$Workbook$;Location=resultados_ago;Extended Properties=&quot;&quot;" command="SELECT * FROM [resultados_ago]"/>
  </connection>
  <connection id="39"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40" xr16:uid="{E50E7A3B-79C9-49D6-A7A1-2B8787317515}" keepAlive="1" name="Consulta - resultados_jul" description="Conexión a la consulta 'resultados_jul' en el libro." type="5" refreshedVersion="8" background="1" saveData="1">
    <dbPr connection="Provider=Microsoft.Mashup.OleDb.1;Data Source=$Workbook$;Location=resultados_jul;Extended Properties=&quot;&quot;" command="SELECT * FROM [resultados_jul]"/>
  </connection>
  <connection id="41" xr16:uid="{5DBCB7B5-1BE1-4F6A-B191-AA9A9CA83E76}" keepAlive="1" name="Consulta - resultados_jun" description="Conexión a la consulta 'resultados_jun' en el libro." type="5" refreshedVersion="8" background="1" saveData="1">
    <dbPr connection="Provider=Microsoft.Mashup.OleDb.1;Data Source=$Workbook$;Location=resultados_jun;Extended Properties=&quot;&quot;" command="SELECT * FROM [resultados_jun]"/>
  </connection>
  <connection id="42"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43"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44" xr16:uid="{23E77798-FA77-4DD7-9FE8-295CFCABFABD}" keepAlive="1" name="Consulta - resultados_oct" description="Conexión a la consulta 'resultados_oct' en el libro." type="5" refreshedVersion="0" background="1">
    <dbPr connection="Provider=Microsoft.Mashup.OleDb.1;Data Source=$Workbook$;Location=resultados_oct;Extended Properties=&quot;&quot;" command="SELECT * FROM [resultados_oct]"/>
  </connection>
  <connection id="45" xr16:uid="{1B6A9296-8A8A-4B84-BA8B-62670B8D2542}" keepAlive="1" name="Consulta - resultados_sep" description="Conexión a la consulta 'resultados_sep' en el libro." type="5" refreshedVersion="0" background="1">
    <dbPr connection="Provider=Microsoft.Mashup.OleDb.1;Data Source=$Workbook$;Location=resultados_sep;Extended Properties=&quot;&quot;" command="SELECT * FROM [resultados_sep]"/>
  </connection>
  <connection id="46"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47"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48"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<sst xmlns="http://schemas.openxmlformats.org/spreadsheetml/2006/main" count="6972" uniqueCount="1160">
  <si>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</si>
  <si>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</si>
  <si>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</si>
  <si>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</si>
  <si>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</si>
  <si>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</si>
  <si>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</si>
  <si>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</si>
  <si>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</si>
  <si>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</si>
  <si>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</si>
  <si>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</si>
  <si>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</si>
  <si>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</si>
  <si>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</si>
  <si>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</si>
  <si>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</si>
  <si>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</si>
  <si>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</si>
  <si>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</si>
  <si>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</si>
  <si>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</si>
  <si>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</si>
  <si>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</si>
  <si>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</si>
  <si>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</si>
  <si>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</si>
  <si>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</si>
  <si>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</si>
  <si>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</si>
  <si>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</si>
  <si>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</si>
  <si>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</si>
  <si>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</si>
  <si>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</si>
  <si>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</si>
  <si>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</si>
  <si>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</si>
  <si>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</si>
  <si>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</si>
  <si>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</si>
  <si>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</si>
  <si>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</si>
  <si>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</si>
  <si>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</si>
  <si>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</si>
  <si>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</si>
  <si>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</si>
  <si>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</si>
  <si>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</si>
  <si>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</si>
  <si>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</si>
  <si>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</si>
  <si>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</si>
  <si>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</si>
  <si>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</si>
  <si>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</si>
  <si>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</si>
  <si>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</si>
  <si>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</si>
  <si>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</si>
  <si>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</si>
  <si>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</si>
  <si>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</si>
  <si>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</si>
  <si>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</si>
  <si>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</si>
  <si>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</si>
  <si>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</si>
  <si>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</si>
  <si>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</si>
  <si>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</si>
  <si>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</si>
  <si>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</si>
  <si>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</si>
  <si>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</si>
  <si>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</si>
  <si>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</si>
  <si>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</si>
  <si>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</si>
  <si>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</si>
  <si>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</si>
  <si>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</si>
  <si>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</si>
  <si>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</si>
  <si>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</si>
  <si>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</si>
  <si>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</si>
  <si>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</si>
  <si>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</si>
  <si>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</si>
  <si>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</si>
  <si>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</si>
  <si>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</si>
  <si>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</si>
  <si>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</si>
  <si>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</si>
  <si>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</si>
  <si>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</si>
  <si>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</si>
  <si>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</si>
  <si>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</si>
  <si>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</si>
  <si>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</si>
  <si>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</si>
  <si>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</si>
  <si>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</si>
  <si>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</si>
  <si>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</si>
  <si>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</si>
  <si>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</si>
  <si>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</si>
  <si>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</si>
  <si>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</si>
  <si>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</si>
  <si>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</si>
  <si>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</si>
  <si>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</si>
  <si>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</si>
  <si>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</si>
  <si>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</si>
  <si>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</si>
  <si>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</si>
  <si>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</si>
  <si>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</si>
  <si>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</si>
  <si>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</si>
  <si>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</si>
  <si>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</si>
  <si>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</si>
  <si>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</si>
  <si>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</si>
  <si>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</si>
  <si>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</si>
  <si>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</si>
  <si>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</si>
  <si>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</si>
  <si>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</si>
  <si>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</si>
  <si>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</si>
  <si>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</si>
  <si>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</si>
  <si>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</si>
  <si>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</si>
  <si>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</si>
  <si>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</si>
  <si>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</si>
  <si>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</si>
  <si>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</si>
  <si>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</si>
  <si>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</si>
  <si>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</si>
  <si>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</si>
  <si>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</si>
  <si>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</si>
  <si>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</si>
  <si>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</si>
  <si>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</si>
  <si>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</si>
  <si>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</si>
  <si>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</si>
  <si>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</si>
  <si>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</si>
  <si>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</si>
  <si>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</si>
  <si>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</si>
  <si>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</si>
  <si>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</si>
  <si>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</si>
  <si>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</si>
  <si>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</si>
  <si>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</si>
  <si>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</si>
  <si>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</si>
  <si>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</si>
  <si>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</si>
  <si>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</si>
  <si>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</si>
  <si>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</si>
  <si>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</si>
  <si>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</si>
  <si>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</si>
  <si>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</si>
  <si>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</si>
  <si>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</si>
  <si>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</si>
  <si>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</si>
  <si>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</si>
  <si>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</si>
  <si>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</si>
  <si>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</si>
  <si>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</si>
  <si>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</si>
  <si>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</si>
  <si>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</si>
  <si>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</si>
  <si>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</si>
  <si>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</si>
  <si>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</si>
  <si>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</si>
  <si>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</si>
  <si>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</si>
  <si>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</si>
  <si>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</si>
  <si>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</si>
  <si>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</si>
  <si>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</si>
  <si>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</si>
  <si>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</si>
  <si>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</si>
  <si>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</si>
  <si>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</si>
  <si>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</si>
  <si>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</si>
  <si>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</si>
  <si>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</si>
  <si>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</si>
  <si>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</si>
  <si>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</si>
  <si>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</si>
  <si>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</si>
  <si>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</si>
  <si>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</si>
  <si>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</si>
  <si>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</si>
  <si>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</si>
  <si>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</si>
  <si>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</si>
  <si>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</si>
  <si>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</si>
  <si>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</si>
  <si>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</si>
  <si>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</si>
  <si>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</si>
  <si>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</si>
  <si>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</si>
  <si>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</si>
  <si>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</si>
  <si>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</si>
  <si>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</si>
  <si>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</si>
  <si>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</si>
  <si>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</si>
  <si>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</si>
  <si>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</si>
  <si>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</si>
  <si>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</si>
  <si>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</si>
  <si>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</si>
  <si>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</si>
  <si>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</si>
  <si>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</si>
  <si>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</si>
  <si>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</si>
  <si>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</si>
  <si>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</si>
  <si>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</si>
  <si>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</si>
  <si>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</si>
  <si>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</si>
  <si>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</si>
  <si>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</si>
  <si>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</si>
  <si>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</si>
  <si>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</si>
  <si>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</si>
  <si>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</si>
  <si>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</si>
  <si>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</si>
  <si>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</si>
  <si>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</si>
  <si>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</si>
  <si>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</si>
  <si>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</si>
  <si>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</si>
  <si>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</si>
  <si>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</si>
  <si>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</si>
  <si>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</si>
  <si>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</si>
  <si>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</si>
  <si>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</si>
  <si>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</si>
  <si>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</si>
  <si>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</si>
  <si>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</si>
  <si>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</si>
  <si>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</si>
  <si>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</si>
  <si>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</si>
  <si>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</si>
  <si>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</si>
  <si>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</si>
  <si>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</si>
  <si>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</si>
  <si>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</si>
  <si>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</si>
  <si>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</si>
  <si>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</si>
  <si>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</si>
  <si>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</si>
  <si>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</si>
  <si>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</si>
  <si>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</si>
  <si>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</si>
  <si>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</si>
  <si>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</si>
  <si>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</si>
  <si>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</si>
  <si>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</si>
  <si>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</si>
  <si>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</si>
  <si>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</si>
  <si>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</si>
  <si>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</si>
  <si>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</si>
  <si>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</si>
  <si>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</si>
  <si>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</si>
  <si>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</si>
  <si>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</si>
  <si>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</si>
  <si>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</si>
  <si>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</si>
  <si>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</si>
  <si>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</si>
  <si>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</si>
  <si>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</si>
  <si>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</si>
  <si>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</si>
  <si>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</si>
  <si>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</si>
  <si>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</si>
  <si>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</si>
  <si>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</si>
  <si>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</si>
  <si>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</si>
  <si>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</si>
  <si>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</si>
  <si>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</si>
  <si>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</si>
  <si>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</si>
  <si>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</si>
  <si>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</si>
  <si>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</si>
  <si>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</si>
  <si>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</si>
  <si>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</si>
  <si>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</si>
  <si>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</si>
  <si>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</si>
  <si>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</si>
  <si>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</si>
  <si>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</si>
  <si>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</si>
  <si>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</si>
  <si>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</si>
  <si>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</si>
  <si>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</si>
  <si>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</si>
  <si>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</si>
  <si>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</si>
  <si>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</si>
  <si>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</si>
  <si>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</si>
  <si>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</si>
  <si>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</si>
  <si>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</si>
  <si>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</si>
  <si>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</si>
  <si>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</si>
  <si>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</si>
  <si>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</si>
  <si>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</si>
  <si>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</si>
  <si>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</si>
  <si>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</si>
  <si>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</si>
  <si>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</si>
  <si>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</si>
  <si>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</si>
  <si>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</si>
  <si>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</si>
  <si>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</si>
  <si>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</si>
  <si>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</si>
  <si>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</si>
  <si>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</si>
  <si>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</si>
  <si>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</si>
  <si>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</si>
  <si>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</si>
  <si>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</si>
  <si>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</si>
  <si>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</si>
  <si>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</si>
  <si>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</si>
  <si>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</si>
  <si>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</si>
  <si>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</si>
  <si>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</si>
  <si>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</si>
  <si>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</si>
  <si>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</si>
  <si>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</si>
  <si>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</si>
  <si>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</si>
  <si>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</si>
  <si>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</si>
  <si>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</si>
  <si>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</si>
  <si>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</si>
  <si>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</si>
  <si>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</si>
  <si>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</si>
  <si>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</si>
  <si>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</si>
  <si>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</si>
  <si>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</si>
  <si>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</si>
  <si>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</si>
  <si>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</si>
  <si>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</si>
  <si>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</si>
  <si>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</si>
  <si>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</si>
  <si>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</si>
  <si>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</si>
  <si>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</si>
  <si>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</si>
  <si>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</si>
  <si>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</si>
  <si>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</si>
  <si>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</si>
  <si>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</si>
  <si>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</si>
  <si>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</si>
  <si>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</si>
  <si>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</si>
  <si>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</si>
  <si>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</si>
  <si>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</si>
  <si>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</si>
  <si>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</si>
  <si>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</si>
  <si>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</si>
  <si>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</si>
  <si>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</si>
  <si>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</si>
  <si>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</si>
  <si>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</si>
  <si>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</si>
  <si>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</si>
  <si>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</si>
  <si>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</si>
  <si>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</si>
  <si>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</si>
  <si>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</si>
  <si>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</si>
  <si>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</si>
  <si>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</si>
  <si>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</si>
  <si>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</si>
  <si>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</si>
  <si>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</si>
  <si>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</si>
  <si>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</si>
  <si>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</si>
  <si>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</si>
  <si>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</si>
  <si>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</si>
  <si>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</si>
  <si>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</si>
  <si>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</si>
  <si>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</si>
  <si>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</si>
  <si>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</si>
  <si>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</si>
  <si>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</si>
  <si>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</si>
  <si>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</si>
  <si>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</si>
  <si>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</si>
  <si>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</si>
  <si>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</si>
  <si>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</si>
  <si>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</si>
  <si>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</si>
  <si>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</si>
  <si>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</si>
  <si>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</si>
  <si>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</si>
  <si>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</si>
  <si>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</si>
  <si>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</si>
  <si>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</si>
  <si>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</si>
  <si>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</si>
  <si>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</si>
  <si>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</si>
  <si>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</si>
  <si>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</si>
  <si>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</si>
  <si>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</si>
  <si>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</si>
  <si>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</si>
  <si>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</si>
  <si>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</si>
  <si>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</si>
  <si>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</si>
  <si>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</si>
  <si>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</si>
  <si>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</si>
  <si>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</si>
  <si>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</si>
  <si>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</si>
  <si>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</si>
  <si>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</si>
  <si>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</si>
  <si>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</si>
  <si>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</si>
  <si>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</si>
  <si>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</si>
  <si>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</si>
  <si>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</si>
  <si>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</si>
  <si>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</si>
  <si>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</si>
  <si>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</si>
  <si>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</si>
  <si>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</si>
  <si>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</si>
  <si>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</si>
  <si>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</si>
  <si>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</si>
  <si>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</si>
  <si>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</si>
  <si>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</si>
  <si>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</si>
  <si>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</si>
  <si>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</si>
  <si>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</si>
  <si>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</si>
  <si>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</si>
  <si>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</si>
  <si>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</si>
  <si>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</si>
  <si>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</si>
  <si>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</si>
  <si>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</si>
  <si>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</si>
  <si>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</si>
  <si>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</si>
  <si>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</si>
  <si>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</si>
  <si>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</si>
  <si>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</si>
  <si>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</si>
  <si>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</si>
  <si>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</si>
  <si>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</si>
  <si>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</si>
  <si>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</si>
  <si>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</si>
  <si>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</si>
  <si>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</si>
  <si>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</si>
  <si>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</si>
  <si>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</si>
  <si>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</si>
  <si>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</si>
  <si>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</si>
  <si>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</si>
  <si>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</si>
  <si>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</si>
  <si>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</si>
  <si>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</si>
  <si>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</si>
  <si>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</si>
  <si>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</si>
  <si>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</si>
  <si>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</si>
  <si>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</si>
  <si>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</si>
  <si>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</si>
  <si>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</si>
  <si>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</si>
  <si>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</si>
  <si>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</si>
  <si>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</si>
  <si>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</si>
  <si>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</si>
  <si>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</si>
  <si>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</si>
  <si>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</si>
  <si>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</si>
  <si>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</si>
  <si>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</si>
  <si>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</si>
  <si>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</si>
  <si>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</si>
  <si>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</si>
  <si>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</si>
  <si>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</si>
  <si>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</si>
  <si>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</si>
  <si>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</si>
  <si>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</si>
  <si>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</si>
  <si>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</si>
  <si>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</si>
  <si>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</si>
  <si>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</si>
  <si>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</si>
  <si>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</si>
  <si>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</si>
  <si>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</si>
  <si>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</si>
  <si>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</si>
  <si>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</si>
  <si>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</si>
  <si>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</si>
  <si>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</si>
  <si>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</si>
  <si>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</si>
  <si>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</si>
  <si>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</si>
  <si>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</si>
  <si>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</si>
  <si>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</si>
  <si>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</si>
  <si>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</si>
  <si>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</si>
  <si>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</si>
  <si>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</si>
  <si>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</si>
  <si>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</si>
  <si>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</si>
  <si>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</si>
  <si>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</si>
  <si>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</si>
  <si>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</si>
  <si>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</si>
  <si>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</si>
  <si>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</si>
  <si>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</si>
  <si>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</si>
  <si>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</si>
  <si>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</si>
  <si>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</si>
  <si>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</si>
  <si>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</si>
  <si>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</si>
  <si>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</si>
  <si>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</si>
  <si>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</si>
  <si>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</si>
  <si>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</si>
  <si>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</si>
  <si>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</si>
  <si>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</si>
  <si>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</si>
  <si>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</si>
  <si>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</si>
  <si>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</si>
  <si>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</si>
  <si>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</si>
  <si>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</si>
  <si>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promedio a comprobar</t>
  </si>
  <si>
    <t>apuesta</t>
  </si>
  <si>
    <t>dias transcurridos</t>
  </si>
  <si>
    <t>suma pool dias transcurridos</t>
  </si>
  <si>
    <t>Participante</t>
  </si>
  <si>
    <t>media omie</t>
  </si>
  <si>
    <t>mes</t>
  </si>
  <si>
    <t>SUPERPORRAOMIE2024</t>
  </si>
  <si>
    <t>Apuesta Virtual MVP</t>
  </si>
  <si>
    <t>límite sup</t>
  </si>
  <si>
    <t>limite inf</t>
  </si>
  <si>
    <t>omie inf</t>
  </si>
  <si>
    <t>omie sup</t>
  </si>
  <si>
    <t>Jun 2024</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</si>
  <si>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</si>
  <si>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</si>
  <si>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</si>
  <si>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</si>
  <si>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</si>
  <si>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</si>
  <si>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</si>
  <si>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</si>
  <si>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</si>
  <si>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</si>
  <si>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</si>
  <si>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</si>
  <si>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</si>
  <si>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</si>
  <si>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</si>
  <si>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</si>
  <si>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</si>
  <si>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</si>
  <si>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</si>
  <si>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</si>
  <si>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</si>
  <si>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</si>
  <si>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</si>
  <si>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</si>
  <si>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</si>
  <si>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</si>
  <si>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</si>
  <si>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</si>
  <si>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</si>
  <si>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</si>
  <si>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</si>
  <si>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</si>
  <si>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</si>
  <si>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</si>
  <si>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</si>
  <si>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</si>
  <si>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</si>
  <si>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</si>
  <si>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</si>
  <si>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</si>
  <si>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</si>
  <si>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</si>
  <si>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</si>
  <si>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</si>
  <si>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</si>
  <si>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</si>
  <si>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</si>
  <si>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</si>
  <si>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</si>
  <si>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</si>
  <si>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</si>
  <si>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</si>
  <si>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</si>
  <si>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</si>
  <si>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</si>
  <si>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</si>
  <si>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</si>
  <si>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</si>
  <si>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</si>
  <si>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</si>
  <si>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</si>
  <si>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</si>
  <si>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</si>
  <si>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</si>
  <si>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</si>
  <si>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</si>
  <si>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</si>
  <si>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</si>
  <si>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</si>
  <si>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</si>
  <si>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</si>
  <si>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</si>
  <si>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</si>
  <si>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</si>
  <si>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</si>
  <si>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</si>
  <si>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</si>
  <si>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</si>
  <si>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</si>
  <si>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</si>
  <si>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</si>
  <si>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</si>
  <si>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</si>
  <si>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Tiro de datos.</t>
  </si>
  <si>
    <t>51,49</t>
  </si>
  <si>
    <t>55,55</t>
  </si>
  <si>
    <t>Ricardo</t>
  </si>
  <si>
    <t>55,32</t>
  </si>
  <si>
    <t>Nadie sabe nada</t>
  </si>
  <si>
    <t>Rich</t>
  </si>
  <si>
    <t>Paco Luis</t>
  </si>
  <si>
    <t>Pérez Zarco</t>
  </si>
  <si>
    <t>56,2</t>
  </si>
  <si>
    <t>Pacozarco</t>
  </si>
  <si>
    <t>59</t>
  </si>
  <si>
    <t>43,83</t>
  </si>
  <si>
    <t>55,3</t>
  </si>
  <si>
    <t>Javier Fernandez Maza</t>
  </si>
  <si>
    <t>Daniel Pérez Carrasco</t>
  </si>
  <si>
    <t>Jorge Gonzalez Onieva Johansson</t>
  </si>
  <si>
    <t>Sergio García Sanz</t>
  </si>
  <si>
    <t>Ignacio Irigoyen</t>
  </si>
  <si>
    <t>Paco Cuadrado</t>
  </si>
  <si>
    <t>Víctor Baeschlin Sánchez</t>
  </si>
  <si>
    <t>Jesús Aceituno López</t>
  </si>
  <si>
    <t>Alejandro Lopez Fernandez</t>
  </si>
  <si>
    <t>Gabino Jiménez-Castillo</t>
  </si>
  <si>
    <t>Javier Lazaro</t>
  </si>
  <si>
    <t>Ricardo Estevez</t>
  </si>
  <si>
    <t>Paco Luis Pérez Zarco</t>
  </si>
  <si>
    <t>Gorka Arratibel Pastor</t>
  </si>
  <si>
    <t>JUNIO</t>
  </si>
  <si>
    <t>JUNIO 2024</t>
  </si>
  <si>
    <t>44,45</t>
  </si>
  <si>
    <t>Jun 2024 - old</t>
  </si>
  <si>
    <t>53,41</t>
  </si>
  <si>
    <t>47,82</t>
  </si>
  <si>
    <t>X-Mes: Futuros de días pasados...</t>
  </si>
  <si>
    <t>junio</t>
  </si>
  <si>
    <t>El precio del CO2 tira fuerte</t>
  </si>
  <si>
    <t>Juan Luis Jarillo</t>
  </si>
  <si>
    <t>Jorge González Arconada</t>
  </si>
  <si>
    <t xml:space="preserve">Según evolución de alza de precios y media anteriores ejercicios </t>
  </si>
  <si>
    <t>Jorge koneqta</t>
  </si>
  <si>
    <t>Los precios deberían de ir subiendo</t>
  </si>
  <si>
    <t>Mes de quitarse el sayo. Espero que sigan bajando las lluvias y el desembalse, y bajará el viento, a la par que sube la demanda sobre  todo en las horas de sol por aire acondicionado. Pasaremos a ver precios bajos con menos frecuencia, sobre todo fuera de las horas de sol, y vuelta a quemar gas que está de nuevo muy caro. Me sale un rango esperado de 45 a 58, y rango absoluto en caso de mucho viento o lluvias podríamos bajar hasta 40€. Veo OMIP infraestimando, y mi expectativa central unos 8€ por encima de OMIP. Mes de días muy baratos cuando sople viento como los 3 primeros-, y días muy caros los días de calma chicha, sobre todo a final de mes cuando baje el agua.</t>
  </si>
  <si>
    <t>mediana</t>
  </si>
  <si>
    <t>desvest.n</t>
  </si>
  <si>
    <t>distrib n</t>
  </si>
  <si>
    <t>acum</t>
  </si>
  <si>
    <t>meses</t>
  </si>
  <si>
    <t>Hugo</t>
  </si>
  <si>
    <t>Pimiento</t>
  </si>
  <si>
    <t>González Arconada</t>
  </si>
  <si>
    <t>Jul 2024</t>
  </si>
  <si>
    <t>43,4</t>
  </si>
  <si>
    <t>Sube la demanda y control de frecuencia en horas punta de producción y de demanda</t>
  </si>
  <si>
    <t>52,24</t>
  </si>
  <si>
    <t>63,18</t>
  </si>
  <si>
    <t>42,11</t>
  </si>
  <si>
    <t>39,59</t>
  </si>
  <si>
    <t>49,29</t>
  </si>
  <si>
    <t>51,4</t>
  </si>
  <si>
    <t>cuentan</t>
  </si>
  <si>
    <t>dif s/anterior</t>
  </si>
  <si>
    <t>n</t>
  </si>
  <si>
    <t>suma_spot</t>
  </si>
  <si>
    <t>media pool</t>
  </si>
  <si>
    <t>hasta el</t>
  </si>
  <si>
    <t>Pos</t>
  </si>
  <si>
    <t>Intervalo de valores de OMIE para el día siguiente</t>
  </si>
  <si>
    <t>Intervalo de valores de OMIE medio para todo el mes restante</t>
  </si>
  <si>
    <t>dias totales n+1</t>
  </si>
  <si>
    <t>dias totales mes</t>
  </si>
  <si>
    <t>dias faltantes mes</t>
  </si>
  <si>
    <t>Jose carlos</t>
  </si>
  <si>
    <t>Perez</t>
  </si>
  <si>
    <t>Pepito</t>
  </si>
  <si>
    <t>Moisés</t>
  </si>
  <si>
    <t>Labarquilla</t>
  </si>
  <si>
    <t>MLC1970</t>
  </si>
  <si>
    <t>33,6</t>
  </si>
  <si>
    <t>Incremento del consumo y menos producción FV</t>
  </si>
  <si>
    <t>64,24</t>
  </si>
  <si>
    <t>inferior</t>
  </si>
  <si>
    <t>superior</t>
  </si>
  <si>
    <t>70</t>
  </si>
  <si>
    <t>Número redondo</t>
  </si>
  <si>
    <t>Andrea</t>
  </si>
  <si>
    <t>Zarbano</t>
  </si>
  <si>
    <t>72,36</t>
  </si>
  <si>
    <t>Anzar</t>
  </si>
  <si>
    <t>76,87</t>
  </si>
  <si>
    <t>65,5</t>
  </si>
  <si>
    <t>Media cotizacion julio con ajuste de junio</t>
  </si>
  <si>
    <t>74.65</t>
  </si>
  <si>
    <t>65,57</t>
  </si>
  <si>
    <t>Me lo dijo la bruja lola....😂</t>
  </si>
  <si>
    <t xml:space="preserve">Jorge koneqta </t>
  </si>
  <si>
    <t>68,8</t>
  </si>
  <si>
    <t>soy Pierre Nodoyuna, a ver julio!!</t>
  </si>
  <si>
    <t>Juan José</t>
  </si>
  <si>
    <t>Cuervo Arias</t>
  </si>
  <si>
    <t>58,37</t>
  </si>
  <si>
    <t xml:space="preserve">Pura potra, a ver si hay suerte! </t>
  </si>
  <si>
    <t>Juanjo</t>
  </si>
  <si>
    <t>Gonzalo</t>
  </si>
  <si>
    <t>Cruz Ortega</t>
  </si>
  <si>
    <t>37,64</t>
  </si>
  <si>
    <t>73,94</t>
  </si>
  <si>
    <t>Los precios llevan una tendencia alcista, y la demanda sube en los meses de verano, ademas que bajan generaciones como eólica.</t>
  </si>
  <si>
    <t xml:space="preserve">Oscar </t>
  </si>
  <si>
    <t>OMIP</t>
  </si>
  <si>
    <t>28-06-2024</t>
  </si>
  <si>
    <t>Cotización de OMIP a cierre del 28-06-2024</t>
  </si>
  <si>
    <t>OMIP 28-06-2024</t>
  </si>
  <si>
    <t>73,8</t>
  </si>
  <si>
    <t>Mes de demanda elevada por aire acondicionado y turismo, ya con poca agua fluyente, y siempre poco viento, algo menos que en junio. Preveo cerca de 20% de horas con vertido, y 80% marcadas por un gas que vuelve a estar caro y no preveo que baje significativamente.  Los embalses siguen muy altos pero da igual porque no necesitan turbinar por miedo a desbordamientos. China está tirando mucho de GNL, y hay más motivos de subida que de bajada, pero OMIP este mes coincide mucho con mi apuesta, sólo ligeramente más baja en 73,8 frente a 75,9 de OMIP.  Por baja volatilidad meteo, preveo poco error respecto a OMIP.  Por tanto si todos han apostado cerca de OMIE, estaremos todos apiñados con muchos posibles ganadores y MPV diarios, y a todos los que se salgan de 70-77 les doy pocas probabilidades. A los que estén fuera de 66-81 no les doy ninguna :-). Peeero, ya sabéis que siempre puede haber tortugas rojas, o puede ser que el mercado falle..</t>
  </si>
  <si>
    <t>74,47</t>
  </si>
  <si>
    <t xml:space="preserve">Seguir la línea de futuros: OMIP, MEFF... Dejo las corazonadas y los juegos con porcentajes, no te niego que me entretiene pero últimamente voy escaso de tiempo. Desconozco si podré remontar lo perdido en junio... Saludos </t>
  </si>
  <si>
    <t>68,14</t>
  </si>
  <si>
    <t xml:space="preserve">Juan Pedro Conejo </t>
  </si>
  <si>
    <t>77,77</t>
  </si>
  <si>
    <t>78,65</t>
  </si>
  <si>
    <t>48,3</t>
  </si>
  <si>
    <t>73,37</t>
  </si>
  <si>
    <t>Más demanda, más miedo por el gas, menos viento...</t>
  </si>
  <si>
    <t>72,3</t>
  </si>
  <si>
    <t>47,3</t>
  </si>
  <si>
    <t>78,52</t>
  </si>
  <si>
    <t>Perez de Eulate</t>
  </si>
  <si>
    <t>64,67</t>
  </si>
  <si>
    <t>Xavi Perez de Eulate</t>
  </si>
  <si>
    <t>72,58</t>
  </si>
  <si>
    <t>68,67</t>
  </si>
  <si>
    <t>Rafael</t>
  </si>
  <si>
    <t>Tejada Bonilla</t>
  </si>
  <si>
    <t>78,89</t>
  </si>
  <si>
    <t>Siguiendo % de subida</t>
  </si>
  <si>
    <t>Rafael Tejada</t>
  </si>
  <si>
    <t>Redondo Ferrara</t>
  </si>
  <si>
    <t>68,17</t>
  </si>
  <si>
    <t>JRF</t>
  </si>
  <si>
    <t>67,89</t>
  </si>
  <si>
    <t>60</t>
  </si>
  <si>
    <t>Habrá menos hidraúalica y menos viento. Tendría que ser mayor que junio</t>
  </si>
  <si>
    <t>Lo tengo clarísimo 💪🤣</t>
  </si>
  <si>
    <t>69,68</t>
  </si>
  <si>
    <t>Numero bonito</t>
  </si>
  <si>
    <t>Lucia</t>
  </si>
  <si>
    <t>Garin</t>
  </si>
  <si>
    <t>50,03</t>
  </si>
  <si>
    <t>LuciaGarin</t>
  </si>
  <si>
    <t>66,5</t>
  </si>
  <si>
    <t>55,1</t>
  </si>
  <si>
    <t>pura potra</t>
  </si>
  <si>
    <t>pacozarco</t>
  </si>
  <si>
    <t>76,43</t>
  </si>
  <si>
    <t>66,66</t>
  </si>
  <si>
    <t>67,7</t>
  </si>
  <si>
    <t>71,8</t>
  </si>
  <si>
    <t>74,54</t>
  </si>
  <si>
    <t xml:space="preserve">Jose Manuel otero </t>
  </si>
  <si>
    <t>60,68</t>
  </si>
  <si>
    <t>79,41</t>
  </si>
  <si>
    <t>Me lo ha chivado un pajarito</t>
  </si>
  <si>
    <t>Es posible q el mercado incluso sea más bajo, Lis primeros días pueden ser precios bajos, y dependerá del calor, no me extrañaría q empezaran los primeros 10 días con precio por debajo de 55,</t>
  </si>
  <si>
    <t>José</t>
  </si>
  <si>
    <t>Valle</t>
  </si>
  <si>
    <t>63,91</t>
  </si>
  <si>
    <t>José Valle</t>
  </si>
  <si>
    <t>68,26</t>
  </si>
  <si>
    <t xml:space="preserve">Bola de cristal </t>
  </si>
  <si>
    <t>Rafa</t>
  </si>
  <si>
    <t>64,71</t>
  </si>
  <si>
    <t>el viento me sopló por ahí</t>
  </si>
  <si>
    <t>65,25</t>
  </si>
  <si>
    <t>Daditos,daditos</t>
  </si>
  <si>
    <t>JULIO</t>
  </si>
  <si>
    <t>JULIO 2024</t>
  </si>
  <si>
    <t>Rafael Tejada Bonilla</t>
  </si>
  <si>
    <t>Omip 28-06-2024</t>
  </si>
  <si>
    <t>Andrea Zarbano</t>
  </si>
  <si>
    <t>Juan Redondo Ferrara</t>
  </si>
  <si>
    <t>Javier Perez De Eulate</t>
  </si>
  <si>
    <t>Jose Carlos Perez</t>
  </si>
  <si>
    <t>Juan José Cuervo Arias</t>
  </si>
  <si>
    <t>Lucia Garin</t>
  </si>
  <si>
    <t>Hugo Pimiento</t>
  </si>
  <si>
    <t>Gonzalo Cruz Ortega</t>
  </si>
  <si>
    <t>Moisés Labarquilla</t>
  </si>
  <si>
    <t>67,45</t>
  </si>
  <si>
    <t>69,55</t>
  </si>
  <si>
    <t>julio</t>
  </si>
  <si>
    <t>max diario 2024</t>
  </si>
  <si>
    <t>65,26</t>
  </si>
  <si>
    <t>66,67</t>
  </si>
  <si>
    <t>max</t>
  </si>
  <si>
    <t>limites powerrange</t>
  </si>
  <si>
    <t>Ago 2024</t>
  </si>
  <si>
    <t>78,99</t>
  </si>
  <si>
    <t xml:space="preserve">Juan Pedro </t>
  </si>
  <si>
    <t>75,04</t>
  </si>
  <si>
    <t>Y en unos días me desconecto, los dados me darán la victoria.</t>
  </si>
  <si>
    <t>76,4</t>
  </si>
  <si>
    <t>Mes parecido a julio, pero con tendencia opuesta, empezando muy altos en plena ola de calor, y terminando más bajos con todos en el chiringuito y la industria parada. Me sale un rango probable de 71 a 81€, con expectativa de 76,4€, y por tanto OMIP muy atinado sobreestimando unos 2 eurillos.  Rango extremo de 66 a 88, ante volatilidad de combustibles y viento alto/bajo. Será determinante cuánto dure esta ola de calor, y cuántas medallas ganemos en los olímpicos.  A hidratarse mucho.</t>
  </si>
  <si>
    <t>74,8</t>
  </si>
  <si>
    <t>74,77</t>
  </si>
  <si>
    <t>Herrero del Barrio</t>
  </si>
  <si>
    <t>87,85</t>
  </si>
  <si>
    <t>Sería potra</t>
  </si>
  <si>
    <t>Pablo HB</t>
  </si>
  <si>
    <t>80,65</t>
  </si>
  <si>
    <t>87,78</t>
  </si>
  <si>
    <t>76,22</t>
  </si>
  <si>
    <t>72,6</t>
  </si>
  <si>
    <t>82,28</t>
  </si>
  <si>
    <t>Eolos ayúdanos :'(</t>
  </si>
  <si>
    <t xml:space="preserve">Crystal Ball algorithm </t>
  </si>
  <si>
    <t>76,26</t>
  </si>
  <si>
    <t>En estos meses veraniegos estoy un poco desconectado, me viene justo echar las runas al aire y pedirle a Odín que me de suerte. Cuídate mucho, feliz verano!!!</t>
  </si>
  <si>
    <t>69,57</t>
  </si>
  <si>
    <t>Visto lo visto yo creo que estará un poco por debajo, por qué habrá inestabilidad en el tiempo, con lluvias y días no tan calurosos.</t>
  </si>
  <si>
    <t>81,6</t>
  </si>
  <si>
    <t>OMIP X-Mes + 6%</t>
  </si>
  <si>
    <t>79,99</t>
  </si>
  <si>
    <t>69,1</t>
  </si>
  <si>
    <t>78,61</t>
  </si>
  <si>
    <t>65,86</t>
  </si>
  <si>
    <t>73,35</t>
  </si>
  <si>
    <t>71,2</t>
  </si>
  <si>
    <t>CARLES</t>
  </si>
  <si>
    <t>70,7</t>
  </si>
  <si>
    <t>74,3</t>
  </si>
  <si>
    <t>73,33</t>
  </si>
  <si>
    <t xml:space="preserve"> Bea</t>
  </si>
  <si>
    <t>71,5</t>
  </si>
  <si>
    <t xml:space="preserve">Dani </t>
  </si>
  <si>
    <t>78</t>
  </si>
  <si>
    <t>He tirado dos veces un dado de dos caras, el primero ha salido 8 (unidades)y el segundo 7(decenas).</t>
  </si>
  <si>
    <t>Javi Perez</t>
  </si>
  <si>
    <t>Andres</t>
  </si>
  <si>
    <t>Canal</t>
  </si>
  <si>
    <t>70,45</t>
  </si>
  <si>
    <t>Mi Excel esta sin completar del todo, pero entre el y el dedo mágico. a ver si hay suerte</t>
  </si>
  <si>
    <t>Jayko</t>
  </si>
  <si>
    <t>Leiva</t>
  </si>
  <si>
    <t>86,91</t>
  </si>
  <si>
    <t>64,66</t>
  </si>
  <si>
    <t>CarloMG</t>
  </si>
  <si>
    <t>69.7</t>
  </si>
  <si>
    <t>69,37</t>
  </si>
  <si>
    <t>Potra, por algo soy el caballo de la suerte🫡</t>
  </si>
  <si>
    <t>Caballo de la suerte</t>
  </si>
  <si>
    <t>77.6</t>
  </si>
  <si>
    <t>Estévez Solís</t>
  </si>
  <si>
    <t>76,32</t>
  </si>
  <si>
    <t>69,99</t>
  </si>
  <si>
    <t>Dios del aire! Dios de la lluvia! En tu encomiendo mi predicción,sino hágase vuestra voluntad 🤣🤣</t>
  </si>
  <si>
    <t>65,43</t>
  </si>
  <si>
    <t>73,12</t>
  </si>
  <si>
    <t>70,5</t>
  </si>
  <si>
    <t>Repito lo de Julio a ver si hay suerte.</t>
  </si>
  <si>
    <t>Yorchx</t>
  </si>
  <si>
    <t>Pablo Herrero Del Barrio</t>
  </si>
  <si>
    <t>Rafael Leiva</t>
  </si>
  <si>
    <t>Ricardo Estévez Solís</t>
  </si>
  <si>
    <t>Andres Canal</t>
  </si>
  <si>
    <t>agosto</t>
  </si>
  <si>
    <t>AGOSTO</t>
  </si>
  <si>
    <t>AGOSTO 2024</t>
  </si>
  <si>
    <t>Media OMIE</t>
  </si>
  <si>
    <t>dif</t>
  </si>
  <si>
    <t>%</t>
  </si>
  <si>
    <t>74,81</t>
  </si>
  <si>
    <t>Jagoba</t>
  </si>
  <si>
    <t>Riveiro Zafra</t>
  </si>
  <si>
    <t>Sep 2024</t>
  </si>
  <si>
    <t>89,4</t>
  </si>
  <si>
    <t>Jrzjob</t>
  </si>
  <si>
    <t>92,87</t>
  </si>
  <si>
    <t>84,9</t>
  </si>
  <si>
    <t>Demanda a la baja respecto a agosto, vuelven muchos comercios pero baja la climatización y el turismo. En cuanto a las renovables, tipicamente hay algo más de viento y sol parecido con que a mismo precio de gas tendremos algo más de situaciones de vertido. Por otra parte, el gas sigue muy volátil, pero veo más motivos de bajada que de subida respecto a los Forward de gas a cierre de agosto. Me sale un valor esperado ligeramente inferior a OMIP, de 84,9€, +/-4€ como rango probable, y hasta +/-10€ como rango extremo posible si hubiese movimientos fuertes del gas o meteorología muy fuera de estadísticas. El mayor valor a monitorizar es el gas, que si bien espero cierta bajada mas adelante hacia 35€, cualquier noticia mala lo puede volver a subir a &gt;40€.</t>
  </si>
  <si>
    <t>93,65</t>
  </si>
  <si>
    <t xml:space="preserve">Iluminado </t>
  </si>
  <si>
    <t>79,89</t>
  </si>
  <si>
    <t>87,4</t>
  </si>
  <si>
    <t>94,79</t>
  </si>
  <si>
    <t>MEFF media 3/4 + % sep23</t>
  </si>
  <si>
    <t>93,89</t>
  </si>
  <si>
    <t>68,24</t>
  </si>
  <si>
    <t>Más menos como agosto, aunque la previsión es que sea al alza, viendo la meteorología yo creo que quedará más o menos parecido</t>
  </si>
  <si>
    <t>91,11</t>
  </si>
  <si>
    <t>95,54</t>
  </si>
  <si>
    <t>104,34</t>
  </si>
  <si>
    <t>94,3</t>
  </si>
  <si>
    <t>85,5</t>
  </si>
  <si>
    <t>El sol,la lluvia,el gas,las guerras,el polvo del camino,bla,bla,bla</t>
  </si>
  <si>
    <t>92,8</t>
  </si>
  <si>
    <t>89,93</t>
  </si>
  <si>
    <t>Mes de leve bajada respecto agosto "espero"</t>
  </si>
  <si>
    <t>85,98</t>
  </si>
  <si>
    <t>Bueno, espero que el mes de septiembre nos sorprenda con lluvias y algún frente, según previsiones meteorológicas y otros efectos adversos que nos afectan. Por ese motivo bajo un poco mi apuesta, aunque futuros van para arriba. No quiero tirar de corazonada porque no me funcionó... prefiero ser un poco cauto y no dispongo de mucho tiempo para revisar históricos y hacer una previa como dios manda. Saludos.</t>
  </si>
  <si>
    <t>97,05</t>
  </si>
  <si>
    <t>91,86</t>
  </si>
  <si>
    <t>90,9</t>
  </si>
  <si>
    <t>81,46</t>
  </si>
  <si>
    <t>Suma de 60% precio max y 40% precio min cotizacion sept'24</t>
  </si>
  <si>
    <t>98,5</t>
  </si>
  <si>
    <t>Crystal ball algorithm</t>
  </si>
  <si>
    <t xml:space="preserve">Javier Espelta </t>
  </si>
  <si>
    <t>86,86</t>
  </si>
  <si>
    <t>88,05</t>
  </si>
  <si>
    <t>Josep</t>
  </si>
  <si>
    <t>91,26</t>
  </si>
  <si>
    <t>86,44</t>
  </si>
  <si>
    <t>Creo que el comportamiento será parecido a Agosto, pero con algo más de precio de gas. A final de mes imagino que el precio caerá un poco, y además hay que tener en cuenta que sep tiene 5 domingos, y agosto 4, con lo cual ahí se baja un poco la media! POr eso me animo a poner menos precio que en Agosto, aunque los futuros digan otra cosa... a ver cómo sale la cosa!</t>
  </si>
  <si>
    <t>Esto es una ruleta 🤣🤣🤣</t>
  </si>
  <si>
    <t>82,44</t>
  </si>
  <si>
    <t>88</t>
  </si>
  <si>
    <t>90,66</t>
  </si>
  <si>
    <t>Ruben</t>
  </si>
  <si>
    <t>Sanjuan Escribano</t>
  </si>
  <si>
    <t>85,23</t>
  </si>
  <si>
    <t>Por poner algo, es imposible hacer predicciones.</t>
  </si>
  <si>
    <t>Rubsan</t>
  </si>
  <si>
    <t>95,22</t>
  </si>
  <si>
    <t>88,88</t>
  </si>
  <si>
    <t>81,73</t>
  </si>
  <si>
    <t>Me lo ha chivado la bruja Lola</t>
  </si>
  <si>
    <t>Chus</t>
  </si>
  <si>
    <t>91,77</t>
  </si>
  <si>
    <t>87.6</t>
  </si>
  <si>
    <t xml:space="preserve">Alla vamos a esta locura </t>
  </si>
  <si>
    <t xml:space="preserve">Otero </t>
  </si>
  <si>
    <t>89,23</t>
  </si>
  <si>
    <t>Richi</t>
  </si>
  <si>
    <t>73,55€/MWh</t>
  </si>
  <si>
    <t>Llevo dos meses mal...así que espero que septiembre sea mejor🎲🎲por supuesto tire los dados y mire las mareas🌊</t>
  </si>
  <si>
    <t>septiembre</t>
  </si>
  <si>
    <t>Javier Espelta Espelta</t>
  </si>
  <si>
    <t>Josep Vidal</t>
  </si>
  <si>
    <t>Jagoba Riveiro Zafra</t>
  </si>
  <si>
    <t>Jose Manuel Otero Lopez</t>
  </si>
  <si>
    <t>Ruben Sanjuan Escribano</t>
  </si>
  <si>
    <t>SEPTIEMBRE</t>
  </si>
  <si>
    <t>SEPTIEMBRE 2024</t>
  </si>
  <si>
    <t>Zona StarPower probable</t>
  </si>
  <si>
    <t>Zona StarPower posible</t>
  </si>
  <si>
    <t>#N/A</t>
  </si>
  <si>
    <t>Oct 2024</t>
  </si>
  <si>
    <t>Javier Sáez</t>
  </si>
  <si>
    <t>Tengo la bola de cristal... :)</t>
  </si>
  <si>
    <t>Javier Saez</t>
  </si>
  <si>
    <t>Análisis de futurosy pasados, salpimentado con bolsa de cristal</t>
  </si>
  <si>
    <t>Algún día acertaré y cuando me de por estudiar el mercado eléctrico, igual quedo entre los 20 primeros</t>
  </si>
  <si>
    <t>Pablo Suárez Sebastián</t>
  </si>
  <si>
    <t>Pablo Suárez</t>
  </si>
  <si>
    <t>En octubre espero varios cambios. Demanda algo inferior, y eólica generalmente superior pero este septiembre ha hecho mucho viento con que espero un incremento medio de 0,5-1GW adicional, que se compensa casi con la menor solar. O sea que renovables sólo algo superiores a septiembre. Por parte del gas, espero ligera subida respecto a septiembre. El efecto neto, espero algo más alto que en septiembre, hasta los 77,2€/MWh. Rango probable +/-4€, y posible hasta +/-10€. Veo a OMIP infraestimando ligeramente en esta ocasión.</t>
  </si>
  <si>
    <t>Jorge Gonzalez Arconada</t>
  </si>
  <si>
    <t>mis previsiones eran muy optimistas por lo que veo, lanzo octubre un poco mas de lo que puse en septiembre por que espero que siga bajando, pero me quede muy corto en septiembre.</t>
  </si>
  <si>
    <t>jorge koneqta</t>
  </si>
  <si>
    <t>Si empieza el viento y la hidro en máximos de hace 10 años, los precios bajarán muchos más.</t>
  </si>
  <si>
    <t>Rafael Tejada Tejada Bonilla</t>
  </si>
  <si>
    <t>Cristoauditor Monasor Merino</t>
  </si>
  <si>
    <t>Pura potra</t>
  </si>
  <si>
    <t>Cristo</t>
  </si>
  <si>
    <t>Todo apuntaba a precios altos en septiembre, todo lo contrario ha sido y gracias a la inestabilidad meteorológica que seguirá en octubre y posiblemente en noviembre. Los temporales se descuelgan del atlántico norte y nos están afectando bastante, los embalses se seguirán llenando y los aerogeneradores dale que te pego. Aprovecho para hacer un llamamiento a la dirección para que se amplíe los comensales del evento final, yo me pagaré la comida o la cena pero no me gustaría perdérmela por nada de este mundo.</t>
  </si>
  <si>
    <t>Perdón por llegar tarde!</t>
  </si>
  <si>
    <t>Victor Baeschlin Sanchez</t>
  </si>
  <si>
    <t>Mi apuesta es de esta vez al 6...es Octubre, buen mes para aire y lluvia 😂🤣💪</t>
  </si>
  <si>
    <t>arreu</t>
  </si>
  <si>
    <t>Ya es momento que la eólica y la hidráulica empiecen a hacer de las suyas.</t>
  </si>
  <si>
    <t>Diego Montesino</t>
  </si>
  <si>
    <t>Faro</t>
  </si>
  <si>
    <t>Alfonso Zárate Zárate Conde</t>
  </si>
  <si>
    <t>octubre</t>
  </si>
  <si>
    <t>OCTUBRE</t>
  </si>
  <si>
    <t>OCTUBRE 2024</t>
  </si>
  <si>
    <t>Cristoauditor</t>
  </si>
  <si>
    <t>monasor merino</t>
  </si>
  <si>
    <t>Diego</t>
  </si>
  <si>
    <t>Montesino</t>
  </si>
  <si>
    <t>Sáez</t>
  </si>
  <si>
    <t>Suárez Sebastián</t>
  </si>
  <si>
    <t>ene-24</t>
  </si>
  <si>
    <t>feb-24</t>
  </si>
  <si>
    <t>mar-24</t>
  </si>
  <si>
    <t>abr-24</t>
  </si>
  <si>
    <t>may-24</t>
  </si>
  <si>
    <t>jun-24</t>
  </si>
  <si>
    <t>jul-24</t>
  </si>
  <si>
    <t>ago-24</t>
  </si>
  <si>
    <t>sep-24</t>
  </si>
  <si>
    <t>oct-24</t>
  </si>
  <si>
    <t>omip M-1</t>
  </si>
  <si>
    <t xml:space="preserve">viene de la powerapp </t>
  </si>
  <si>
    <t>margen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</si>
</sst>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24"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sz val="9"/>
      <color theme="1" tint="0.499984740745262"/>
      <name val="Arial"/>
      <family val="2"/>
    </font>
    <font>
      <b/>
      <sz val="28"/>
      <color theme="1"/>
      <name val="Impact"/>
      <family val="2"/>
    </font>
    <font>
      <b/>
      <sz val="12"/>
      <color theme="1"/>
      <name val="Arial"/>
      <family val="2"/>
    </font>
    <font>
      <b/>
      <sz val="16"/>
      <color theme="1"/>
      <name val="Arial"/>
      <family val="2"/>
    </font>
    <font>
      <sz val="10"/>
      <color theme="1"/>
      <name val="Arial"/>
      <family val="2"/>
    </font>
    <font>
      <b/>
      <sz val="10"/>
      <color theme="1" tint="0.499984740745262"/>
      <name val="Arial"/>
      <family val="2"/>
    </font>
  </fonts>
  <fills count="18">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7" tint="0.79998168889431442"/>
        <bgColor indexed="64"/>
      </patternFill>
    </fill>
    <fill>
      <patternFill patternType="solid">
        <fgColor theme="8" tint="0.79998168889431442"/>
        <bgColor indexed="64"/>
      </patternFill>
    </fill>
  </fills>
  <borders count="29">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
      <left style="thin">
        <color theme="0"/>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59">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18" fillId="0" borderId="0" xfId="0" applyNumberFormat="1" applyFont="1" applyAlignment="1">
      <alignment horizontal="center"/>
    </xf>
    <xf numFmtId="10" fontId="0" fillId="0" borderId="0" xfId="1" applyNumberFormat="1" applyFont="1" applyFill="1" applyBorder="1" applyAlignment="1">
      <alignment horizontal="center"/>
    </xf>
    <xf numFmtId="49" fontId="19" fillId="0" borderId="0" xfId="0" applyNumberFormat="1" applyFont="1" applyAlignment="1">
      <alignment vertical="center" wrapText="1"/>
    </xf>
    <xf numFmtId="2" fontId="0" fillId="14" borderId="24" xfId="0" applyNumberFormat="1" applyFill="1" applyBorder="1" applyAlignment="1">
      <alignment horizontal="center"/>
    </xf>
    <xf numFmtId="2" fontId="0" fillId="15" borderId="24" xfId="0" applyNumberFormat="1" applyFill="1" applyBorder="1" applyAlignment="1">
      <alignment horizontal="center"/>
    </xf>
    <xf numFmtId="2" fontId="0" fillId="14" borderId="20" xfId="0" applyNumberFormat="1" applyFill="1" applyBorder="1" applyAlignment="1">
      <alignment horizontal="center"/>
    </xf>
    <xf numFmtId="2" fontId="10" fillId="0" borderId="0" xfId="0" applyNumberFormat="1" applyFont="1"/>
    <xf numFmtId="0" fontId="22" fillId="0" borderId="0" xfId="0" applyFont="1" applyAlignment="1">
      <alignment vertical="center"/>
    </xf>
    <xf numFmtId="0" fontId="14" fillId="0" borderId="0" xfId="0" applyFont="1" applyAlignment="1">
      <alignment horizontal="center" vertical="center"/>
    </xf>
    <xf numFmtId="0" fontId="23" fillId="0" borderId="0" xfId="0" applyFont="1" applyAlignment="1">
      <alignment horizontal="center" vertical="center"/>
    </xf>
    <xf numFmtId="0" fontId="20" fillId="0" borderId="0" xfId="0" applyFont="1" applyAlignment="1">
      <alignment vertical="center"/>
    </xf>
    <xf numFmtId="0" fontId="21" fillId="0" borderId="0" xfId="0" applyFont="1" applyAlignment="1">
      <alignment vertical="center"/>
    </xf>
    <xf numFmtId="0" fontId="14" fillId="0" borderId="25" xfId="0" applyFont="1" applyBorder="1" applyAlignment="1">
      <alignment horizontal="center" vertical="center"/>
    </xf>
    <xf numFmtId="0" fontId="14" fillId="0" borderId="26" xfId="0" applyFont="1" applyBorder="1" applyAlignment="1">
      <alignment horizontal="center" vertical="center"/>
    </xf>
    <xf numFmtId="2" fontId="0" fillId="0" borderId="27" xfId="0" applyNumberFormat="1" applyBorder="1" applyAlignment="1">
      <alignment horizontal="center"/>
    </xf>
    <xf numFmtId="2" fontId="0" fillId="0" borderId="28" xfId="0" applyNumberFormat="1" applyBorder="1" applyAlignment="1">
      <alignment horizontal="center"/>
    </xf>
    <xf numFmtId="0" fontId="6" fillId="0" borderId="0" xfId="0" applyFont="1" applyAlignment="1">
      <alignment horizontal="center" vertical="center"/>
    </xf>
    <xf numFmtId="2" fontId="5" fillId="0" borderId="0" xfId="0" applyNumberFormat="1" applyFont="1" applyAlignment="1">
      <alignment horizontal="center"/>
    </xf>
    <xf numFmtId="0" fontId="0" fillId="0" borderId="0" xfId="0" applyAlignment="1">
      <alignment vertical="center"/>
    </xf>
    <xf numFmtId="14" fontId="0" fillId="0" borderId="0" xfId="0" applyNumberFormat="1" applyAlignment="1">
      <alignment horizontal="center" vertical="center"/>
    </xf>
    <xf numFmtId="2" fontId="5" fillId="2" borderId="0" xfId="0" applyNumberFormat="1" applyFont="1" applyFill="1"/>
    <xf numFmtId="2" fontId="0" fillId="0" borderId="0" xfId="1" applyNumberFormat="1" applyFont="1" applyFill="1" applyAlignment="1">
      <alignment horizontal="center"/>
    </xf>
    <xf numFmtId="2" fontId="0" fillId="4" borderId="0" xfId="0" applyNumberFormat="1" applyFill="1" applyAlignment="1">
      <alignment horizontal="center"/>
    </xf>
    <xf numFmtId="0" fontId="0" fillId="16" borderId="0" xfId="0" applyFill="1"/>
    <xf numFmtId="0" fontId="14" fillId="4" borderId="25" xfId="0" applyFont="1" applyFill="1" applyBorder="1" applyAlignment="1">
      <alignment horizontal="center" vertical="center"/>
    </xf>
    <xf numFmtId="0" fontId="14" fillId="4" borderId="26" xfId="0" applyFont="1" applyFill="1" applyBorder="1" applyAlignment="1">
      <alignment horizontal="center" vertical="center"/>
    </xf>
    <xf numFmtId="0" fontId="0" fillId="17" borderId="3" xfId="0" applyFill="1" applyBorder="1" applyAlignment="1">
      <alignment horizontal="center"/>
    </xf>
    <xf numFmtId="0" fontId="0" fillId="17" borderId="3" xfId="0" applyFill="1" applyBorder="1"/>
    <xf numFmtId="2" fontId="0" fillId="17" borderId="3" xfId="0" applyNumberFormat="1" applyFill="1" applyBorder="1" applyAlignment="1">
      <alignment horizontal="center"/>
    </xf>
    <xf numFmtId="10" fontId="0" fillId="17" borderId="3" xfId="1" applyNumberFormat="1" applyFont="1" applyFill="1" applyBorder="1" applyAlignment="1">
      <alignment horizontal="center"/>
    </xf>
    <xf numFmtId="1" fontId="0" fillId="11" borderId="0" xfId="0" applyNumberFormat="1" applyFill="1" applyAlignment="1">
      <alignment horizontal="center"/>
    </xf>
    <xf numFmtId="1" fontId="1" fillId="0" borderId="0" xfId="0" applyNumberFormat="1" applyFont="1" applyAlignment="1">
      <alignment horizontal="center"/>
    </xf>
    <xf numFmtId="1" fontId="10" fillId="0" borderId="0" xfId="0" applyNumberFormat="1" applyFont="1"/>
    <xf numFmtId="1" fontId="0" fillId="0" borderId="0" xfId="0" applyNumberFormat="1"/>
    <xf numFmtId="2" fontId="1" fillId="0" borderId="0" xfId="0" applyNumberFormat="1" applyFont="1" applyAlignment="1">
      <alignment horizontal="center"/>
    </xf>
    <xf numFmtId="9" fontId="0" fillId="4" borderId="0" xfId="0" applyNumberFormat="1" applyFill="1" applyAlignment="1">
      <alignment horizontal="center"/>
    </xf>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49" fontId="19" fillId="0" borderId="14"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0" fontId="20" fillId="0" borderId="0" xfId="0" applyFont="1" applyAlignment="1">
      <alignment horizontal="center" vertical="center"/>
    </xf>
    <xf numFmtId="0" fontId="21" fillId="0" borderId="0" xfId="0" applyFont="1" applyAlignment="1">
      <alignment horizontal="center" vertical="center"/>
    </xf>
    <xf numFmtId="2" fontId="21" fillId="0" borderId="0" xfId="0" applyNumberFormat="1" applyFont="1" applyAlignment="1">
      <alignment horizontal="center" vertical="center"/>
    </xf>
    <xf numFmtId="0" fontId="14" fillId="4" borderId="0" xfId="0" applyFont="1" applyFill="1" applyAlignment="1">
      <alignment horizontal="center" vertical="center" wrapText="1"/>
    </xf>
    <xf numFmtId="0" fontId="0" fillId="0" borderId="0" xfId="0" applyAlignment="1">
      <alignment horizontal="center" wrapText="1"/>
    </xf>
    <xf numFmtId="0" fontId="0" fillId="0" borderId="0" xfId="0" applyNumberFormat="1"/>
  </cellXfs>
  <cellStyles count="2">
    <cellStyle name="Normal" xfId="0" builtinId="0"/>
    <cellStyle name="Porcentaje" xfId="1" builtinId="5"/>
  </cellStyles>
  <dxfs count="277">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 formatCode="0"/>
      <alignment horizontal="center" vertical="bottom" textRotation="0" wrapText="0" indent="0" justifyLastLine="0" shrinkToFit="0" readingOrder="0"/>
    </dxf>
    <dxf>
      <font>
        <strike val="0"/>
        <outline val="0"/>
        <shadow val="0"/>
        <u val="none"/>
        <vertAlign val="baseline"/>
        <sz val="9"/>
        <color auto="1"/>
        <name val="Arial"/>
        <family val="2"/>
        <scheme val="none"/>
      </font>
      <numFmt numFmtId="0" formatCode="General"/>
    </dxf>
    <dxf>
      <numFmt numFmtId="0" formatCode="General"/>
    </dxf>
    <dxf>
      <numFmt numFmtId="19" formatCode="dd/mm/yyyy"/>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val="0"/>
        <i val="0"/>
        <color theme="7" tint="-0.499984740745262"/>
      </font>
      <fill>
        <patternFill>
          <bgColor theme="7" tint="0.79998168889431442"/>
        </patternFill>
      </fill>
    </dxf>
    <dxf>
      <font>
        <color rgb="FF006100"/>
      </font>
      <fill>
        <patternFill>
          <bgColor rgb="FFC6EFCE"/>
        </patternFill>
      </fill>
    </dxf>
    <dxf>
      <font>
        <color theme="5" tint="-0.499984740745262"/>
      </font>
      <fill>
        <patternFill>
          <bgColor theme="7" tint="0.79998168889431442"/>
        </patternFill>
      </fill>
    </dxf>
    <dxf>
      <font>
        <b/>
        <i val="0"/>
        <color theme="0"/>
      </font>
      <fill>
        <patternFill>
          <bgColor rgb="FF00B050"/>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solid">
          <fgColor theme="6" tint="0.59999389629810485"/>
          <bgColor theme="6" tint="0.59999389629810485"/>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theme="1" tint="0.499984740745262"/>
        <name val="Arial"/>
        <family val="2"/>
        <scheme val="none"/>
      </font>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numFmt numFmtId="0" formatCode="General"/>
    </dxf>
    <dxf>
      <numFmt numFmtId="19" formatCode="dd/mm/yyyy"/>
    </dxf>
    <dxf>
      <numFmt numFmtId="0" formatCode="General"/>
    </dxf>
    <dxf>
      <numFmt numFmtId="19" formatCode="dd/mm/yyyy"/>
    </dxf>
    <dxf>
      <numFmt numFmtId="0" formatCode="General"/>
      <alignment horizontal="center"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alignment horizontal="general"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50.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38.xml"/><Relationship Id="rId1" Type="http://schemas.microsoft.com/office/2011/relationships/chartStyle" Target="style38.xml"/></Relationships>
</file>

<file path=xl/charts/_rels/chart51.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4.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5.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6.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7.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8.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9.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5.xml"/><Relationship Id="rId1" Type="http://schemas.microsoft.com/office/2011/relationships/chartStyle" Target="style45.xml"/></Relationships>
</file>

<file path=xl/charts/_rels/chart60.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63.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64.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48.xml"/><Relationship Id="rId1" Type="http://schemas.microsoft.com/office/2011/relationships/chartStyle" Target="style48.xml"/></Relationships>
</file>

<file path=xl/charts/_rels/chart65.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66.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67.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68.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52.xml"/><Relationship Id="rId1" Type="http://schemas.microsoft.com/office/2011/relationships/chartStyle" Target="style52.xml"/></Relationships>
</file>

<file path=xl/charts/_rels/chart69.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72.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73.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55.xml"/><Relationship Id="rId1" Type="http://schemas.microsoft.com/office/2011/relationships/chartStyle" Target="style55.xml"/></Relationships>
</file>

<file path=xl/charts/_rels/chart74.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75.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76.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77.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59.xml"/><Relationship Id="rId1" Type="http://schemas.microsoft.com/office/2011/relationships/chartStyle" Target="style59.xml"/></Relationships>
</file>

<file path=xl/charts/_rels/chart78.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8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82.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62.xml"/><Relationship Id="rId1" Type="http://schemas.microsoft.com/office/2011/relationships/chartStyle" Target="style62.xml"/></Relationships>
</file>

<file path=xl/charts/_rels/chart83.xml.rels><?xml version="1.0" encoding="UTF-8" standalone="yes"?>
<Relationships xmlns="http://schemas.openxmlformats.org/package/2006/relationships"><Relationship Id="rId3" Type="http://schemas.openxmlformats.org/officeDocument/2006/relationships/chartUserShapes" Target="../drawings/drawing25.xml"/><Relationship Id="rId2" Type="http://schemas.microsoft.com/office/2011/relationships/chartColorStyle" Target="colors63.xml"/><Relationship Id="rId1" Type="http://schemas.microsoft.com/office/2011/relationships/chartStyle" Target="style63.xml"/></Relationships>
</file>

<file path=xl/charts/_rels/chart84.xml.rels><?xml version="1.0" encoding="UTF-8" standalone="yes"?>
<Relationships xmlns="http://schemas.openxmlformats.org/package/2006/relationships"><Relationship Id="rId3" Type="http://schemas.openxmlformats.org/officeDocument/2006/relationships/chartUserShapes" Target="../drawings/drawing27.xml"/><Relationship Id="rId2" Type="http://schemas.microsoft.com/office/2011/relationships/chartColorStyle" Target="colors65.xml"/><Relationship Id="rId1" Type="http://schemas.microsoft.com/office/2011/relationships/chartStyle" Target="style65.xml"/></Relationships>
</file>

<file path=xl/charts/_rels/chart85.xml.rels><?xml version="1.0" encoding="UTF-8" standalone="yes"?>
<Relationships xmlns="http://schemas.openxmlformats.org/package/2006/relationships"><Relationship Id="rId3" Type="http://schemas.openxmlformats.org/officeDocument/2006/relationships/chartUserShapes" Target="../drawings/drawing29.xml"/><Relationship Id="rId2" Type="http://schemas.microsoft.com/office/2011/relationships/chartColorStyle" Target="colors66.xml"/><Relationship Id="rId1" Type="http://schemas.microsoft.com/office/2011/relationships/chartStyle" Target="style66.xml"/></Relationships>
</file>

<file path=xl/charts/_rels/chartEx1.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39.51</c:v>
                </c:pt>
                <c:pt idx="1">
                  <c:v>39.51</c:v>
                </c:pt>
                <c:pt idx="2">
                  <c:v>39.51</c:v>
                </c:pt>
                <c:pt idx="3">
                  <c:v>39.51</c:v>
                </c:pt>
                <c:pt idx="4">
                  <c:v>39.51</c:v>
                </c:pt>
                <c:pt idx="5">
                  <c:v>39.51</c:v>
                </c:pt>
                <c:pt idx="6">
                  <c:v>39.51</c:v>
                </c:pt>
                <c:pt idx="7">
                  <c:v>39.51</c:v>
                </c:pt>
                <c:pt idx="8">
                  <c:v>39.51</c:v>
                </c:pt>
                <c:pt idx="9">
                  <c:v>39.51</c:v>
                </c:pt>
                <c:pt idx="10">
                  <c:v>39.51</c:v>
                </c:pt>
                <c:pt idx="11">
                  <c:v>39.51</c:v>
                </c:pt>
                <c:pt idx="12">
                  <c:v>39.51</c:v>
                </c:pt>
                <c:pt idx="13">
                  <c:v>39.51</c:v>
                </c:pt>
                <c:pt idx="14">
                  <c:v>39.51</c:v>
                </c:pt>
                <c:pt idx="15">
                  <c:v>39.51</c:v>
                </c:pt>
                <c:pt idx="16">
                  <c:v>39.51</c:v>
                </c:pt>
                <c:pt idx="17">
                  <c:v>39.51</c:v>
                </c:pt>
                <c:pt idx="18">
                  <c:v>39.51</c:v>
                </c:pt>
                <c:pt idx="19">
                  <c:v>39.51</c:v>
                </c:pt>
                <c:pt idx="20">
                  <c:v>39.51</c:v>
                </c:pt>
                <c:pt idx="21">
                  <c:v>39.51</c:v>
                </c:pt>
                <c:pt idx="22">
                  <c:v>39.51</c:v>
                </c:pt>
                <c:pt idx="23">
                  <c:v>39.51</c:v>
                </c:pt>
                <c:pt idx="24">
                  <c:v>39.51</c:v>
                </c:pt>
                <c:pt idx="25">
                  <c:v>39.51</c:v>
                </c:pt>
                <c:pt idx="26">
                  <c:v>39.51</c:v>
                </c:pt>
                <c:pt idx="27">
                  <c:v>39.51</c:v>
                </c:pt>
                <c:pt idx="28">
                  <c:v>39.51</c:v>
                </c:pt>
                <c:pt idx="29">
                  <c:v>39.51</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62.64</c:v>
                </c:pt>
                <c:pt idx="1">
                  <c:v>62.64</c:v>
                </c:pt>
                <c:pt idx="2">
                  <c:v>62.64</c:v>
                </c:pt>
                <c:pt idx="3">
                  <c:v>62.64</c:v>
                </c:pt>
                <c:pt idx="4">
                  <c:v>62.64</c:v>
                </c:pt>
                <c:pt idx="5">
                  <c:v>62.64</c:v>
                </c:pt>
                <c:pt idx="6">
                  <c:v>62.64</c:v>
                </c:pt>
                <c:pt idx="7">
                  <c:v>62.64</c:v>
                </c:pt>
                <c:pt idx="8">
                  <c:v>62.64</c:v>
                </c:pt>
                <c:pt idx="9">
                  <c:v>62.64</c:v>
                </c:pt>
                <c:pt idx="10">
                  <c:v>62.64</c:v>
                </c:pt>
                <c:pt idx="11">
                  <c:v>62.64</c:v>
                </c:pt>
                <c:pt idx="12">
                  <c:v>62.64</c:v>
                </c:pt>
                <c:pt idx="13">
                  <c:v>62.64</c:v>
                </c:pt>
                <c:pt idx="14">
                  <c:v>62.64</c:v>
                </c:pt>
                <c:pt idx="15">
                  <c:v>62.64</c:v>
                </c:pt>
                <c:pt idx="16">
                  <c:v>62.64</c:v>
                </c:pt>
                <c:pt idx="17">
                  <c:v>62.64</c:v>
                </c:pt>
                <c:pt idx="18">
                  <c:v>62.64</c:v>
                </c:pt>
                <c:pt idx="19">
                  <c:v>62.64</c:v>
                </c:pt>
                <c:pt idx="20">
                  <c:v>62.64</c:v>
                </c:pt>
                <c:pt idx="21">
                  <c:v>62.64</c:v>
                </c:pt>
                <c:pt idx="22">
                  <c:v>62.64</c:v>
                </c:pt>
                <c:pt idx="23">
                  <c:v>62.64</c:v>
                </c:pt>
                <c:pt idx="24">
                  <c:v>62.64</c:v>
                </c:pt>
                <c:pt idx="25">
                  <c:v>62.64</c:v>
                </c:pt>
                <c:pt idx="26">
                  <c:v>62.64</c:v>
                </c:pt>
                <c:pt idx="27">
                  <c:v>62.64</c:v>
                </c:pt>
                <c:pt idx="28">
                  <c:v>62.64</c:v>
                </c:pt>
                <c:pt idx="29">
                  <c:v>62.64</c:v>
                </c:pt>
                <c:pt idx="30">
                  <c:v>62.64</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39.51</c:v>
                </c:pt>
                <c:pt idx="1">
                  <c:v>39.51</c:v>
                </c:pt>
                <c:pt idx="2">
                  <c:v>39.51</c:v>
                </c:pt>
                <c:pt idx="3">
                  <c:v>39.51</c:v>
                </c:pt>
                <c:pt idx="4">
                  <c:v>39.51</c:v>
                </c:pt>
                <c:pt idx="5">
                  <c:v>39.51</c:v>
                </c:pt>
                <c:pt idx="6">
                  <c:v>39.51</c:v>
                </c:pt>
                <c:pt idx="7">
                  <c:v>39.51</c:v>
                </c:pt>
                <c:pt idx="8">
                  <c:v>39.51</c:v>
                </c:pt>
                <c:pt idx="9">
                  <c:v>39.51</c:v>
                </c:pt>
                <c:pt idx="10">
                  <c:v>39.51</c:v>
                </c:pt>
                <c:pt idx="11">
                  <c:v>39.51</c:v>
                </c:pt>
                <c:pt idx="12">
                  <c:v>39.51</c:v>
                </c:pt>
                <c:pt idx="13">
                  <c:v>39.51</c:v>
                </c:pt>
                <c:pt idx="14">
                  <c:v>39.51</c:v>
                </c:pt>
                <c:pt idx="15">
                  <c:v>39.51</c:v>
                </c:pt>
                <c:pt idx="16">
                  <c:v>39.51</c:v>
                </c:pt>
                <c:pt idx="17">
                  <c:v>39.51</c:v>
                </c:pt>
                <c:pt idx="18">
                  <c:v>39.51</c:v>
                </c:pt>
                <c:pt idx="19">
                  <c:v>39.51</c:v>
                </c:pt>
                <c:pt idx="20">
                  <c:v>39.51</c:v>
                </c:pt>
                <c:pt idx="21">
                  <c:v>39.51</c:v>
                </c:pt>
                <c:pt idx="22">
                  <c:v>39.51</c:v>
                </c:pt>
                <c:pt idx="23">
                  <c:v>39.51</c:v>
                </c:pt>
                <c:pt idx="24">
                  <c:v>39.51</c:v>
                </c:pt>
                <c:pt idx="25">
                  <c:v>39.51</c:v>
                </c:pt>
                <c:pt idx="26">
                  <c:v>39.51</c:v>
                </c:pt>
                <c:pt idx="27">
                  <c:v>39.51</c:v>
                </c:pt>
                <c:pt idx="28">
                  <c:v>39.51</c:v>
                </c:pt>
                <c:pt idx="29">
                  <c:v>39.51</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62.64</c:v>
                </c:pt>
                <c:pt idx="1">
                  <c:v>62.64</c:v>
                </c:pt>
                <c:pt idx="2">
                  <c:v>62.64</c:v>
                </c:pt>
                <c:pt idx="3">
                  <c:v>62.64</c:v>
                </c:pt>
                <c:pt idx="4">
                  <c:v>62.64</c:v>
                </c:pt>
                <c:pt idx="5">
                  <c:v>62.64</c:v>
                </c:pt>
                <c:pt idx="6">
                  <c:v>62.64</c:v>
                </c:pt>
                <c:pt idx="7">
                  <c:v>62.64</c:v>
                </c:pt>
                <c:pt idx="8">
                  <c:v>62.64</c:v>
                </c:pt>
                <c:pt idx="9">
                  <c:v>62.64</c:v>
                </c:pt>
                <c:pt idx="10">
                  <c:v>62.64</c:v>
                </c:pt>
                <c:pt idx="11">
                  <c:v>62.64</c:v>
                </c:pt>
                <c:pt idx="12">
                  <c:v>62.64</c:v>
                </c:pt>
                <c:pt idx="13">
                  <c:v>62.64</c:v>
                </c:pt>
                <c:pt idx="14">
                  <c:v>62.64</c:v>
                </c:pt>
                <c:pt idx="15">
                  <c:v>62.64</c:v>
                </c:pt>
                <c:pt idx="16">
                  <c:v>62.64</c:v>
                </c:pt>
                <c:pt idx="17">
                  <c:v>62.64</c:v>
                </c:pt>
                <c:pt idx="18">
                  <c:v>62.64</c:v>
                </c:pt>
                <c:pt idx="19">
                  <c:v>62.64</c:v>
                </c:pt>
                <c:pt idx="20">
                  <c:v>62.64</c:v>
                </c:pt>
                <c:pt idx="21">
                  <c:v>62.64</c:v>
                </c:pt>
                <c:pt idx="22">
                  <c:v>62.64</c:v>
                </c:pt>
                <c:pt idx="23">
                  <c:v>62.64</c:v>
                </c:pt>
                <c:pt idx="24">
                  <c:v>62.64</c:v>
                </c:pt>
                <c:pt idx="25">
                  <c:v>62.64</c:v>
                </c:pt>
                <c:pt idx="26">
                  <c:v>62.64</c:v>
                </c:pt>
                <c:pt idx="27">
                  <c:v>62.64</c:v>
                </c:pt>
                <c:pt idx="28">
                  <c:v>62.64</c:v>
                </c:pt>
                <c:pt idx="29">
                  <c:v>62.64</c:v>
                </c:pt>
                <c:pt idx="30">
                  <c:v>62.64</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0.45600000000000002</c:v>
                      </c:pt>
                      <c:pt idx="1">
                        <c:v>0.45600000000000002</c:v>
                      </c:pt>
                      <c:pt idx="2">
                        <c:v>0.45600000000000002</c:v>
                      </c:pt>
                      <c:pt idx="3">
                        <c:v>0.45600000000000002</c:v>
                      </c:pt>
                      <c:pt idx="4">
                        <c:v>0.45600000000000002</c:v>
                      </c:pt>
                      <c:pt idx="5">
                        <c:v>0.45600000000000002</c:v>
                      </c:pt>
                      <c:pt idx="6">
                        <c:v>0.45600000000000002</c:v>
                      </c:pt>
                      <c:pt idx="7">
                        <c:v>0.45600000000000002</c:v>
                      </c:pt>
                      <c:pt idx="8">
                        <c:v>0.45600000000000002</c:v>
                      </c:pt>
                      <c:pt idx="9">
                        <c:v>0.45600000000000002</c:v>
                      </c:pt>
                      <c:pt idx="10">
                        <c:v>0.45600000000000002</c:v>
                      </c:pt>
                      <c:pt idx="11">
                        <c:v>0.45600000000000002</c:v>
                      </c:pt>
                      <c:pt idx="12">
                        <c:v>0.45600000000000002</c:v>
                      </c:pt>
                      <c:pt idx="13">
                        <c:v>0.45600000000000002</c:v>
                      </c:pt>
                      <c:pt idx="14">
                        <c:v>0.45600000000000002</c:v>
                      </c:pt>
                      <c:pt idx="15">
                        <c:v>0.45600000000000002</c:v>
                      </c:pt>
                      <c:pt idx="16">
                        <c:v>0.45600000000000002</c:v>
                      </c:pt>
                      <c:pt idx="17">
                        <c:v>0.45600000000000002</c:v>
                      </c:pt>
                      <c:pt idx="18">
                        <c:v>0.45600000000000002</c:v>
                      </c:pt>
                      <c:pt idx="19">
                        <c:v>0.45600000000000002</c:v>
                      </c:pt>
                      <c:pt idx="20">
                        <c:v>0.45600000000000002</c:v>
                      </c:pt>
                      <c:pt idx="21">
                        <c:v>0.45600000000000002</c:v>
                      </c:pt>
                      <c:pt idx="22">
                        <c:v>0.45600000000000002</c:v>
                      </c:pt>
                      <c:pt idx="23">
                        <c:v>0.45600000000000002</c:v>
                      </c:pt>
                      <c:pt idx="24">
                        <c:v>0.45600000000000002</c:v>
                      </c:pt>
                      <c:pt idx="25">
                        <c:v>0.45600000000000002</c:v>
                      </c:pt>
                      <c:pt idx="26">
                        <c:v>0.45600000000000002</c:v>
                      </c:pt>
                      <c:pt idx="27">
                        <c:v>0.45600000000000002</c:v>
                      </c:pt>
                      <c:pt idx="28">
                        <c:v>0.45600000000000002</c:v>
                      </c:pt>
                      <c:pt idx="29">
                        <c:v>0.45600000000000002</c:v>
                      </c:pt>
                      <c:pt idx="30">
                        <c:v>0.45600000000000002</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pt idx="15">
                  <c:v>0.625</c:v>
                </c:pt>
                <c:pt idx="16">
                  <c:v>0.43478260869565216</c:v>
                </c:pt>
                <c:pt idx="17">
                  <c:v>0.5</c:v>
                </c:pt>
                <c:pt idx="18">
                  <c:v>0.47826086956521746</c:v>
                </c:pt>
                <c:pt idx="19">
                  <c:v>0.45833333333333326</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pt idx="15">
                  <c:v>0</c:v>
                </c:pt>
                <c:pt idx="16">
                  <c:v>0</c:v>
                </c:pt>
                <c:pt idx="17">
                  <c:v>4.1666666666666664E-2</c:v>
                </c:pt>
                <c:pt idx="18">
                  <c:v>0</c:v>
                </c:pt>
                <c:pt idx="19">
                  <c:v>0</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pt idx="15">
                  <c:v>0.25</c:v>
                </c:pt>
                <c:pt idx="16">
                  <c:v>0.34782608695652173</c:v>
                </c:pt>
                <c:pt idx="17">
                  <c:v>0.375</c:v>
                </c:pt>
                <c:pt idx="18">
                  <c:v>0.47826086956521746</c:v>
                </c:pt>
                <c:pt idx="19">
                  <c:v>0.5</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63.418999999999997</c:v>
                </c:pt>
                <c:pt idx="1">
                  <c:v>63.418999999999997</c:v>
                </c:pt>
                <c:pt idx="2">
                  <c:v>63.418999999999997</c:v>
                </c:pt>
                <c:pt idx="3">
                  <c:v>63.418999999999997</c:v>
                </c:pt>
                <c:pt idx="4">
                  <c:v>63.418999999999997</c:v>
                </c:pt>
                <c:pt idx="5">
                  <c:v>63.418999999999997</c:v>
                </c:pt>
                <c:pt idx="6">
                  <c:v>63.418999999999997</c:v>
                </c:pt>
                <c:pt idx="7">
                  <c:v>63.418999999999997</c:v>
                </c:pt>
                <c:pt idx="8">
                  <c:v>63.418999999999997</c:v>
                </c:pt>
                <c:pt idx="9">
                  <c:v>63.418999999999997</c:v>
                </c:pt>
                <c:pt idx="10">
                  <c:v>63.418999999999997</c:v>
                </c:pt>
                <c:pt idx="11">
                  <c:v>63.418999999999997</c:v>
                </c:pt>
                <c:pt idx="12">
                  <c:v>63.418999999999997</c:v>
                </c:pt>
                <c:pt idx="13">
                  <c:v>63.418999999999997</c:v>
                </c:pt>
                <c:pt idx="14">
                  <c:v>63.418999999999997</c:v>
                </c:pt>
                <c:pt idx="15">
                  <c:v>63.418999999999997</c:v>
                </c:pt>
                <c:pt idx="16">
                  <c:v>63.418999999999997</c:v>
                </c:pt>
                <c:pt idx="17">
                  <c:v>63.418999999999997</c:v>
                </c:pt>
                <c:pt idx="18">
                  <c:v>63.418999999999997</c:v>
                </c:pt>
                <c:pt idx="19">
                  <c:v>63.418999999999997</c:v>
                </c:pt>
                <c:pt idx="20">
                  <c:v>63.418999999999997</c:v>
                </c:pt>
                <c:pt idx="21">
                  <c:v>63.418999999999997</c:v>
                </c:pt>
                <c:pt idx="22">
                  <c:v>63.418999999999997</c:v>
                </c:pt>
                <c:pt idx="23">
                  <c:v>63.418999999999997</c:v>
                </c:pt>
                <c:pt idx="24">
                  <c:v>63.418999999999997</c:v>
                </c:pt>
                <c:pt idx="25">
                  <c:v>63.418999999999997</c:v>
                </c:pt>
                <c:pt idx="26">
                  <c:v>63.418999999999997</c:v>
                </c:pt>
                <c:pt idx="27">
                  <c:v>63.418999999999997</c:v>
                </c:pt>
                <c:pt idx="28">
                  <c:v>63.418999999999997</c:v>
                </c:pt>
                <c:pt idx="29">
                  <c:v>63.418999999999997</c:v>
                </c:pt>
                <c:pt idx="30">
                  <c:v>63.418999999999997</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pt idx="15">
                  <c:v>48.837083333333332</c:v>
                </c:pt>
                <c:pt idx="16">
                  <c:v>51.250416666666666</c:v>
                </c:pt>
                <c:pt idx="17">
                  <c:v>51.98749999999999</c:v>
                </c:pt>
                <c:pt idx="18">
                  <c:v>48.707916666666669</c:v>
                </c:pt>
                <c:pt idx="19">
                  <c:v>44.662916666666661</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0.04</c:v>
                      </c:pt>
                      <c:pt idx="1">
                        <c:v>3.6999999999999998E-2</c:v>
                      </c:pt>
                      <c:pt idx="2">
                        <c:v>3.5000000000000003E-2</c:v>
                      </c:pt>
                      <c:pt idx="3">
                        <c:v>3.4000000000000002E-2</c:v>
                      </c:pt>
                      <c:pt idx="4">
                        <c:v>3.5999999999999997E-2</c:v>
                      </c:pt>
                      <c:pt idx="5">
                        <c:v>3.9E-2</c:v>
                      </c:pt>
                      <c:pt idx="6">
                        <c:v>4.2000000000000003E-2</c:v>
                      </c:pt>
                      <c:pt idx="7">
                        <c:v>4.4999999999999998E-2</c:v>
                      </c:pt>
                      <c:pt idx="8">
                        <c:v>4.9000000000000002E-2</c:v>
                      </c:pt>
                      <c:pt idx="9">
                        <c:v>5.2999999999999999E-2</c:v>
                      </c:pt>
                      <c:pt idx="10">
                        <c:v>4.2000000000000003E-2</c:v>
                      </c:pt>
                      <c:pt idx="11">
                        <c:v>3.2000000000000001E-2</c:v>
                      </c:pt>
                      <c:pt idx="12">
                        <c:v>3.5999999999999997E-2</c:v>
                      </c:pt>
                      <c:pt idx="13">
                        <c:v>3.5999999999999997E-2</c:v>
                      </c:pt>
                      <c:pt idx="14">
                        <c:v>1.4E-2</c:v>
                      </c:pt>
                      <c:pt idx="15">
                        <c:v>8.0000000000000002E-3</c:v>
                      </c:pt>
                      <c:pt idx="16">
                        <c:v>0.01</c:v>
                      </c:pt>
                      <c:pt idx="17">
                        <c:v>1.4E-2</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0.41</c:v>
                      </c:pt>
                      <c:pt idx="1">
                        <c:v>0.40100000000000002</c:v>
                      </c:pt>
                      <c:pt idx="2">
                        <c:v>0.39800000000000002</c:v>
                      </c:pt>
                      <c:pt idx="3">
                        <c:v>0.39900000000000002</c:v>
                      </c:pt>
                      <c:pt idx="4">
                        <c:v>0.38800000000000001</c:v>
                      </c:pt>
                      <c:pt idx="5">
                        <c:v>0.38300000000000001</c:v>
                      </c:pt>
                      <c:pt idx="6">
                        <c:v>0.38</c:v>
                      </c:pt>
                      <c:pt idx="7">
                        <c:v>0.378</c:v>
                      </c:pt>
                      <c:pt idx="8">
                        <c:v>0.38800000000000001</c:v>
                      </c:pt>
                      <c:pt idx="9">
                        <c:v>0.39300000000000002</c:v>
                      </c:pt>
                      <c:pt idx="10">
                        <c:v>0.41199999999999998</c:v>
                      </c:pt>
                      <c:pt idx="11">
                        <c:v>0.40699999999999997</c:v>
                      </c:pt>
                      <c:pt idx="12">
                        <c:v>0.4</c:v>
                      </c:pt>
                      <c:pt idx="13">
                        <c:v>0.41599999999999998</c:v>
                      </c:pt>
                      <c:pt idx="14">
                        <c:v>0.40899999999999997</c:v>
                      </c:pt>
                      <c:pt idx="15">
                        <c:v>0.39</c:v>
                      </c:pt>
                      <c:pt idx="16">
                        <c:v>0.42499999999999999</c:v>
                      </c:pt>
                      <c:pt idx="17">
                        <c:v>0.45100000000000001</c:v>
                      </c:pt>
                      <c:pt idx="18">
                        <c:v>0.48899999999999999</c:v>
                      </c:pt>
                      <c:pt idx="19">
                        <c:v>0.5</c:v>
                      </c:pt>
                      <c:pt idx="20">
                        <c:v>0.5</c:v>
                      </c:pt>
                      <c:pt idx="21">
                        <c:v>0.5</c:v>
                      </c:pt>
                      <c:pt idx="22">
                        <c:v>0.5</c:v>
                      </c:pt>
                      <c:pt idx="23">
                        <c:v>0.5</c:v>
                      </c:pt>
                      <c:pt idx="24">
                        <c:v>0.5</c:v>
                      </c:pt>
                      <c:pt idx="25">
                        <c:v>0.5</c:v>
                      </c:pt>
                      <c:pt idx="26">
                        <c:v>0.5</c:v>
                      </c:pt>
                      <c:pt idx="27">
                        <c:v>0.5</c:v>
                      </c:pt>
                      <c:pt idx="28">
                        <c:v>0.5</c:v>
                      </c:pt>
                      <c:pt idx="29">
                        <c:v>0.5</c:v>
                      </c:pt>
                      <c:pt idx="30">
                        <c:v>0.5</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-0.96858316112863108</c:v>
                </c:pt>
              </c:numCache>
            </c:numRef>
          </c:xVal>
          <c:yVal>
            <c:numRef>
              <c:f>[1]omie_dinamic_dia!$AC$20:$AC$21</c:f>
              <c:numCache>
                <c:formatCode>General</c:formatCode>
                <c:ptCount val="2"/>
                <c:pt idx="0">
                  <c:v>0</c:v>
                </c:pt>
                <c:pt idx="1">
                  <c:v>0.24868988716485479</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0.84432792550201485</c:v>
                </c:pt>
              </c:numCache>
            </c:numRef>
          </c:xVal>
          <c:yVal>
            <c:numRef>
              <c:f>[1]omie_dinamic_dia!$Y$37:$Y$38</c:f>
              <c:numCache>
                <c:formatCode>General</c:formatCode>
                <c:ptCount val="2"/>
                <c:pt idx="0">
                  <c:v>0</c:v>
                </c:pt>
                <c:pt idx="1">
                  <c:v>0.53582679497899699</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39.51</c:v>
                </c:pt>
                <c:pt idx="1">
                  <c:v>39.51</c:v>
                </c:pt>
                <c:pt idx="2">
                  <c:v>39.51</c:v>
                </c:pt>
                <c:pt idx="3">
                  <c:v>39.51</c:v>
                </c:pt>
                <c:pt idx="4">
                  <c:v>39.51</c:v>
                </c:pt>
                <c:pt idx="5">
                  <c:v>39.51</c:v>
                </c:pt>
                <c:pt idx="6">
                  <c:v>39.51</c:v>
                </c:pt>
                <c:pt idx="7">
                  <c:v>39.51</c:v>
                </c:pt>
                <c:pt idx="8">
                  <c:v>39.51</c:v>
                </c:pt>
                <c:pt idx="9">
                  <c:v>39.51</c:v>
                </c:pt>
                <c:pt idx="10">
                  <c:v>39.51</c:v>
                </c:pt>
                <c:pt idx="11">
                  <c:v>39.51</c:v>
                </c:pt>
                <c:pt idx="12">
                  <c:v>39.51</c:v>
                </c:pt>
                <c:pt idx="13">
                  <c:v>39.51</c:v>
                </c:pt>
                <c:pt idx="14">
                  <c:v>39.51</c:v>
                </c:pt>
                <c:pt idx="15">
                  <c:v>39.51</c:v>
                </c:pt>
                <c:pt idx="16">
                  <c:v>39.51</c:v>
                </c:pt>
                <c:pt idx="17">
                  <c:v>39.51</c:v>
                </c:pt>
                <c:pt idx="18">
                  <c:v>39.51</c:v>
                </c:pt>
                <c:pt idx="19">
                  <c:v>39.51</c:v>
                </c:pt>
                <c:pt idx="20">
                  <c:v>39.51</c:v>
                </c:pt>
                <c:pt idx="21">
                  <c:v>39.51</c:v>
                </c:pt>
                <c:pt idx="22">
                  <c:v>39.51</c:v>
                </c:pt>
                <c:pt idx="23">
                  <c:v>39.51</c:v>
                </c:pt>
                <c:pt idx="24">
                  <c:v>39.51</c:v>
                </c:pt>
                <c:pt idx="25">
                  <c:v>39.51</c:v>
                </c:pt>
                <c:pt idx="26">
                  <c:v>39.51</c:v>
                </c:pt>
                <c:pt idx="27">
                  <c:v>39.51</c:v>
                </c:pt>
                <c:pt idx="28">
                  <c:v>39.51</c:v>
                </c:pt>
                <c:pt idx="29">
                  <c:v>39.51</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62.64</c:v>
                </c:pt>
                <c:pt idx="1">
                  <c:v>62.64</c:v>
                </c:pt>
                <c:pt idx="2">
                  <c:v>62.64</c:v>
                </c:pt>
                <c:pt idx="3">
                  <c:v>62.64</c:v>
                </c:pt>
                <c:pt idx="4">
                  <c:v>62.64</c:v>
                </c:pt>
                <c:pt idx="5">
                  <c:v>62.64</c:v>
                </c:pt>
                <c:pt idx="6">
                  <c:v>62.64</c:v>
                </c:pt>
                <c:pt idx="7">
                  <c:v>62.64</c:v>
                </c:pt>
                <c:pt idx="8">
                  <c:v>62.64</c:v>
                </c:pt>
                <c:pt idx="9">
                  <c:v>62.64</c:v>
                </c:pt>
                <c:pt idx="10">
                  <c:v>62.64</c:v>
                </c:pt>
                <c:pt idx="11">
                  <c:v>62.64</c:v>
                </c:pt>
                <c:pt idx="12">
                  <c:v>62.64</c:v>
                </c:pt>
                <c:pt idx="13">
                  <c:v>62.64</c:v>
                </c:pt>
                <c:pt idx="14">
                  <c:v>62.64</c:v>
                </c:pt>
                <c:pt idx="15">
                  <c:v>62.64</c:v>
                </c:pt>
                <c:pt idx="16">
                  <c:v>62.64</c:v>
                </c:pt>
                <c:pt idx="17">
                  <c:v>62.64</c:v>
                </c:pt>
                <c:pt idx="18">
                  <c:v>62.64</c:v>
                </c:pt>
                <c:pt idx="19">
                  <c:v>62.64</c:v>
                </c:pt>
                <c:pt idx="20">
                  <c:v>62.64</c:v>
                </c:pt>
                <c:pt idx="21">
                  <c:v>62.64</c:v>
                </c:pt>
                <c:pt idx="22">
                  <c:v>62.64</c:v>
                </c:pt>
                <c:pt idx="23">
                  <c:v>62.64</c:v>
                </c:pt>
                <c:pt idx="24">
                  <c:v>62.64</c:v>
                </c:pt>
                <c:pt idx="25">
                  <c:v>62.64</c:v>
                </c:pt>
                <c:pt idx="26">
                  <c:v>62.64</c:v>
                </c:pt>
                <c:pt idx="27">
                  <c:v>62.64</c:v>
                </c:pt>
                <c:pt idx="28">
                  <c:v>62.64</c:v>
                </c:pt>
                <c:pt idx="29">
                  <c:v>62.64</c:v>
                </c:pt>
                <c:pt idx="30">
                  <c:v>62.64</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0.45600000000000002</c:v>
                      </c:pt>
                      <c:pt idx="1">
                        <c:v>0.45600000000000002</c:v>
                      </c:pt>
                      <c:pt idx="2">
                        <c:v>0.45600000000000002</c:v>
                      </c:pt>
                      <c:pt idx="3">
                        <c:v>0.45600000000000002</c:v>
                      </c:pt>
                      <c:pt idx="4">
                        <c:v>0.45600000000000002</c:v>
                      </c:pt>
                      <c:pt idx="5">
                        <c:v>0.45600000000000002</c:v>
                      </c:pt>
                      <c:pt idx="6">
                        <c:v>0.45600000000000002</c:v>
                      </c:pt>
                      <c:pt idx="7">
                        <c:v>0.45600000000000002</c:v>
                      </c:pt>
                      <c:pt idx="8">
                        <c:v>0.45600000000000002</c:v>
                      </c:pt>
                      <c:pt idx="9">
                        <c:v>0.45600000000000002</c:v>
                      </c:pt>
                      <c:pt idx="10">
                        <c:v>0.45600000000000002</c:v>
                      </c:pt>
                      <c:pt idx="11">
                        <c:v>0.45600000000000002</c:v>
                      </c:pt>
                      <c:pt idx="12">
                        <c:v>0.45600000000000002</c:v>
                      </c:pt>
                      <c:pt idx="13">
                        <c:v>0.45600000000000002</c:v>
                      </c:pt>
                      <c:pt idx="14">
                        <c:v>0.45600000000000002</c:v>
                      </c:pt>
                      <c:pt idx="15">
                        <c:v>0.45600000000000002</c:v>
                      </c:pt>
                      <c:pt idx="16">
                        <c:v>0.45600000000000002</c:v>
                      </c:pt>
                      <c:pt idx="17">
                        <c:v>0.45600000000000002</c:v>
                      </c:pt>
                      <c:pt idx="18">
                        <c:v>0.45600000000000002</c:v>
                      </c:pt>
                      <c:pt idx="19">
                        <c:v>0.45600000000000002</c:v>
                      </c:pt>
                      <c:pt idx="20">
                        <c:v>0.45600000000000002</c:v>
                      </c:pt>
                      <c:pt idx="21">
                        <c:v>0.45600000000000002</c:v>
                      </c:pt>
                      <c:pt idx="22">
                        <c:v>0.45600000000000002</c:v>
                      </c:pt>
                      <c:pt idx="23">
                        <c:v>0.45600000000000002</c:v>
                      </c:pt>
                      <c:pt idx="24">
                        <c:v>0.45600000000000002</c:v>
                      </c:pt>
                      <c:pt idx="25">
                        <c:v>0.45600000000000002</c:v>
                      </c:pt>
                      <c:pt idx="26">
                        <c:v>0.45600000000000002</c:v>
                      </c:pt>
                      <c:pt idx="27">
                        <c:v>0.45600000000000002</c:v>
                      </c:pt>
                      <c:pt idx="28">
                        <c:v>0.45600000000000002</c:v>
                      </c:pt>
                      <c:pt idx="29">
                        <c:v>0.45600000000000002</c:v>
                      </c:pt>
                      <c:pt idx="30">
                        <c:v>0.45600000000000002</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pt idx="15">
                  <c:v>0.625</c:v>
                </c:pt>
                <c:pt idx="16">
                  <c:v>0.43478260869565216</c:v>
                </c:pt>
                <c:pt idx="17">
                  <c:v>0.5</c:v>
                </c:pt>
                <c:pt idx="18">
                  <c:v>0.47826086956521746</c:v>
                </c:pt>
                <c:pt idx="19">
                  <c:v>0.45833333333333326</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pt idx="15">
                  <c:v>0</c:v>
                </c:pt>
                <c:pt idx="16">
                  <c:v>0</c:v>
                </c:pt>
                <c:pt idx="17">
                  <c:v>4.1666666666666664E-2</c:v>
                </c:pt>
                <c:pt idx="18">
                  <c:v>0</c:v>
                </c:pt>
                <c:pt idx="19">
                  <c:v>0</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pt idx="15">
                  <c:v>0.25</c:v>
                </c:pt>
                <c:pt idx="16">
                  <c:v>0.34782608695652173</c:v>
                </c:pt>
                <c:pt idx="17">
                  <c:v>0.375</c:v>
                </c:pt>
                <c:pt idx="18">
                  <c:v>0.47826086956521746</c:v>
                </c:pt>
                <c:pt idx="19">
                  <c:v>0.5</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63.418999999999997</c:v>
                </c:pt>
                <c:pt idx="1">
                  <c:v>63.418999999999997</c:v>
                </c:pt>
                <c:pt idx="2">
                  <c:v>63.418999999999997</c:v>
                </c:pt>
                <c:pt idx="3">
                  <c:v>63.418999999999997</c:v>
                </c:pt>
                <c:pt idx="4">
                  <c:v>63.418999999999997</c:v>
                </c:pt>
                <c:pt idx="5">
                  <c:v>63.418999999999997</c:v>
                </c:pt>
                <c:pt idx="6">
                  <c:v>63.418999999999997</c:v>
                </c:pt>
                <c:pt idx="7">
                  <c:v>63.418999999999997</c:v>
                </c:pt>
                <c:pt idx="8">
                  <c:v>63.418999999999997</c:v>
                </c:pt>
                <c:pt idx="9">
                  <c:v>63.418999999999997</c:v>
                </c:pt>
                <c:pt idx="10">
                  <c:v>63.418999999999997</c:v>
                </c:pt>
                <c:pt idx="11">
                  <c:v>63.418999999999997</c:v>
                </c:pt>
                <c:pt idx="12">
                  <c:v>63.418999999999997</c:v>
                </c:pt>
                <c:pt idx="13">
                  <c:v>63.418999999999997</c:v>
                </c:pt>
                <c:pt idx="14">
                  <c:v>63.418999999999997</c:v>
                </c:pt>
                <c:pt idx="15">
                  <c:v>63.418999999999997</c:v>
                </c:pt>
                <c:pt idx="16">
                  <c:v>63.418999999999997</c:v>
                </c:pt>
                <c:pt idx="17">
                  <c:v>63.418999999999997</c:v>
                </c:pt>
                <c:pt idx="18">
                  <c:v>63.418999999999997</c:v>
                </c:pt>
                <c:pt idx="19">
                  <c:v>63.418999999999997</c:v>
                </c:pt>
                <c:pt idx="20">
                  <c:v>63.418999999999997</c:v>
                </c:pt>
                <c:pt idx="21">
                  <c:v>63.418999999999997</c:v>
                </c:pt>
                <c:pt idx="22">
                  <c:v>63.418999999999997</c:v>
                </c:pt>
                <c:pt idx="23">
                  <c:v>63.418999999999997</c:v>
                </c:pt>
                <c:pt idx="24">
                  <c:v>63.418999999999997</c:v>
                </c:pt>
                <c:pt idx="25">
                  <c:v>63.418999999999997</c:v>
                </c:pt>
                <c:pt idx="26">
                  <c:v>63.418999999999997</c:v>
                </c:pt>
                <c:pt idx="27">
                  <c:v>63.418999999999997</c:v>
                </c:pt>
                <c:pt idx="28">
                  <c:v>63.418999999999997</c:v>
                </c:pt>
                <c:pt idx="29">
                  <c:v>63.418999999999997</c:v>
                </c:pt>
                <c:pt idx="30">
                  <c:v>63.418999999999997</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pt idx="15">
                  <c:v>48.837083333333332</c:v>
                </c:pt>
                <c:pt idx="16">
                  <c:v>51.250416666666666</c:v>
                </c:pt>
                <c:pt idx="17">
                  <c:v>51.98749999999999</c:v>
                </c:pt>
                <c:pt idx="18">
                  <c:v>48.707916666666669</c:v>
                </c:pt>
                <c:pt idx="19">
                  <c:v>44.662916666666661</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0.04</c:v>
                      </c:pt>
                      <c:pt idx="1">
                        <c:v>3.6999999999999998E-2</c:v>
                      </c:pt>
                      <c:pt idx="2">
                        <c:v>3.5000000000000003E-2</c:v>
                      </c:pt>
                      <c:pt idx="3">
                        <c:v>3.4000000000000002E-2</c:v>
                      </c:pt>
                      <c:pt idx="4">
                        <c:v>3.5999999999999997E-2</c:v>
                      </c:pt>
                      <c:pt idx="5">
                        <c:v>3.9E-2</c:v>
                      </c:pt>
                      <c:pt idx="6">
                        <c:v>4.2000000000000003E-2</c:v>
                      </c:pt>
                      <c:pt idx="7">
                        <c:v>4.4999999999999998E-2</c:v>
                      </c:pt>
                      <c:pt idx="8">
                        <c:v>4.9000000000000002E-2</c:v>
                      </c:pt>
                      <c:pt idx="9">
                        <c:v>5.2999999999999999E-2</c:v>
                      </c:pt>
                      <c:pt idx="10">
                        <c:v>4.2000000000000003E-2</c:v>
                      </c:pt>
                      <c:pt idx="11">
                        <c:v>3.2000000000000001E-2</c:v>
                      </c:pt>
                      <c:pt idx="12">
                        <c:v>3.5999999999999997E-2</c:v>
                      </c:pt>
                      <c:pt idx="13">
                        <c:v>3.5999999999999997E-2</c:v>
                      </c:pt>
                      <c:pt idx="14">
                        <c:v>1.4E-2</c:v>
                      </c:pt>
                      <c:pt idx="15">
                        <c:v>8.0000000000000002E-3</c:v>
                      </c:pt>
                      <c:pt idx="16">
                        <c:v>0.01</c:v>
                      </c:pt>
                      <c:pt idx="17">
                        <c:v>1.4E-2</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0.41</c:v>
                      </c:pt>
                      <c:pt idx="1">
                        <c:v>0.40100000000000002</c:v>
                      </c:pt>
                      <c:pt idx="2">
                        <c:v>0.39800000000000002</c:v>
                      </c:pt>
                      <c:pt idx="3">
                        <c:v>0.39900000000000002</c:v>
                      </c:pt>
                      <c:pt idx="4">
                        <c:v>0.38800000000000001</c:v>
                      </c:pt>
                      <c:pt idx="5">
                        <c:v>0.38300000000000001</c:v>
                      </c:pt>
                      <c:pt idx="6">
                        <c:v>0.38</c:v>
                      </c:pt>
                      <c:pt idx="7">
                        <c:v>0.378</c:v>
                      </c:pt>
                      <c:pt idx="8">
                        <c:v>0.38800000000000001</c:v>
                      </c:pt>
                      <c:pt idx="9">
                        <c:v>0.39300000000000002</c:v>
                      </c:pt>
                      <c:pt idx="10">
                        <c:v>0.41199999999999998</c:v>
                      </c:pt>
                      <c:pt idx="11">
                        <c:v>0.40699999999999997</c:v>
                      </c:pt>
                      <c:pt idx="12">
                        <c:v>0.4</c:v>
                      </c:pt>
                      <c:pt idx="13">
                        <c:v>0.41599999999999998</c:v>
                      </c:pt>
                      <c:pt idx="14">
                        <c:v>0.40899999999999997</c:v>
                      </c:pt>
                      <c:pt idx="15">
                        <c:v>0.39</c:v>
                      </c:pt>
                      <c:pt idx="16">
                        <c:v>0.42499999999999999</c:v>
                      </c:pt>
                      <c:pt idx="17">
                        <c:v>0.45100000000000001</c:v>
                      </c:pt>
                      <c:pt idx="18">
                        <c:v>0.48899999999999999</c:v>
                      </c:pt>
                      <c:pt idx="19">
                        <c:v>0.5</c:v>
                      </c:pt>
                      <c:pt idx="20">
                        <c:v>0.5</c:v>
                      </c:pt>
                      <c:pt idx="21">
                        <c:v>0.5</c:v>
                      </c:pt>
                      <c:pt idx="22">
                        <c:v>0.5</c:v>
                      </c:pt>
                      <c:pt idx="23">
                        <c:v>0.5</c:v>
                      </c:pt>
                      <c:pt idx="24">
                        <c:v>0.5</c:v>
                      </c:pt>
                      <c:pt idx="25">
                        <c:v>0.5</c:v>
                      </c:pt>
                      <c:pt idx="26">
                        <c:v>0.5</c:v>
                      </c:pt>
                      <c:pt idx="27">
                        <c:v>0.5</c:v>
                      </c:pt>
                      <c:pt idx="28">
                        <c:v>0.5</c:v>
                      </c:pt>
                      <c:pt idx="29">
                        <c:v>0.5</c:v>
                      </c:pt>
                      <c:pt idx="30">
                        <c:v>0.5</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32.772666666666666</c:v>
                      </c:pt>
                      <c:pt idx="16">
                        <c:v>19.145999999999997</c:v>
                      </c:pt>
                      <c:pt idx="17">
                        <c:v>25.685833333333335</c:v>
                      </c:pt>
                      <c:pt idx="18">
                        <c:v>30.633636363636366</c:v>
                      </c:pt>
                      <c:pt idx="19">
                        <c:v>22.784545454545452</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48.28</c:v>
                      </c:pt>
                      <c:pt idx="1">
                        <c:v>48.28</c:v>
                      </c:pt>
                      <c:pt idx="2">
                        <c:v>48.28</c:v>
                      </c:pt>
                      <c:pt idx="3">
                        <c:v>48.28</c:v>
                      </c:pt>
                      <c:pt idx="4">
                        <c:v>48.28</c:v>
                      </c:pt>
                      <c:pt idx="5">
                        <c:v>48.28</c:v>
                      </c:pt>
                      <c:pt idx="6">
                        <c:v>48.28</c:v>
                      </c:pt>
                      <c:pt idx="7">
                        <c:v>48.28</c:v>
                      </c:pt>
                      <c:pt idx="8">
                        <c:v>48.28</c:v>
                      </c:pt>
                      <c:pt idx="9">
                        <c:v>48.28</c:v>
                      </c:pt>
                      <c:pt idx="10">
                        <c:v>48.28</c:v>
                      </c:pt>
                      <c:pt idx="11">
                        <c:v>48.28</c:v>
                      </c:pt>
                      <c:pt idx="12">
                        <c:v>48.28</c:v>
                      </c:pt>
                      <c:pt idx="13">
                        <c:v>48.28</c:v>
                      </c:pt>
                      <c:pt idx="14">
                        <c:v>48.28</c:v>
                      </c:pt>
                      <c:pt idx="15">
                        <c:v>48.28</c:v>
                      </c:pt>
                      <c:pt idx="16">
                        <c:v>48.28</c:v>
                      </c:pt>
                      <c:pt idx="17">
                        <c:v>48.28</c:v>
                      </c:pt>
                      <c:pt idx="18">
                        <c:v>48.28</c:v>
                      </c:pt>
                      <c:pt idx="19">
                        <c:v>48.28</c:v>
                      </c:pt>
                      <c:pt idx="20">
                        <c:v>48.28</c:v>
                      </c:pt>
                      <c:pt idx="21">
                        <c:v>48.28</c:v>
                      </c:pt>
                      <c:pt idx="22">
                        <c:v>48.28</c:v>
                      </c:pt>
                      <c:pt idx="23">
                        <c:v>48.28</c:v>
                      </c:pt>
                      <c:pt idx="24">
                        <c:v>48.28</c:v>
                      </c:pt>
                      <c:pt idx="25">
                        <c:v>48.28</c:v>
                      </c:pt>
                      <c:pt idx="26">
                        <c:v>48.28</c:v>
                      </c:pt>
                      <c:pt idx="27">
                        <c:v>48.28</c:v>
                      </c:pt>
                      <c:pt idx="28">
                        <c:v>48.28</c:v>
                      </c:pt>
                      <c:pt idx="29">
                        <c:v>48.28</c:v>
                      </c:pt>
                      <c:pt idx="30">
                        <c:v>48.28</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109.56</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54.177</c:v>
                      </c:pt>
                      <c:pt idx="1">
                        <c:v>54.177</c:v>
                      </c:pt>
                      <c:pt idx="2">
                        <c:v>54.177</c:v>
                      </c:pt>
                      <c:pt idx="3">
                        <c:v>54.177</c:v>
                      </c:pt>
                      <c:pt idx="4">
                        <c:v>54.177</c:v>
                      </c:pt>
                      <c:pt idx="5">
                        <c:v>54.177</c:v>
                      </c:pt>
                      <c:pt idx="6">
                        <c:v>54.177</c:v>
                      </c:pt>
                      <c:pt idx="7">
                        <c:v>54.177</c:v>
                      </c:pt>
                      <c:pt idx="8">
                        <c:v>54.177</c:v>
                      </c:pt>
                      <c:pt idx="9">
                        <c:v>54.177</c:v>
                      </c:pt>
                      <c:pt idx="10">
                        <c:v>54.177</c:v>
                      </c:pt>
                      <c:pt idx="11">
                        <c:v>54.177</c:v>
                      </c:pt>
                      <c:pt idx="12">
                        <c:v>54.177</c:v>
                      </c:pt>
                      <c:pt idx="13">
                        <c:v>54.177</c:v>
                      </c:pt>
                      <c:pt idx="14">
                        <c:v>54.177</c:v>
                      </c:pt>
                      <c:pt idx="15">
                        <c:v>54.177</c:v>
                      </c:pt>
                      <c:pt idx="16">
                        <c:v>54.177</c:v>
                      </c:pt>
                      <c:pt idx="17">
                        <c:v>54.177</c:v>
                      </c:pt>
                      <c:pt idx="18">
                        <c:v>54.177</c:v>
                      </c:pt>
                      <c:pt idx="19">
                        <c:v>54.177</c:v>
                      </c:pt>
                      <c:pt idx="20">
                        <c:v>54.177</c:v>
                      </c:pt>
                      <c:pt idx="21">
                        <c:v>54.177</c:v>
                      </c:pt>
                      <c:pt idx="22">
                        <c:v>54.177</c:v>
                      </c:pt>
                      <c:pt idx="23">
                        <c:v>54.177</c:v>
                      </c:pt>
                      <c:pt idx="24">
                        <c:v>54.177</c:v>
                      </c:pt>
                      <c:pt idx="25">
                        <c:v>54.177</c:v>
                      </c:pt>
                      <c:pt idx="26">
                        <c:v>54.177</c:v>
                      </c:pt>
                      <c:pt idx="27">
                        <c:v>54.177</c:v>
                      </c:pt>
                      <c:pt idx="28">
                        <c:v>54.177</c:v>
                      </c:pt>
                      <c:pt idx="29">
                        <c:v>54.177</c:v>
                      </c:pt>
                      <c:pt idx="30">
                        <c:v>54.177</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70.668333333333322</c:v>
                      </c:pt>
                      <c:pt idx="16">
                        <c:v>76.097499999999997</c:v>
                      </c:pt>
                      <c:pt idx="17">
                        <c:v>75.545555555555552</c:v>
                      </c:pt>
                      <c:pt idx="18">
                        <c:v>63.365454545454547</c:v>
                      </c:pt>
                      <c:pt idx="19">
                        <c:v>64.69</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75.311000000000007</c:v>
                      </c:pt>
                      <c:pt idx="1">
                        <c:v>75.311000000000007</c:v>
                      </c:pt>
                      <c:pt idx="2">
                        <c:v>75.311000000000007</c:v>
                      </c:pt>
                      <c:pt idx="3">
                        <c:v>75.311000000000007</c:v>
                      </c:pt>
                      <c:pt idx="4">
                        <c:v>75.311000000000007</c:v>
                      </c:pt>
                      <c:pt idx="5">
                        <c:v>75.311000000000007</c:v>
                      </c:pt>
                      <c:pt idx="6">
                        <c:v>75.311000000000007</c:v>
                      </c:pt>
                      <c:pt idx="7">
                        <c:v>75.311000000000007</c:v>
                      </c:pt>
                      <c:pt idx="8">
                        <c:v>75.311000000000007</c:v>
                      </c:pt>
                      <c:pt idx="9">
                        <c:v>75.311000000000007</c:v>
                      </c:pt>
                      <c:pt idx="10">
                        <c:v>75.311000000000007</c:v>
                      </c:pt>
                      <c:pt idx="11">
                        <c:v>75.311000000000007</c:v>
                      </c:pt>
                      <c:pt idx="12">
                        <c:v>75.311000000000007</c:v>
                      </c:pt>
                      <c:pt idx="13">
                        <c:v>75.311000000000007</c:v>
                      </c:pt>
                      <c:pt idx="14">
                        <c:v>75.311000000000007</c:v>
                      </c:pt>
                      <c:pt idx="15">
                        <c:v>75.311000000000007</c:v>
                      </c:pt>
                      <c:pt idx="16">
                        <c:v>75.311000000000007</c:v>
                      </c:pt>
                      <c:pt idx="17">
                        <c:v>75.311000000000007</c:v>
                      </c:pt>
                      <c:pt idx="18">
                        <c:v>75.311000000000007</c:v>
                      </c:pt>
                      <c:pt idx="19">
                        <c:v>75.311000000000007</c:v>
                      </c:pt>
                      <c:pt idx="20">
                        <c:v>75.311000000000007</c:v>
                      </c:pt>
                      <c:pt idx="21">
                        <c:v>75.311000000000007</c:v>
                      </c:pt>
                      <c:pt idx="22">
                        <c:v>75.311000000000007</c:v>
                      </c:pt>
                      <c:pt idx="23">
                        <c:v>75.311000000000007</c:v>
                      </c:pt>
                      <c:pt idx="24">
                        <c:v>75.311000000000007</c:v>
                      </c:pt>
                      <c:pt idx="25">
                        <c:v>75.311000000000007</c:v>
                      </c:pt>
                      <c:pt idx="26">
                        <c:v>75.311000000000007</c:v>
                      </c:pt>
                      <c:pt idx="27">
                        <c:v>75.311000000000007</c:v>
                      </c:pt>
                      <c:pt idx="28">
                        <c:v>75.311000000000007</c:v>
                      </c:pt>
                      <c:pt idx="29">
                        <c:v>75.311000000000007</c:v>
                      </c:pt>
                      <c:pt idx="30">
                        <c:v>75.311000000000007</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pt idx="20">
                        <c:v>546.79999999999995</c:v>
                      </c:pt>
                      <c:pt idx="21">
                        <c:v>546.79999999999995</c:v>
                      </c:pt>
                      <c:pt idx="22">
                        <c:v>546.79999999999995</c:v>
                      </c:pt>
                      <c:pt idx="23">
                        <c:v>546.79999999999995</c:v>
                      </c:pt>
                      <c:pt idx="24">
                        <c:v>546.79999999999995</c:v>
                      </c:pt>
                      <c:pt idx="25">
                        <c:v>546.79999999999995</c:v>
                      </c:pt>
                      <c:pt idx="26">
                        <c:v>546.79999999999995</c:v>
                      </c:pt>
                      <c:pt idx="27">
                        <c:v>546.79999999999995</c:v>
                      </c:pt>
                      <c:pt idx="28">
                        <c:v>546.79999999999995</c:v>
                      </c:pt>
                      <c:pt idx="29">
                        <c:v>546.79999999999995</c:v>
                      </c:pt>
                      <c:pt idx="30">
                        <c:v>546.79999999999995</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0.96202767158608593</c:v>
                </c:pt>
              </c:numCache>
            </c:numRef>
          </c:xVal>
          <c:yVal>
            <c:numRef>
              <c:f>[1]omie_dinamic_dia!$Y$11:$Y$12</c:f>
              <c:numCache>
                <c:formatCode>General</c:formatCode>
                <c:ptCount val="2"/>
                <c:pt idx="0">
                  <c:v>0</c:v>
                </c:pt>
                <c:pt idx="1">
                  <c:v>0.27295193551732505</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-0.96858316112863108</c:v>
                </c:pt>
              </c:numCache>
            </c:numRef>
          </c:xVal>
          <c:yVal>
            <c:numRef>
              <c:f>[1]omie_dinamic_dia!$AC$20:$AC$21</c:f>
              <c:numCache>
                <c:formatCode>General</c:formatCode>
                <c:ptCount val="2"/>
                <c:pt idx="0">
                  <c:v>0</c:v>
                </c:pt>
                <c:pt idx="1">
                  <c:v>0.24868988716485479</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0.84432792550201485</c:v>
                </c:pt>
              </c:numCache>
            </c:numRef>
          </c:xVal>
          <c:yVal>
            <c:numRef>
              <c:f>[1]omie_dinamic_dia!$Y$37:$Y$38</c:f>
              <c:numCache>
                <c:formatCode>General</c:formatCode>
                <c:ptCount val="2"/>
                <c:pt idx="0">
                  <c:v>0</c:v>
                </c:pt>
                <c:pt idx="1">
                  <c:v>0.53582679497899699</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39.51</c:v>
                </c:pt>
                <c:pt idx="1">
                  <c:v>39.51</c:v>
                </c:pt>
                <c:pt idx="2">
                  <c:v>39.51</c:v>
                </c:pt>
                <c:pt idx="3">
                  <c:v>39.51</c:v>
                </c:pt>
                <c:pt idx="4">
                  <c:v>39.51</c:v>
                </c:pt>
                <c:pt idx="5">
                  <c:v>39.51</c:v>
                </c:pt>
                <c:pt idx="6">
                  <c:v>39.51</c:v>
                </c:pt>
                <c:pt idx="7">
                  <c:v>39.51</c:v>
                </c:pt>
                <c:pt idx="8">
                  <c:v>39.51</c:v>
                </c:pt>
                <c:pt idx="9">
                  <c:v>39.51</c:v>
                </c:pt>
                <c:pt idx="10">
                  <c:v>39.51</c:v>
                </c:pt>
                <c:pt idx="11">
                  <c:v>39.51</c:v>
                </c:pt>
                <c:pt idx="12">
                  <c:v>39.51</c:v>
                </c:pt>
                <c:pt idx="13">
                  <c:v>39.51</c:v>
                </c:pt>
                <c:pt idx="14">
                  <c:v>39.51</c:v>
                </c:pt>
                <c:pt idx="15">
                  <c:v>39.51</c:v>
                </c:pt>
                <c:pt idx="16">
                  <c:v>39.51</c:v>
                </c:pt>
                <c:pt idx="17">
                  <c:v>39.51</c:v>
                </c:pt>
                <c:pt idx="18">
                  <c:v>39.51</c:v>
                </c:pt>
                <c:pt idx="19">
                  <c:v>39.51</c:v>
                </c:pt>
                <c:pt idx="20">
                  <c:v>39.51</c:v>
                </c:pt>
                <c:pt idx="21">
                  <c:v>39.51</c:v>
                </c:pt>
                <c:pt idx="22">
                  <c:v>39.51</c:v>
                </c:pt>
                <c:pt idx="23">
                  <c:v>39.51</c:v>
                </c:pt>
                <c:pt idx="24">
                  <c:v>39.51</c:v>
                </c:pt>
                <c:pt idx="25">
                  <c:v>39.51</c:v>
                </c:pt>
                <c:pt idx="26">
                  <c:v>39.51</c:v>
                </c:pt>
                <c:pt idx="27">
                  <c:v>39.51</c:v>
                </c:pt>
                <c:pt idx="28">
                  <c:v>39.51</c:v>
                </c:pt>
                <c:pt idx="29">
                  <c:v>39.51</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62.64</c:v>
                </c:pt>
                <c:pt idx="1">
                  <c:v>62.64</c:v>
                </c:pt>
                <c:pt idx="2">
                  <c:v>62.64</c:v>
                </c:pt>
                <c:pt idx="3">
                  <c:v>62.64</c:v>
                </c:pt>
                <c:pt idx="4">
                  <c:v>62.64</c:v>
                </c:pt>
                <c:pt idx="5">
                  <c:v>62.64</c:v>
                </c:pt>
                <c:pt idx="6">
                  <c:v>62.64</c:v>
                </c:pt>
                <c:pt idx="7">
                  <c:v>62.64</c:v>
                </c:pt>
                <c:pt idx="8">
                  <c:v>62.64</c:v>
                </c:pt>
                <c:pt idx="9">
                  <c:v>62.64</c:v>
                </c:pt>
                <c:pt idx="10">
                  <c:v>62.64</c:v>
                </c:pt>
                <c:pt idx="11">
                  <c:v>62.64</c:v>
                </c:pt>
                <c:pt idx="12">
                  <c:v>62.64</c:v>
                </c:pt>
                <c:pt idx="13">
                  <c:v>62.64</c:v>
                </c:pt>
                <c:pt idx="14">
                  <c:v>62.64</c:v>
                </c:pt>
                <c:pt idx="15">
                  <c:v>62.64</c:v>
                </c:pt>
                <c:pt idx="16">
                  <c:v>62.64</c:v>
                </c:pt>
                <c:pt idx="17">
                  <c:v>62.64</c:v>
                </c:pt>
                <c:pt idx="18">
                  <c:v>62.64</c:v>
                </c:pt>
                <c:pt idx="19">
                  <c:v>62.64</c:v>
                </c:pt>
                <c:pt idx="20">
                  <c:v>62.64</c:v>
                </c:pt>
                <c:pt idx="21">
                  <c:v>62.64</c:v>
                </c:pt>
                <c:pt idx="22">
                  <c:v>62.64</c:v>
                </c:pt>
                <c:pt idx="23">
                  <c:v>62.64</c:v>
                </c:pt>
                <c:pt idx="24">
                  <c:v>62.64</c:v>
                </c:pt>
                <c:pt idx="25">
                  <c:v>62.64</c:v>
                </c:pt>
                <c:pt idx="26">
                  <c:v>62.64</c:v>
                </c:pt>
                <c:pt idx="27">
                  <c:v>62.64</c:v>
                </c:pt>
                <c:pt idx="28">
                  <c:v>62.64</c:v>
                </c:pt>
                <c:pt idx="29">
                  <c:v>62.64</c:v>
                </c:pt>
                <c:pt idx="30">
                  <c:v>62.64</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0.45600000000000002</c:v>
                      </c:pt>
                      <c:pt idx="1">
                        <c:v>0.45600000000000002</c:v>
                      </c:pt>
                      <c:pt idx="2">
                        <c:v>0.45600000000000002</c:v>
                      </c:pt>
                      <c:pt idx="3">
                        <c:v>0.45600000000000002</c:v>
                      </c:pt>
                      <c:pt idx="4">
                        <c:v>0.45600000000000002</c:v>
                      </c:pt>
                      <c:pt idx="5">
                        <c:v>0.45600000000000002</c:v>
                      </c:pt>
                      <c:pt idx="6">
                        <c:v>0.45600000000000002</c:v>
                      </c:pt>
                      <c:pt idx="7">
                        <c:v>0.45600000000000002</c:v>
                      </c:pt>
                      <c:pt idx="8">
                        <c:v>0.45600000000000002</c:v>
                      </c:pt>
                      <c:pt idx="9">
                        <c:v>0.45600000000000002</c:v>
                      </c:pt>
                      <c:pt idx="10">
                        <c:v>0.45600000000000002</c:v>
                      </c:pt>
                      <c:pt idx="11">
                        <c:v>0.45600000000000002</c:v>
                      </c:pt>
                      <c:pt idx="12">
                        <c:v>0.45600000000000002</c:v>
                      </c:pt>
                      <c:pt idx="13">
                        <c:v>0.45600000000000002</c:v>
                      </c:pt>
                      <c:pt idx="14">
                        <c:v>0.45600000000000002</c:v>
                      </c:pt>
                      <c:pt idx="15">
                        <c:v>0.45600000000000002</c:v>
                      </c:pt>
                      <c:pt idx="16">
                        <c:v>0.45600000000000002</c:v>
                      </c:pt>
                      <c:pt idx="17">
                        <c:v>0.45600000000000002</c:v>
                      </c:pt>
                      <c:pt idx="18">
                        <c:v>0.45600000000000002</c:v>
                      </c:pt>
                      <c:pt idx="19">
                        <c:v>0.45600000000000002</c:v>
                      </c:pt>
                      <c:pt idx="20">
                        <c:v>0.45600000000000002</c:v>
                      </c:pt>
                      <c:pt idx="21">
                        <c:v>0.45600000000000002</c:v>
                      </c:pt>
                      <c:pt idx="22">
                        <c:v>0.45600000000000002</c:v>
                      </c:pt>
                      <c:pt idx="23">
                        <c:v>0.45600000000000002</c:v>
                      </c:pt>
                      <c:pt idx="24">
                        <c:v>0.45600000000000002</c:v>
                      </c:pt>
                      <c:pt idx="25">
                        <c:v>0.45600000000000002</c:v>
                      </c:pt>
                      <c:pt idx="26">
                        <c:v>0.45600000000000002</c:v>
                      </c:pt>
                      <c:pt idx="27">
                        <c:v>0.45600000000000002</c:v>
                      </c:pt>
                      <c:pt idx="28">
                        <c:v>0.45600000000000002</c:v>
                      </c:pt>
                      <c:pt idx="29">
                        <c:v>0.45600000000000002</c:v>
                      </c:pt>
                      <c:pt idx="30">
                        <c:v>0.45600000000000002</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pt idx="15">
                  <c:v>0.625</c:v>
                </c:pt>
                <c:pt idx="16">
                  <c:v>0.43478260869565216</c:v>
                </c:pt>
                <c:pt idx="17">
                  <c:v>0.5</c:v>
                </c:pt>
                <c:pt idx="18">
                  <c:v>0.47826086956521746</c:v>
                </c:pt>
                <c:pt idx="19">
                  <c:v>0.45833333333333326</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pt idx="15">
                  <c:v>0</c:v>
                </c:pt>
                <c:pt idx="16">
                  <c:v>0</c:v>
                </c:pt>
                <c:pt idx="17">
                  <c:v>4.1666666666666664E-2</c:v>
                </c:pt>
                <c:pt idx="18">
                  <c:v>0</c:v>
                </c:pt>
                <c:pt idx="19">
                  <c:v>0</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pt idx="15">
                  <c:v>0.25</c:v>
                </c:pt>
                <c:pt idx="16">
                  <c:v>0.34782608695652173</c:v>
                </c:pt>
                <c:pt idx="17">
                  <c:v>0.375</c:v>
                </c:pt>
                <c:pt idx="18">
                  <c:v>0.47826086956521746</c:v>
                </c:pt>
                <c:pt idx="19">
                  <c:v>0.5</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63.418999999999997</c:v>
                </c:pt>
                <c:pt idx="1">
                  <c:v>63.418999999999997</c:v>
                </c:pt>
                <c:pt idx="2">
                  <c:v>63.418999999999997</c:v>
                </c:pt>
                <c:pt idx="3">
                  <c:v>63.418999999999997</c:v>
                </c:pt>
                <c:pt idx="4">
                  <c:v>63.418999999999997</c:v>
                </c:pt>
                <c:pt idx="5">
                  <c:v>63.418999999999997</c:v>
                </c:pt>
                <c:pt idx="6">
                  <c:v>63.418999999999997</c:v>
                </c:pt>
                <c:pt idx="7">
                  <c:v>63.418999999999997</c:v>
                </c:pt>
                <c:pt idx="8">
                  <c:v>63.418999999999997</c:v>
                </c:pt>
                <c:pt idx="9">
                  <c:v>63.418999999999997</c:v>
                </c:pt>
                <c:pt idx="10">
                  <c:v>63.418999999999997</c:v>
                </c:pt>
                <c:pt idx="11">
                  <c:v>63.418999999999997</c:v>
                </c:pt>
                <c:pt idx="12">
                  <c:v>63.418999999999997</c:v>
                </c:pt>
                <c:pt idx="13">
                  <c:v>63.418999999999997</c:v>
                </c:pt>
                <c:pt idx="14">
                  <c:v>63.418999999999997</c:v>
                </c:pt>
                <c:pt idx="15">
                  <c:v>63.418999999999997</c:v>
                </c:pt>
                <c:pt idx="16">
                  <c:v>63.418999999999997</c:v>
                </c:pt>
                <c:pt idx="17">
                  <c:v>63.418999999999997</c:v>
                </c:pt>
                <c:pt idx="18">
                  <c:v>63.418999999999997</c:v>
                </c:pt>
                <c:pt idx="19">
                  <c:v>63.418999999999997</c:v>
                </c:pt>
                <c:pt idx="20">
                  <c:v>63.418999999999997</c:v>
                </c:pt>
                <c:pt idx="21">
                  <c:v>63.418999999999997</c:v>
                </c:pt>
                <c:pt idx="22">
                  <c:v>63.418999999999997</c:v>
                </c:pt>
                <c:pt idx="23">
                  <c:v>63.418999999999997</c:v>
                </c:pt>
                <c:pt idx="24">
                  <c:v>63.418999999999997</c:v>
                </c:pt>
                <c:pt idx="25">
                  <c:v>63.418999999999997</c:v>
                </c:pt>
                <c:pt idx="26">
                  <c:v>63.418999999999997</c:v>
                </c:pt>
                <c:pt idx="27">
                  <c:v>63.418999999999997</c:v>
                </c:pt>
                <c:pt idx="28">
                  <c:v>63.418999999999997</c:v>
                </c:pt>
                <c:pt idx="29">
                  <c:v>63.418999999999997</c:v>
                </c:pt>
                <c:pt idx="30">
                  <c:v>63.418999999999997</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pt idx="15">
                  <c:v>48.837083333333332</c:v>
                </c:pt>
                <c:pt idx="16">
                  <c:v>51.250416666666666</c:v>
                </c:pt>
                <c:pt idx="17">
                  <c:v>51.98749999999999</c:v>
                </c:pt>
                <c:pt idx="18">
                  <c:v>48.707916666666669</c:v>
                </c:pt>
                <c:pt idx="19">
                  <c:v>44.662916666666661</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0.04</c:v>
                      </c:pt>
                      <c:pt idx="1">
                        <c:v>3.6999999999999998E-2</c:v>
                      </c:pt>
                      <c:pt idx="2">
                        <c:v>3.5000000000000003E-2</c:v>
                      </c:pt>
                      <c:pt idx="3">
                        <c:v>3.4000000000000002E-2</c:v>
                      </c:pt>
                      <c:pt idx="4">
                        <c:v>3.5999999999999997E-2</c:v>
                      </c:pt>
                      <c:pt idx="5">
                        <c:v>3.9E-2</c:v>
                      </c:pt>
                      <c:pt idx="6">
                        <c:v>4.2000000000000003E-2</c:v>
                      </c:pt>
                      <c:pt idx="7">
                        <c:v>4.4999999999999998E-2</c:v>
                      </c:pt>
                      <c:pt idx="8">
                        <c:v>4.9000000000000002E-2</c:v>
                      </c:pt>
                      <c:pt idx="9">
                        <c:v>5.2999999999999999E-2</c:v>
                      </c:pt>
                      <c:pt idx="10">
                        <c:v>4.2000000000000003E-2</c:v>
                      </c:pt>
                      <c:pt idx="11">
                        <c:v>3.2000000000000001E-2</c:v>
                      </c:pt>
                      <c:pt idx="12">
                        <c:v>3.5999999999999997E-2</c:v>
                      </c:pt>
                      <c:pt idx="13">
                        <c:v>3.5999999999999997E-2</c:v>
                      </c:pt>
                      <c:pt idx="14">
                        <c:v>1.4E-2</c:v>
                      </c:pt>
                      <c:pt idx="15">
                        <c:v>8.0000000000000002E-3</c:v>
                      </c:pt>
                      <c:pt idx="16">
                        <c:v>0.01</c:v>
                      </c:pt>
                      <c:pt idx="17">
                        <c:v>1.4E-2</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0.41</c:v>
                      </c:pt>
                      <c:pt idx="1">
                        <c:v>0.40100000000000002</c:v>
                      </c:pt>
                      <c:pt idx="2">
                        <c:v>0.39800000000000002</c:v>
                      </c:pt>
                      <c:pt idx="3">
                        <c:v>0.39900000000000002</c:v>
                      </c:pt>
                      <c:pt idx="4">
                        <c:v>0.38800000000000001</c:v>
                      </c:pt>
                      <c:pt idx="5">
                        <c:v>0.38300000000000001</c:v>
                      </c:pt>
                      <c:pt idx="6">
                        <c:v>0.38</c:v>
                      </c:pt>
                      <c:pt idx="7">
                        <c:v>0.378</c:v>
                      </c:pt>
                      <c:pt idx="8">
                        <c:v>0.38800000000000001</c:v>
                      </c:pt>
                      <c:pt idx="9">
                        <c:v>0.39300000000000002</c:v>
                      </c:pt>
                      <c:pt idx="10">
                        <c:v>0.41199999999999998</c:v>
                      </c:pt>
                      <c:pt idx="11">
                        <c:v>0.40699999999999997</c:v>
                      </c:pt>
                      <c:pt idx="12">
                        <c:v>0.4</c:v>
                      </c:pt>
                      <c:pt idx="13">
                        <c:v>0.41599999999999998</c:v>
                      </c:pt>
                      <c:pt idx="14">
                        <c:v>0.40899999999999997</c:v>
                      </c:pt>
                      <c:pt idx="15">
                        <c:v>0.39</c:v>
                      </c:pt>
                      <c:pt idx="16">
                        <c:v>0.42499999999999999</c:v>
                      </c:pt>
                      <c:pt idx="17">
                        <c:v>0.45100000000000001</c:v>
                      </c:pt>
                      <c:pt idx="18">
                        <c:v>0.48899999999999999</c:v>
                      </c:pt>
                      <c:pt idx="19">
                        <c:v>0.5</c:v>
                      </c:pt>
                      <c:pt idx="20">
                        <c:v>0.5</c:v>
                      </c:pt>
                      <c:pt idx="21">
                        <c:v>0.5</c:v>
                      </c:pt>
                      <c:pt idx="22">
                        <c:v>0.5</c:v>
                      </c:pt>
                      <c:pt idx="23">
                        <c:v>0.5</c:v>
                      </c:pt>
                      <c:pt idx="24">
                        <c:v>0.5</c:v>
                      </c:pt>
                      <c:pt idx="25">
                        <c:v>0.5</c:v>
                      </c:pt>
                      <c:pt idx="26">
                        <c:v>0.5</c:v>
                      </c:pt>
                      <c:pt idx="27">
                        <c:v>0.5</c:v>
                      </c:pt>
                      <c:pt idx="28">
                        <c:v>0.5</c:v>
                      </c:pt>
                      <c:pt idx="29">
                        <c:v>0.5</c:v>
                      </c:pt>
                      <c:pt idx="30">
                        <c:v>0.5</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32.772666666666666</c:v>
                      </c:pt>
                      <c:pt idx="16">
                        <c:v>19.145999999999997</c:v>
                      </c:pt>
                      <c:pt idx="17">
                        <c:v>25.685833333333335</c:v>
                      </c:pt>
                      <c:pt idx="18">
                        <c:v>30.633636363636366</c:v>
                      </c:pt>
                      <c:pt idx="19">
                        <c:v>22.784545454545452</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48.28</c:v>
                      </c:pt>
                      <c:pt idx="1">
                        <c:v>48.28</c:v>
                      </c:pt>
                      <c:pt idx="2">
                        <c:v>48.28</c:v>
                      </c:pt>
                      <c:pt idx="3">
                        <c:v>48.28</c:v>
                      </c:pt>
                      <c:pt idx="4">
                        <c:v>48.28</c:v>
                      </c:pt>
                      <c:pt idx="5">
                        <c:v>48.28</c:v>
                      </c:pt>
                      <c:pt idx="6">
                        <c:v>48.28</c:v>
                      </c:pt>
                      <c:pt idx="7">
                        <c:v>48.28</c:v>
                      </c:pt>
                      <c:pt idx="8">
                        <c:v>48.28</c:v>
                      </c:pt>
                      <c:pt idx="9">
                        <c:v>48.28</c:v>
                      </c:pt>
                      <c:pt idx="10">
                        <c:v>48.28</c:v>
                      </c:pt>
                      <c:pt idx="11">
                        <c:v>48.28</c:v>
                      </c:pt>
                      <c:pt idx="12">
                        <c:v>48.28</c:v>
                      </c:pt>
                      <c:pt idx="13">
                        <c:v>48.28</c:v>
                      </c:pt>
                      <c:pt idx="14">
                        <c:v>48.28</c:v>
                      </c:pt>
                      <c:pt idx="15">
                        <c:v>48.28</c:v>
                      </c:pt>
                      <c:pt idx="16">
                        <c:v>48.28</c:v>
                      </c:pt>
                      <c:pt idx="17">
                        <c:v>48.28</c:v>
                      </c:pt>
                      <c:pt idx="18">
                        <c:v>48.28</c:v>
                      </c:pt>
                      <c:pt idx="19">
                        <c:v>48.28</c:v>
                      </c:pt>
                      <c:pt idx="20">
                        <c:v>48.28</c:v>
                      </c:pt>
                      <c:pt idx="21">
                        <c:v>48.28</c:v>
                      </c:pt>
                      <c:pt idx="22">
                        <c:v>48.28</c:v>
                      </c:pt>
                      <c:pt idx="23">
                        <c:v>48.28</c:v>
                      </c:pt>
                      <c:pt idx="24">
                        <c:v>48.28</c:v>
                      </c:pt>
                      <c:pt idx="25">
                        <c:v>48.28</c:v>
                      </c:pt>
                      <c:pt idx="26">
                        <c:v>48.28</c:v>
                      </c:pt>
                      <c:pt idx="27">
                        <c:v>48.28</c:v>
                      </c:pt>
                      <c:pt idx="28">
                        <c:v>48.28</c:v>
                      </c:pt>
                      <c:pt idx="29">
                        <c:v>48.28</c:v>
                      </c:pt>
                      <c:pt idx="30">
                        <c:v>48.28</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109.56</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54.177</c:v>
                      </c:pt>
                      <c:pt idx="1">
                        <c:v>54.177</c:v>
                      </c:pt>
                      <c:pt idx="2">
                        <c:v>54.177</c:v>
                      </c:pt>
                      <c:pt idx="3">
                        <c:v>54.177</c:v>
                      </c:pt>
                      <c:pt idx="4">
                        <c:v>54.177</c:v>
                      </c:pt>
                      <c:pt idx="5">
                        <c:v>54.177</c:v>
                      </c:pt>
                      <c:pt idx="6">
                        <c:v>54.177</c:v>
                      </c:pt>
                      <c:pt idx="7">
                        <c:v>54.177</c:v>
                      </c:pt>
                      <c:pt idx="8">
                        <c:v>54.177</c:v>
                      </c:pt>
                      <c:pt idx="9">
                        <c:v>54.177</c:v>
                      </c:pt>
                      <c:pt idx="10">
                        <c:v>54.177</c:v>
                      </c:pt>
                      <c:pt idx="11">
                        <c:v>54.177</c:v>
                      </c:pt>
                      <c:pt idx="12">
                        <c:v>54.177</c:v>
                      </c:pt>
                      <c:pt idx="13">
                        <c:v>54.177</c:v>
                      </c:pt>
                      <c:pt idx="14">
                        <c:v>54.177</c:v>
                      </c:pt>
                      <c:pt idx="15">
                        <c:v>54.177</c:v>
                      </c:pt>
                      <c:pt idx="16">
                        <c:v>54.177</c:v>
                      </c:pt>
                      <c:pt idx="17">
                        <c:v>54.177</c:v>
                      </c:pt>
                      <c:pt idx="18">
                        <c:v>54.177</c:v>
                      </c:pt>
                      <c:pt idx="19">
                        <c:v>54.177</c:v>
                      </c:pt>
                      <c:pt idx="20">
                        <c:v>54.177</c:v>
                      </c:pt>
                      <c:pt idx="21">
                        <c:v>54.177</c:v>
                      </c:pt>
                      <c:pt idx="22">
                        <c:v>54.177</c:v>
                      </c:pt>
                      <c:pt idx="23">
                        <c:v>54.177</c:v>
                      </c:pt>
                      <c:pt idx="24">
                        <c:v>54.177</c:v>
                      </c:pt>
                      <c:pt idx="25">
                        <c:v>54.177</c:v>
                      </c:pt>
                      <c:pt idx="26">
                        <c:v>54.177</c:v>
                      </c:pt>
                      <c:pt idx="27">
                        <c:v>54.177</c:v>
                      </c:pt>
                      <c:pt idx="28">
                        <c:v>54.177</c:v>
                      </c:pt>
                      <c:pt idx="29">
                        <c:v>54.177</c:v>
                      </c:pt>
                      <c:pt idx="30">
                        <c:v>54.177</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70.668333333333322</c:v>
                      </c:pt>
                      <c:pt idx="16">
                        <c:v>76.097499999999997</c:v>
                      </c:pt>
                      <c:pt idx="17">
                        <c:v>75.545555555555552</c:v>
                      </c:pt>
                      <c:pt idx="18">
                        <c:v>63.365454545454547</c:v>
                      </c:pt>
                      <c:pt idx="19">
                        <c:v>64.69</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75.311000000000007</c:v>
                      </c:pt>
                      <c:pt idx="1">
                        <c:v>75.311000000000007</c:v>
                      </c:pt>
                      <c:pt idx="2">
                        <c:v>75.311000000000007</c:v>
                      </c:pt>
                      <c:pt idx="3">
                        <c:v>75.311000000000007</c:v>
                      </c:pt>
                      <c:pt idx="4">
                        <c:v>75.311000000000007</c:v>
                      </c:pt>
                      <c:pt idx="5">
                        <c:v>75.311000000000007</c:v>
                      </c:pt>
                      <c:pt idx="6">
                        <c:v>75.311000000000007</c:v>
                      </c:pt>
                      <c:pt idx="7">
                        <c:v>75.311000000000007</c:v>
                      </c:pt>
                      <c:pt idx="8">
                        <c:v>75.311000000000007</c:v>
                      </c:pt>
                      <c:pt idx="9">
                        <c:v>75.311000000000007</c:v>
                      </c:pt>
                      <c:pt idx="10">
                        <c:v>75.311000000000007</c:v>
                      </c:pt>
                      <c:pt idx="11">
                        <c:v>75.311000000000007</c:v>
                      </c:pt>
                      <c:pt idx="12">
                        <c:v>75.311000000000007</c:v>
                      </c:pt>
                      <c:pt idx="13">
                        <c:v>75.311000000000007</c:v>
                      </c:pt>
                      <c:pt idx="14">
                        <c:v>75.311000000000007</c:v>
                      </c:pt>
                      <c:pt idx="15">
                        <c:v>75.311000000000007</c:v>
                      </c:pt>
                      <c:pt idx="16">
                        <c:v>75.311000000000007</c:v>
                      </c:pt>
                      <c:pt idx="17">
                        <c:v>75.311000000000007</c:v>
                      </c:pt>
                      <c:pt idx="18">
                        <c:v>75.311000000000007</c:v>
                      </c:pt>
                      <c:pt idx="19">
                        <c:v>75.311000000000007</c:v>
                      </c:pt>
                      <c:pt idx="20">
                        <c:v>75.311000000000007</c:v>
                      </c:pt>
                      <c:pt idx="21">
                        <c:v>75.311000000000007</c:v>
                      </c:pt>
                      <c:pt idx="22">
                        <c:v>75.311000000000007</c:v>
                      </c:pt>
                      <c:pt idx="23">
                        <c:v>75.311000000000007</c:v>
                      </c:pt>
                      <c:pt idx="24">
                        <c:v>75.311000000000007</c:v>
                      </c:pt>
                      <c:pt idx="25">
                        <c:v>75.311000000000007</c:v>
                      </c:pt>
                      <c:pt idx="26">
                        <c:v>75.311000000000007</c:v>
                      </c:pt>
                      <c:pt idx="27">
                        <c:v>75.311000000000007</c:v>
                      </c:pt>
                      <c:pt idx="28">
                        <c:v>75.311000000000007</c:v>
                      </c:pt>
                      <c:pt idx="29">
                        <c:v>75.311000000000007</c:v>
                      </c:pt>
                      <c:pt idx="30">
                        <c:v>75.311000000000007</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pt idx="20">
                        <c:v>546.79999999999995</c:v>
                      </c:pt>
                      <c:pt idx="21">
                        <c:v>546.79999999999995</c:v>
                      </c:pt>
                      <c:pt idx="22">
                        <c:v>546.79999999999995</c:v>
                      </c:pt>
                      <c:pt idx="23">
                        <c:v>546.79999999999995</c:v>
                      </c:pt>
                      <c:pt idx="24">
                        <c:v>546.79999999999995</c:v>
                      </c:pt>
                      <c:pt idx="25">
                        <c:v>546.79999999999995</c:v>
                      </c:pt>
                      <c:pt idx="26">
                        <c:v>546.79999999999995</c:v>
                      </c:pt>
                      <c:pt idx="27">
                        <c:v>546.79999999999995</c:v>
                      </c:pt>
                      <c:pt idx="28">
                        <c:v>546.79999999999995</c:v>
                      </c:pt>
                      <c:pt idx="29">
                        <c:v>546.79999999999995</c:v>
                      </c:pt>
                      <c:pt idx="30">
                        <c:v>546.79999999999995</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0.96202767158608593</c:v>
                </c:pt>
              </c:numCache>
            </c:numRef>
          </c:xVal>
          <c:yVal>
            <c:numRef>
              <c:f>[1]omie_dinamic_dia!$Y$11:$Y$12</c:f>
              <c:numCache>
                <c:formatCode>General</c:formatCode>
                <c:ptCount val="2"/>
                <c:pt idx="0">
                  <c:v>0</c:v>
                </c:pt>
                <c:pt idx="1">
                  <c:v>0.27295193551732505</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-0.96858316112863108</c:v>
                </c:pt>
              </c:numCache>
            </c:numRef>
          </c:xVal>
          <c:yVal>
            <c:numRef>
              <c:f>[1]omie_dinamic_dia!$AC$20:$AC$21</c:f>
              <c:numCache>
                <c:formatCode>General</c:formatCode>
                <c:ptCount val="2"/>
                <c:pt idx="0">
                  <c:v>0</c:v>
                </c:pt>
                <c:pt idx="1">
                  <c:v>0.24868988716485479</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0.84432792550201485</c:v>
                </c:pt>
              </c:numCache>
            </c:numRef>
          </c:xVal>
          <c:yVal>
            <c:numRef>
              <c:f>[1]omie_dinamic_dia!$Y$37:$Y$38</c:f>
              <c:numCache>
                <c:formatCode>General</c:formatCode>
                <c:ptCount val="2"/>
                <c:pt idx="0">
                  <c:v>0</c:v>
                </c:pt>
                <c:pt idx="1">
                  <c:v>0.53582679497899699</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39.51</c:v>
                </c:pt>
                <c:pt idx="1">
                  <c:v>39.51</c:v>
                </c:pt>
                <c:pt idx="2">
                  <c:v>39.51</c:v>
                </c:pt>
                <c:pt idx="3">
                  <c:v>39.51</c:v>
                </c:pt>
                <c:pt idx="4">
                  <c:v>39.51</c:v>
                </c:pt>
                <c:pt idx="5">
                  <c:v>39.51</c:v>
                </c:pt>
                <c:pt idx="6">
                  <c:v>39.51</c:v>
                </c:pt>
                <c:pt idx="7">
                  <c:v>39.51</c:v>
                </c:pt>
                <c:pt idx="8">
                  <c:v>39.51</c:v>
                </c:pt>
                <c:pt idx="9">
                  <c:v>39.51</c:v>
                </c:pt>
                <c:pt idx="10">
                  <c:v>39.51</c:v>
                </c:pt>
                <c:pt idx="11">
                  <c:v>39.51</c:v>
                </c:pt>
                <c:pt idx="12">
                  <c:v>39.51</c:v>
                </c:pt>
                <c:pt idx="13">
                  <c:v>39.51</c:v>
                </c:pt>
                <c:pt idx="14">
                  <c:v>39.51</c:v>
                </c:pt>
                <c:pt idx="15">
                  <c:v>39.51</c:v>
                </c:pt>
                <c:pt idx="16">
                  <c:v>39.51</c:v>
                </c:pt>
                <c:pt idx="17">
                  <c:v>39.51</c:v>
                </c:pt>
                <c:pt idx="18">
                  <c:v>39.51</c:v>
                </c:pt>
                <c:pt idx="19">
                  <c:v>39.51</c:v>
                </c:pt>
                <c:pt idx="20">
                  <c:v>39.51</c:v>
                </c:pt>
                <c:pt idx="21">
                  <c:v>39.51</c:v>
                </c:pt>
                <c:pt idx="22">
                  <c:v>39.51</c:v>
                </c:pt>
                <c:pt idx="23">
                  <c:v>39.51</c:v>
                </c:pt>
                <c:pt idx="24">
                  <c:v>39.51</c:v>
                </c:pt>
                <c:pt idx="25">
                  <c:v>39.51</c:v>
                </c:pt>
                <c:pt idx="26">
                  <c:v>39.51</c:v>
                </c:pt>
                <c:pt idx="27">
                  <c:v>39.51</c:v>
                </c:pt>
                <c:pt idx="28">
                  <c:v>39.51</c:v>
                </c:pt>
                <c:pt idx="29">
                  <c:v>39.51</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62.64</c:v>
                </c:pt>
                <c:pt idx="1">
                  <c:v>62.64</c:v>
                </c:pt>
                <c:pt idx="2">
                  <c:v>62.64</c:v>
                </c:pt>
                <c:pt idx="3">
                  <c:v>62.64</c:v>
                </c:pt>
                <c:pt idx="4">
                  <c:v>62.64</c:v>
                </c:pt>
                <c:pt idx="5">
                  <c:v>62.64</c:v>
                </c:pt>
                <c:pt idx="6">
                  <c:v>62.64</c:v>
                </c:pt>
                <c:pt idx="7">
                  <c:v>62.64</c:v>
                </c:pt>
                <c:pt idx="8">
                  <c:v>62.64</c:v>
                </c:pt>
                <c:pt idx="9">
                  <c:v>62.64</c:v>
                </c:pt>
                <c:pt idx="10">
                  <c:v>62.64</c:v>
                </c:pt>
                <c:pt idx="11">
                  <c:v>62.64</c:v>
                </c:pt>
                <c:pt idx="12">
                  <c:v>62.64</c:v>
                </c:pt>
                <c:pt idx="13">
                  <c:v>62.64</c:v>
                </c:pt>
                <c:pt idx="14">
                  <c:v>62.64</c:v>
                </c:pt>
                <c:pt idx="15">
                  <c:v>62.64</c:v>
                </c:pt>
                <c:pt idx="16">
                  <c:v>62.64</c:v>
                </c:pt>
                <c:pt idx="17">
                  <c:v>62.64</c:v>
                </c:pt>
                <c:pt idx="18">
                  <c:v>62.64</c:v>
                </c:pt>
                <c:pt idx="19">
                  <c:v>62.64</c:v>
                </c:pt>
                <c:pt idx="20">
                  <c:v>62.64</c:v>
                </c:pt>
                <c:pt idx="21">
                  <c:v>62.64</c:v>
                </c:pt>
                <c:pt idx="22">
                  <c:v>62.64</c:v>
                </c:pt>
                <c:pt idx="23">
                  <c:v>62.64</c:v>
                </c:pt>
                <c:pt idx="24">
                  <c:v>62.64</c:v>
                </c:pt>
                <c:pt idx="25">
                  <c:v>62.64</c:v>
                </c:pt>
                <c:pt idx="26">
                  <c:v>62.64</c:v>
                </c:pt>
                <c:pt idx="27">
                  <c:v>62.64</c:v>
                </c:pt>
                <c:pt idx="28">
                  <c:v>62.64</c:v>
                </c:pt>
                <c:pt idx="29">
                  <c:v>62.64</c:v>
                </c:pt>
                <c:pt idx="30">
                  <c:v>62.64</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0.45600000000000002</c:v>
                      </c:pt>
                      <c:pt idx="1">
                        <c:v>0.45600000000000002</c:v>
                      </c:pt>
                      <c:pt idx="2">
                        <c:v>0.45600000000000002</c:v>
                      </c:pt>
                      <c:pt idx="3">
                        <c:v>0.45600000000000002</c:v>
                      </c:pt>
                      <c:pt idx="4">
                        <c:v>0.45600000000000002</c:v>
                      </c:pt>
                      <c:pt idx="5">
                        <c:v>0.45600000000000002</c:v>
                      </c:pt>
                      <c:pt idx="6">
                        <c:v>0.45600000000000002</c:v>
                      </c:pt>
                      <c:pt idx="7">
                        <c:v>0.45600000000000002</c:v>
                      </c:pt>
                      <c:pt idx="8">
                        <c:v>0.45600000000000002</c:v>
                      </c:pt>
                      <c:pt idx="9">
                        <c:v>0.45600000000000002</c:v>
                      </c:pt>
                      <c:pt idx="10">
                        <c:v>0.45600000000000002</c:v>
                      </c:pt>
                      <c:pt idx="11">
                        <c:v>0.45600000000000002</c:v>
                      </c:pt>
                      <c:pt idx="12">
                        <c:v>0.45600000000000002</c:v>
                      </c:pt>
                      <c:pt idx="13">
                        <c:v>0.45600000000000002</c:v>
                      </c:pt>
                      <c:pt idx="14">
                        <c:v>0.45600000000000002</c:v>
                      </c:pt>
                      <c:pt idx="15">
                        <c:v>0.45600000000000002</c:v>
                      </c:pt>
                      <c:pt idx="16">
                        <c:v>0.45600000000000002</c:v>
                      </c:pt>
                      <c:pt idx="17">
                        <c:v>0.45600000000000002</c:v>
                      </c:pt>
                      <c:pt idx="18">
                        <c:v>0.45600000000000002</c:v>
                      </c:pt>
                      <c:pt idx="19">
                        <c:v>0.45600000000000002</c:v>
                      </c:pt>
                      <c:pt idx="20">
                        <c:v>0.45600000000000002</c:v>
                      </c:pt>
                      <c:pt idx="21">
                        <c:v>0.45600000000000002</c:v>
                      </c:pt>
                      <c:pt idx="22">
                        <c:v>0.45600000000000002</c:v>
                      </c:pt>
                      <c:pt idx="23">
                        <c:v>0.45600000000000002</c:v>
                      </c:pt>
                      <c:pt idx="24">
                        <c:v>0.45600000000000002</c:v>
                      </c:pt>
                      <c:pt idx="25">
                        <c:v>0.45600000000000002</c:v>
                      </c:pt>
                      <c:pt idx="26">
                        <c:v>0.45600000000000002</c:v>
                      </c:pt>
                      <c:pt idx="27">
                        <c:v>0.45600000000000002</c:v>
                      </c:pt>
                      <c:pt idx="28">
                        <c:v>0.45600000000000002</c:v>
                      </c:pt>
                      <c:pt idx="29">
                        <c:v>0.45600000000000002</c:v>
                      </c:pt>
                      <c:pt idx="30">
                        <c:v>0.45600000000000002</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pt idx="15">
                  <c:v>0.625</c:v>
                </c:pt>
                <c:pt idx="16">
                  <c:v>0.43478260869565216</c:v>
                </c:pt>
                <c:pt idx="17">
                  <c:v>0.5</c:v>
                </c:pt>
                <c:pt idx="18">
                  <c:v>0.47826086956521746</c:v>
                </c:pt>
                <c:pt idx="19">
                  <c:v>0.45833333333333326</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pt idx="15">
                  <c:v>0</c:v>
                </c:pt>
                <c:pt idx="16">
                  <c:v>0</c:v>
                </c:pt>
                <c:pt idx="17">
                  <c:v>4.1666666666666664E-2</c:v>
                </c:pt>
                <c:pt idx="18">
                  <c:v>0</c:v>
                </c:pt>
                <c:pt idx="19">
                  <c:v>0</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pt idx="15">
                  <c:v>0.25</c:v>
                </c:pt>
                <c:pt idx="16">
                  <c:v>0.34782608695652173</c:v>
                </c:pt>
                <c:pt idx="17">
                  <c:v>0.375</c:v>
                </c:pt>
                <c:pt idx="18">
                  <c:v>0.47826086956521746</c:v>
                </c:pt>
                <c:pt idx="19">
                  <c:v>0.5</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63.418999999999997</c:v>
                </c:pt>
                <c:pt idx="1">
                  <c:v>63.418999999999997</c:v>
                </c:pt>
                <c:pt idx="2">
                  <c:v>63.418999999999997</c:v>
                </c:pt>
                <c:pt idx="3">
                  <c:v>63.418999999999997</c:v>
                </c:pt>
                <c:pt idx="4">
                  <c:v>63.418999999999997</c:v>
                </c:pt>
                <c:pt idx="5">
                  <c:v>63.418999999999997</c:v>
                </c:pt>
                <c:pt idx="6">
                  <c:v>63.418999999999997</c:v>
                </c:pt>
                <c:pt idx="7">
                  <c:v>63.418999999999997</c:v>
                </c:pt>
                <c:pt idx="8">
                  <c:v>63.418999999999997</c:v>
                </c:pt>
                <c:pt idx="9">
                  <c:v>63.418999999999997</c:v>
                </c:pt>
                <c:pt idx="10">
                  <c:v>63.418999999999997</c:v>
                </c:pt>
                <c:pt idx="11">
                  <c:v>63.418999999999997</c:v>
                </c:pt>
                <c:pt idx="12">
                  <c:v>63.418999999999997</c:v>
                </c:pt>
                <c:pt idx="13">
                  <c:v>63.418999999999997</c:v>
                </c:pt>
                <c:pt idx="14">
                  <c:v>63.418999999999997</c:v>
                </c:pt>
                <c:pt idx="15">
                  <c:v>63.418999999999997</c:v>
                </c:pt>
                <c:pt idx="16">
                  <c:v>63.418999999999997</c:v>
                </c:pt>
                <c:pt idx="17">
                  <c:v>63.418999999999997</c:v>
                </c:pt>
                <c:pt idx="18">
                  <c:v>63.418999999999997</c:v>
                </c:pt>
                <c:pt idx="19">
                  <c:v>63.418999999999997</c:v>
                </c:pt>
                <c:pt idx="20">
                  <c:v>63.418999999999997</c:v>
                </c:pt>
                <c:pt idx="21">
                  <c:v>63.418999999999997</c:v>
                </c:pt>
                <c:pt idx="22">
                  <c:v>63.418999999999997</c:v>
                </c:pt>
                <c:pt idx="23">
                  <c:v>63.418999999999997</c:v>
                </c:pt>
                <c:pt idx="24">
                  <c:v>63.418999999999997</c:v>
                </c:pt>
                <c:pt idx="25">
                  <c:v>63.418999999999997</c:v>
                </c:pt>
                <c:pt idx="26">
                  <c:v>63.418999999999997</c:v>
                </c:pt>
                <c:pt idx="27">
                  <c:v>63.418999999999997</c:v>
                </c:pt>
                <c:pt idx="28">
                  <c:v>63.418999999999997</c:v>
                </c:pt>
                <c:pt idx="29">
                  <c:v>63.418999999999997</c:v>
                </c:pt>
                <c:pt idx="30">
                  <c:v>63.418999999999997</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pt idx="15">
                  <c:v>48.837083333333332</c:v>
                </c:pt>
                <c:pt idx="16">
                  <c:v>51.250416666666666</c:v>
                </c:pt>
                <c:pt idx="17">
                  <c:v>51.98749999999999</c:v>
                </c:pt>
                <c:pt idx="18">
                  <c:v>48.707916666666669</c:v>
                </c:pt>
                <c:pt idx="19">
                  <c:v>44.662916666666661</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0.04</c:v>
                      </c:pt>
                      <c:pt idx="1">
                        <c:v>3.6999999999999998E-2</c:v>
                      </c:pt>
                      <c:pt idx="2">
                        <c:v>3.5000000000000003E-2</c:v>
                      </c:pt>
                      <c:pt idx="3">
                        <c:v>3.4000000000000002E-2</c:v>
                      </c:pt>
                      <c:pt idx="4">
                        <c:v>3.5999999999999997E-2</c:v>
                      </c:pt>
                      <c:pt idx="5">
                        <c:v>3.9E-2</c:v>
                      </c:pt>
                      <c:pt idx="6">
                        <c:v>4.2000000000000003E-2</c:v>
                      </c:pt>
                      <c:pt idx="7">
                        <c:v>4.4999999999999998E-2</c:v>
                      </c:pt>
                      <c:pt idx="8">
                        <c:v>4.9000000000000002E-2</c:v>
                      </c:pt>
                      <c:pt idx="9">
                        <c:v>5.2999999999999999E-2</c:v>
                      </c:pt>
                      <c:pt idx="10">
                        <c:v>4.2000000000000003E-2</c:v>
                      </c:pt>
                      <c:pt idx="11">
                        <c:v>3.2000000000000001E-2</c:v>
                      </c:pt>
                      <c:pt idx="12">
                        <c:v>3.5999999999999997E-2</c:v>
                      </c:pt>
                      <c:pt idx="13">
                        <c:v>3.5999999999999997E-2</c:v>
                      </c:pt>
                      <c:pt idx="14">
                        <c:v>1.4E-2</c:v>
                      </c:pt>
                      <c:pt idx="15">
                        <c:v>8.0000000000000002E-3</c:v>
                      </c:pt>
                      <c:pt idx="16">
                        <c:v>0.01</c:v>
                      </c:pt>
                      <c:pt idx="17">
                        <c:v>1.4E-2</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0.41</c:v>
                      </c:pt>
                      <c:pt idx="1">
                        <c:v>0.40100000000000002</c:v>
                      </c:pt>
                      <c:pt idx="2">
                        <c:v>0.39800000000000002</c:v>
                      </c:pt>
                      <c:pt idx="3">
                        <c:v>0.39900000000000002</c:v>
                      </c:pt>
                      <c:pt idx="4">
                        <c:v>0.38800000000000001</c:v>
                      </c:pt>
                      <c:pt idx="5">
                        <c:v>0.38300000000000001</c:v>
                      </c:pt>
                      <c:pt idx="6">
                        <c:v>0.38</c:v>
                      </c:pt>
                      <c:pt idx="7">
                        <c:v>0.378</c:v>
                      </c:pt>
                      <c:pt idx="8">
                        <c:v>0.38800000000000001</c:v>
                      </c:pt>
                      <c:pt idx="9">
                        <c:v>0.39300000000000002</c:v>
                      </c:pt>
                      <c:pt idx="10">
                        <c:v>0.41199999999999998</c:v>
                      </c:pt>
                      <c:pt idx="11">
                        <c:v>0.40699999999999997</c:v>
                      </c:pt>
                      <c:pt idx="12">
                        <c:v>0.4</c:v>
                      </c:pt>
                      <c:pt idx="13">
                        <c:v>0.41599999999999998</c:v>
                      </c:pt>
                      <c:pt idx="14">
                        <c:v>0.40899999999999997</c:v>
                      </c:pt>
                      <c:pt idx="15">
                        <c:v>0.39</c:v>
                      </c:pt>
                      <c:pt idx="16">
                        <c:v>0.42499999999999999</c:v>
                      </c:pt>
                      <c:pt idx="17">
                        <c:v>0.45100000000000001</c:v>
                      </c:pt>
                      <c:pt idx="18">
                        <c:v>0.48899999999999999</c:v>
                      </c:pt>
                      <c:pt idx="19">
                        <c:v>0.5</c:v>
                      </c:pt>
                      <c:pt idx="20">
                        <c:v>0.5</c:v>
                      </c:pt>
                      <c:pt idx="21">
                        <c:v>0.5</c:v>
                      </c:pt>
                      <c:pt idx="22">
                        <c:v>0.5</c:v>
                      </c:pt>
                      <c:pt idx="23">
                        <c:v>0.5</c:v>
                      </c:pt>
                      <c:pt idx="24">
                        <c:v>0.5</c:v>
                      </c:pt>
                      <c:pt idx="25">
                        <c:v>0.5</c:v>
                      </c:pt>
                      <c:pt idx="26">
                        <c:v>0.5</c:v>
                      </c:pt>
                      <c:pt idx="27">
                        <c:v>0.5</c:v>
                      </c:pt>
                      <c:pt idx="28">
                        <c:v>0.5</c:v>
                      </c:pt>
                      <c:pt idx="29">
                        <c:v>0.5</c:v>
                      </c:pt>
                      <c:pt idx="30">
                        <c:v>0.5</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32.772666666666666</c:v>
                      </c:pt>
                      <c:pt idx="16">
                        <c:v>19.145999999999997</c:v>
                      </c:pt>
                      <c:pt idx="17">
                        <c:v>25.685833333333335</c:v>
                      </c:pt>
                      <c:pt idx="18">
                        <c:v>30.633636363636366</c:v>
                      </c:pt>
                      <c:pt idx="19">
                        <c:v>22.784545454545452</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48.28</c:v>
                      </c:pt>
                      <c:pt idx="1">
                        <c:v>48.28</c:v>
                      </c:pt>
                      <c:pt idx="2">
                        <c:v>48.28</c:v>
                      </c:pt>
                      <c:pt idx="3">
                        <c:v>48.28</c:v>
                      </c:pt>
                      <c:pt idx="4">
                        <c:v>48.28</c:v>
                      </c:pt>
                      <c:pt idx="5">
                        <c:v>48.28</c:v>
                      </c:pt>
                      <c:pt idx="6">
                        <c:v>48.28</c:v>
                      </c:pt>
                      <c:pt idx="7">
                        <c:v>48.28</c:v>
                      </c:pt>
                      <c:pt idx="8">
                        <c:v>48.28</c:v>
                      </c:pt>
                      <c:pt idx="9">
                        <c:v>48.28</c:v>
                      </c:pt>
                      <c:pt idx="10">
                        <c:v>48.28</c:v>
                      </c:pt>
                      <c:pt idx="11">
                        <c:v>48.28</c:v>
                      </c:pt>
                      <c:pt idx="12">
                        <c:v>48.28</c:v>
                      </c:pt>
                      <c:pt idx="13">
                        <c:v>48.28</c:v>
                      </c:pt>
                      <c:pt idx="14">
                        <c:v>48.28</c:v>
                      </c:pt>
                      <c:pt idx="15">
                        <c:v>48.28</c:v>
                      </c:pt>
                      <c:pt idx="16">
                        <c:v>48.28</c:v>
                      </c:pt>
                      <c:pt idx="17">
                        <c:v>48.28</c:v>
                      </c:pt>
                      <c:pt idx="18">
                        <c:v>48.28</c:v>
                      </c:pt>
                      <c:pt idx="19">
                        <c:v>48.28</c:v>
                      </c:pt>
                      <c:pt idx="20">
                        <c:v>48.28</c:v>
                      </c:pt>
                      <c:pt idx="21">
                        <c:v>48.28</c:v>
                      </c:pt>
                      <c:pt idx="22">
                        <c:v>48.28</c:v>
                      </c:pt>
                      <c:pt idx="23">
                        <c:v>48.28</c:v>
                      </c:pt>
                      <c:pt idx="24">
                        <c:v>48.28</c:v>
                      </c:pt>
                      <c:pt idx="25">
                        <c:v>48.28</c:v>
                      </c:pt>
                      <c:pt idx="26">
                        <c:v>48.28</c:v>
                      </c:pt>
                      <c:pt idx="27">
                        <c:v>48.28</c:v>
                      </c:pt>
                      <c:pt idx="28">
                        <c:v>48.28</c:v>
                      </c:pt>
                      <c:pt idx="29">
                        <c:v>48.28</c:v>
                      </c:pt>
                      <c:pt idx="30">
                        <c:v>48.28</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109.56</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54.177</c:v>
                      </c:pt>
                      <c:pt idx="1">
                        <c:v>54.177</c:v>
                      </c:pt>
                      <c:pt idx="2">
                        <c:v>54.177</c:v>
                      </c:pt>
                      <c:pt idx="3">
                        <c:v>54.177</c:v>
                      </c:pt>
                      <c:pt idx="4">
                        <c:v>54.177</c:v>
                      </c:pt>
                      <c:pt idx="5">
                        <c:v>54.177</c:v>
                      </c:pt>
                      <c:pt idx="6">
                        <c:v>54.177</c:v>
                      </c:pt>
                      <c:pt idx="7">
                        <c:v>54.177</c:v>
                      </c:pt>
                      <c:pt idx="8">
                        <c:v>54.177</c:v>
                      </c:pt>
                      <c:pt idx="9">
                        <c:v>54.177</c:v>
                      </c:pt>
                      <c:pt idx="10">
                        <c:v>54.177</c:v>
                      </c:pt>
                      <c:pt idx="11">
                        <c:v>54.177</c:v>
                      </c:pt>
                      <c:pt idx="12">
                        <c:v>54.177</c:v>
                      </c:pt>
                      <c:pt idx="13">
                        <c:v>54.177</c:v>
                      </c:pt>
                      <c:pt idx="14">
                        <c:v>54.177</c:v>
                      </c:pt>
                      <c:pt idx="15">
                        <c:v>54.177</c:v>
                      </c:pt>
                      <c:pt idx="16">
                        <c:v>54.177</c:v>
                      </c:pt>
                      <c:pt idx="17">
                        <c:v>54.177</c:v>
                      </c:pt>
                      <c:pt idx="18">
                        <c:v>54.177</c:v>
                      </c:pt>
                      <c:pt idx="19">
                        <c:v>54.177</c:v>
                      </c:pt>
                      <c:pt idx="20">
                        <c:v>54.177</c:v>
                      </c:pt>
                      <c:pt idx="21">
                        <c:v>54.177</c:v>
                      </c:pt>
                      <c:pt idx="22">
                        <c:v>54.177</c:v>
                      </c:pt>
                      <c:pt idx="23">
                        <c:v>54.177</c:v>
                      </c:pt>
                      <c:pt idx="24">
                        <c:v>54.177</c:v>
                      </c:pt>
                      <c:pt idx="25">
                        <c:v>54.177</c:v>
                      </c:pt>
                      <c:pt idx="26">
                        <c:v>54.177</c:v>
                      </c:pt>
                      <c:pt idx="27">
                        <c:v>54.177</c:v>
                      </c:pt>
                      <c:pt idx="28">
                        <c:v>54.177</c:v>
                      </c:pt>
                      <c:pt idx="29">
                        <c:v>54.177</c:v>
                      </c:pt>
                      <c:pt idx="30">
                        <c:v>54.177</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70.668333333333322</c:v>
                      </c:pt>
                      <c:pt idx="16">
                        <c:v>76.097499999999997</c:v>
                      </c:pt>
                      <c:pt idx="17">
                        <c:v>75.545555555555552</c:v>
                      </c:pt>
                      <c:pt idx="18">
                        <c:v>63.365454545454547</c:v>
                      </c:pt>
                      <c:pt idx="19">
                        <c:v>64.69</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75.311000000000007</c:v>
                      </c:pt>
                      <c:pt idx="1">
                        <c:v>75.311000000000007</c:v>
                      </c:pt>
                      <c:pt idx="2">
                        <c:v>75.311000000000007</c:v>
                      </c:pt>
                      <c:pt idx="3">
                        <c:v>75.311000000000007</c:v>
                      </c:pt>
                      <c:pt idx="4">
                        <c:v>75.311000000000007</c:v>
                      </c:pt>
                      <c:pt idx="5">
                        <c:v>75.311000000000007</c:v>
                      </c:pt>
                      <c:pt idx="6">
                        <c:v>75.311000000000007</c:v>
                      </c:pt>
                      <c:pt idx="7">
                        <c:v>75.311000000000007</c:v>
                      </c:pt>
                      <c:pt idx="8">
                        <c:v>75.311000000000007</c:v>
                      </c:pt>
                      <c:pt idx="9">
                        <c:v>75.311000000000007</c:v>
                      </c:pt>
                      <c:pt idx="10">
                        <c:v>75.311000000000007</c:v>
                      </c:pt>
                      <c:pt idx="11">
                        <c:v>75.311000000000007</c:v>
                      </c:pt>
                      <c:pt idx="12">
                        <c:v>75.311000000000007</c:v>
                      </c:pt>
                      <c:pt idx="13">
                        <c:v>75.311000000000007</c:v>
                      </c:pt>
                      <c:pt idx="14">
                        <c:v>75.311000000000007</c:v>
                      </c:pt>
                      <c:pt idx="15">
                        <c:v>75.311000000000007</c:v>
                      </c:pt>
                      <c:pt idx="16">
                        <c:v>75.311000000000007</c:v>
                      </c:pt>
                      <c:pt idx="17">
                        <c:v>75.311000000000007</c:v>
                      </c:pt>
                      <c:pt idx="18">
                        <c:v>75.311000000000007</c:v>
                      </c:pt>
                      <c:pt idx="19">
                        <c:v>75.311000000000007</c:v>
                      </c:pt>
                      <c:pt idx="20">
                        <c:v>75.311000000000007</c:v>
                      </c:pt>
                      <c:pt idx="21">
                        <c:v>75.311000000000007</c:v>
                      </c:pt>
                      <c:pt idx="22">
                        <c:v>75.311000000000007</c:v>
                      </c:pt>
                      <c:pt idx="23">
                        <c:v>75.311000000000007</c:v>
                      </c:pt>
                      <c:pt idx="24">
                        <c:v>75.311000000000007</c:v>
                      </c:pt>
                      <c:pt idx="25">
                        <c:v>75.311000000000007</c:v>
                      </c:pt>
                      <c:pt idx="26">
                        <c:v>75.311000000000007</c:v>
                      </c:pt>
                      <c:pt idx="27">
                        <c:v>75.311000000000007</c:v>
                      </c:pt>
                      <c:pt idx="28">
                        <c:v>75.311000000000007</c:v>
                      </c:pt>
                      <c:pt idx="29">
                        <c:v>75.311000000000007</c:v>
                      </c:pt>
                      <c:pt idx="30">
                        <c:v>75.311000000000007</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pt idx="20">
                        <c:v>546.79999999999995</c:v>
                      </c:pt>
                      <c:pt idx="21">
                        <c:v>546.79999999999995</c:v>
                      </c:pt>
                      <c:pt idx="22">
                        <c:v>546.79999999999995</c:v>
                      </c:pt>
                      <c:pt idx="23">
                        <c:v>546.79999999999995</c:v>
                      </c:pt>
                      <c:pt idx="24">
                        <c:v>546.79999999999995</c:v>
                      </c:pt>
                      <c:pt idx="25">
                        <c:v>546.79999999999995</c:v>
                      </c:pt>
                      <c:pt idx="26">
                        <c:v>546.79999999999995</c:v>
                      </c:pt>
                      <c:pt idx="27">
                        <c:v>546.79999999999995</c:v>
                      </c:pt>
                      <c:pt idx="28">
                        <c:v>546.79999999999995</c:v>
                      </c:pt>
                      <c:pt idx="29">
                        <c:v>546.79999999999995</c:v>
                      </c:pt>
                      <c:pt idx="30">
                        <c:v>546.79999999999995</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0.96202767158608593</c:v>
                </c:pt>
              </c:numCache>
            </c:numRef>
          </c:xVal>
          <c:yVal>
            <c:numRef>
              <c:f>[1]omie_dinamic_dia!$Y$11:$Y$12</c:f>
              <c:numCache>
                <c:formatCode>General</c:formatCode>
                <c:ptCount val="2"/>
                <c:pt idx="0">
                  <c:v>0</c:v>
                </c:pt>
                <c:pt idx="1">
                  <c:v>0.27295193551732505</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-0.96858316112863108</c:v>
                </c:pt>
              </c:numCache>
            </c:numRef>
          </c:xVal>
          <c:yVal>
            <c:numRef>
              <c:f>[1]omie_dinamic_dia!$AC$20:$AC$21</c:f>
              <c:numCache>
                <c:formatCode>General</c:formatCode>
                <c:ptCount val="2"/>
                <c:pt idx="0">
                  <c:v>0</c:v>
                </c:pt>
                <c:pt idx="1">
                  <c:v>0.24868988716485479</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0.84432792550201485</c:v>
                </c:pt>
              </c:numCache>
            </c:numRef>
          </c:xVal>
          <c:yVal>
            <c:numRef>
              <c:f>[1]omie_dinamic_dia!$Y$37:$Y$38</c:f>
              <c:numCache>
                <c:formatCode>General</c:formatCode>
                <c:ptCount val="2"/>
                <c:pt idx="0">
                  <c:v>0</c:v>
                </c:pt>
                <c:pt idx="1">
                  <c:v>0.53582679497899699</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39.51</c:v>
                </c:pt>
                <c:pt idx="1">
                  <c:v>39.51</c:v>
                </c:pt>
                <c:pt idx="2">
                  <c:v>39.51</c:v>
                </c:pt>
                <c:pt idx="3">
                  <c:v>39.51</c:v>
                </c:pt>
                <c:pt idx="4">
                  <c:v>39.51</c:v>
                </c:pt>
                <c:pt idx="5">
                  <c:v>39.51</c:v>
                </c:pt>
                <c:pt idx="6">
                  <c:v>39.51</c:v>
                </c:pt>
                <c:pt idx="7">
                  <c:v>39.51</c:v>
                </c:pt>
                <c:pt idx="8">
                  <c:v>39.51</c:v>
                </c:pt>
                <c:pt idx="9">
                  <c:v>39.51</c:v>
                </c:pt>
                <c:pt idx="10">
                  <c:v>39.51</c:v>
                </c:pt>
                <c:pt idx="11">
                  <c:v>39.51</c:v>
                </c:pt>
                <c:pt idx="12">
                  <c:v>39.51</c:v>
                </c:pt>
                <c:pt idx="13">
                  <c:v>39.51</c:v>
                </c:pt>
                <c:pt idx="14">
                  <c:v>39.51</c:v>
                </c:pt>
                <c:pt idx="15">
                  <c:v>39.51</c:v>
                </c:pt>
                <c:pt idx="16">
                  <c:v>39.51</c:v>
                </c:pt>
                <c:pt idx="17">
                  <c:v>39.51</c:v>
                </c:pt>
                <c:pt idx="18">
                  <c:v>39.51</c:v>
                </c:pt>
                <c:pt idx="19">
                  <c:v>39.51</c:v>
                </c:pt>
                <c:pt idx="20">
                  <c:v>39.51</c:v>
                </c:pt>
                <c:pt idx="21">
                  <c:v>39.51</c:v>
                </c:pt>
                <c:pt idx="22">
                  <c:v>39.51</c:v>
                </c:pt>
                <c:pt idx="23">
                  <c:v>39.51</c:v>
                </c:pt>
                <c:pt idx="24">
                  <c:v>39.51</c:v>
                </c:pt>
                <c:pt idx="25">
                  <c:v>39.51</c:v>
                </c:pt>
                <c:pt idx="26">
                  <c:v>39.51</c:v>
                </c:pt>
                <c:pt idx="27">
                  <c:v>39.51</c:v>
                </c:pt>
                <c:pt idx="28">
                  <c:v>39.51</c:v>
                </c:pt>
                <c:pt idx="29">
                  <c:v>39.51</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62.64</c:v>
                </c:pt>
                <c:pt idx="1">
                  <c:v>62.64</c:v>
                </c:pt>
                <c:pt idx="2">
                  <c:v>62.64</c:v>
                </c:pt>
                <c:pt idx="3">
                  <c:v>62.64</c:v>
                </c:pt>
                <c:pt idx="4">
                  <c:v>62.64</c:v>
                </c:pt>
                <c:pt idx="5">
                  <c:v>62.64</c:v>
                </c:pt>
                <c:pt idx="6">
                  <c:v>62.64</c:v>
                </c:pt>
                <c:pt idx="7">
                  <c:v>62.64</c:v>
                </c:pt>
                <c:pt idx="8">
                  <c:v>62.64</c:v>
                </c:pt>
                <c:pt idx="9">
                  <c:v>62.64</c:v>
                </c:pt>
                <c:pt idx="10">
                  <c:v>62.64</c:v>
                </c:pt>
                <c:pt idx="11">
                  <c:v>62.64</c:v>
                </c:pt>
                <c:pt idx="12">
                  <c:v>62.64</c:v>
                </c:pt>
                <c:pt idx="13">
                  <c:v>62.64</c:v>
                </c:pt>
                <c:pt idx="14">
                  <c:v>62.64</c:v>
                </c:pt>
                <c:pt idx="15">
                  <c:v>62.64</c:v>
                </c:pt>
                <c:pt idx="16">
                  <c:v>62.64</c:v>
                </c:pt>
                <c:pt idx="17">
                  <c:v>62.64</c:v>
                </c:pt>
                <c:pt idx="18">
                  <c:v>62.64</c:v>
                </c:pt>
                <c:pt idx="19">
                  <c:v>62.64</c:v>
                </c:pt>
                <c:pt idx="20">
                  <c:v>62.64</c:v>
                </c:pt>
                <c:pt idx="21">
                  <c:v>62.64</c:v>
                </c:pt>
                <c:pt idx="22">
                  <c:v>62.64</c:v>
                </c:pt>
                <c:pt idx="23">
                  <c:v>62.64</c:v>
                </c:pt>
                <c:pt idx="24">
                  <c:v>62.64</c:v>
                </c:pt>
                <c:pt idx="25">
                  <c:v>62.64</c:v>
                </c:pt>
                <c:pt idx="26">
                  <c:v>62.64</c:v>
                </c:pt>
                <c:pt idx="27">
                  <c:v>62.64</c:v>
                </c:pt>
                <c:pt idx="28">
                  <c:v>62.64</c:v>
                </c:pt>
                <c:pt idx="29">
                  <c:v>62.64</c:v>
                </c:pt>
                <c:pt idx="30">
                  <c:v>62.64</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6326123890240614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0.45600000000000002</c:v>
                      </c:pt>
                      <c:pt idx="1">
                        <c:v>0.45600000000000002</c:v>
                      </c:pt>
                      <c:pt idx="2">
                        <c:v>0.45600000000000002</c:v>
                      </c:pt>
                      <c:pt idx="3">
                        <c:v>0.45600000000000002</c:v>
                      </c:pt>
                      <c:pt idx="4">
                        <c:v>0.45600000000000002</c:v>
                      </c:pt>
                      <c:pt idx="5">
                        <c:v>0.45600000000000002</c:v>
                      </c:pt>
                      <c:pt idx="6">
                        <c:v>0.45600000000000002</c:v>
                      </c:pt>
                      <c:pt idx="7">
                        <c:v>0.45600000000000002</c:v>
                      </c:pt>
                      <c:pt idx="8">
                        <c:v>0.45600000000000002</c:v>
                      </c:pt>
                      <c:pt idx="9">
                        <c:v>0.45600000000000002</c:v>
                      </c:pt>
                      <c:pt idx="10">
                        <c:v>0.45600000000000002</c:v>
                      </c:pt>
                      <c:pt idx="11">
                        <c:v>0.45600000000000002</c:v>
                      </c:pt>
                      <c:pt idx="12">
                        <c:v>0.45600000000000002</c:v>
                      </c:pt>
                      <c:pt idx="13">
                        <c:v>0.45600000000000002</c:v>
                      </c:pt>
                      <c:pt idx="14">
                        <c:v>0.45600000000000002</c:v>
                      </c:pt>
                      <c:pt idx="15">
                        <c:v>0.45600000000000002</c:v>
                      </c:pt>
                      <c:pt idx="16">
                        <c:v>0.45600000000000002</c:v>
                      </c:pt>
                      <c:pt idx="17">
                        <c:v>0.45600000000000002</c:v>
                      </c:pt>
                      <c:pt idx="18">
                        <c:v>0.45600000000000002</c:v>
                      </c:pt>
                      <c:pt idx="19">
                        <c:v>0.45600000000000002</c:v>
                      </c:pt>
                      <c:pt idx="20">
                        <c:v>0.45600000000000002</c:v>
                      </c:pt>
                      <c:pt idx="21">
                        <c:v>0.45600000000000002</c:v>
                      </c:pt>
                      <c:pt idx="22">
                        <c:v>0.45600000000000002</c:v>
                      </c:pt>
                      <c:pt idx="23">
                        <c:v>0.45600000000000002</c:v>
                      </c:pt>
                      <c:pt idx="24">
                        <c:v>0.45600000000000002</c:v>
                      </c:pt>
                      <c:pt idx="25">
                        <c:v>0.45600000000000002</c:v>
                      </c:pt>
                      <c:pt idx="26">
                        <c:v>0.45600000000000002</c:v>
                      </c:pt>
                      <c:pt idx="27">
                        <c:v>0.45600000000000002</c:v>
                      </c:pt>
                      <c:pt idx="28">
                        <c:v>0.45600000000000002</c:v>
                      </c:pt>
                      <c:pt idx="29">
                        <c:v>0.45600000000000002</c:v>
                      </c:pt>
                      <c:pt idx="30">
                        <c:v>0.45600000000000002</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pt idx="15">
                  <c:v>0.625</c:v>
                </c:pt>
                <c:pt idx="16">
                  <c:v>0.43478260869565216</c:v>
                </c:pt>
                <c:pt idx="17">
                  <c:v>0.5</c:v>
                </c:pt>
                <c:pt idx="18">
                  <c:v>0.47826086956521746</c:v>
                </c:pt>
                <c:pt idx="19">
                  <c:v>0.45833333333333326</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pt idx="15">
                  <c:v>0</c:v>
                </c:pt>
                <c:pt idx="16">
                  <c:v>0</c:v>
                </c:pt>
                <c:pt idx="17">
                  <c:v>4.1666666666666664E-2</c:v>
                </c:pt>
                <c:pt idx="18">
                  <c:v>0</c:v>
                </c:pt>
                <c:pt idx="19">
                  <c:v>0</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pt idx="15">
                  <c:v>0.25</c:v>
                </c:pt>
                <c:pt idx="16">
                  <c:v>0.34782608695652173</c:v>
                </c:pt>
                <c:pt idx="17">
                  <c:v>0.375</c:v>
                </c:pt>
                <c:pt idx="18">
                  <c:v>0.47826086956521746</c:v>
                </c:pt>
                <c:pt idx="19">
                  <c:v>0.5</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63.418999999999997</c:v>
                </c:pt>
                <c:pt idx="1">
                  <c:v>63.418999999999997</c:v>
                </c:pt>
                <c:pt idx="2">
                  <c:v>63.418999999999997</c:v>
                </c:pt>
                <c:pt idx="3">
                  <c:v>63.418999999999997</c:v>
                </c:pt>
                <c:pt idx="4">
                  <c:v>63.418999999999997</c:v>
                </c:pt>
                <c:pt idx="5">
                  <c:v>63.418999999999997</c:v>
                </c:pt>
                <c:pt idx="6">
                  <c:v>63.418999999999997</c:v>
                </c:pt>
                <c:pt idx="7">
                  <c:v>63.418999999999997</c:v>
                </c:pt>
                <c:pt idx="8">
                  <c:v>63.418999999999997</c:v>
                </c:pt>
                <c:pt idx="9">
                  <c:v>63.418999999999997</c:v>
                </c:pt>
                <c:pt idx="10">
                  <c:v>63.418999999999997</c:v>
                </c:pt>
                <c:pt idx="11">
                  <c:v>63.418999999999997</c:v>
                </c:pt>
                <c:pt idx="12">
                  <c:v>63.418999999999997</c:v>
                </c:pt>
                <c:pt idx="13">
                  <c:v>63.418999999999997</c:v>
                </c:pt>
                <c:pt idx="14">
                  <c:v>63.418999999999997</c:v>
                </c:pt>
                <c:pt idx="15">
                  <c:v>63.418999999999997</c:v>
                </c:pt>
                <c:pt idx="16">
                  <c:v>63.418999999999997</c:v>
                </c:pt>
                <c:pt idx="17">
                  <c:v>63.418999999999997</c:v>
                </c:pt>
                <c:pt idx="18">
                  <c:v>63.418999999999997</c:v>
                </c:pt>
                <c:pt idx="19">
                  <c:v>63.418999999999997</c:v>
                </c:pt>
                <c:pt idx="20">
                  <c:v>63.418999999999997</c:v>
                </c:pt>
                <c:pt idx="21">
                  <c:v>63.418999999999997</c:v>
                </c:pt>
                <c:pt idx="22">
                  <c:v>63.418999999999997</c:v>
                </c:pt>
                <c:pt idx="23">
                  <c:v>63.418999999999997</c:v>
                </c:pt>
                <c:pt idx="24">
                  <c:v>63.418999999999997</c:v>
                </c:pt>
                <c:pt idx="25">
                  <c:v>63.418999999999997</c:v>
                </c:pt>
                <c:pt idx="26">
                  <c:v>63.418999999999997</c:v>
                </c:pt>
                <c:pt idx="27">
                  <c:v>63.418999999999997</c:v>
                </c:pt>
                <c:pt idx="28">
                  <c:v>63.418999999999997</c:v>
                </c:pt>
                <c:pt idx="29">
                  <c:v>63.418999999999997</c:v>
                </c:pt>
                <c:pt idx="30">
                  <c:v>63.418999999999997</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pt idx="15">
                  <c:v>48.837083333333332</c:v>
                </c:pt>
                <c:pt idx="16">
                  <c:v>51.250416666666666</c:v>
                </c:pt>
                <c:pt idx="17">
                  <c:v>51.98749999999999</c:v>
                </c:pt>
                <c:pt idx="18">
                  <c:v>48.707916666666669</c:v>
                </c:pt>
                <c:pt idx="19">
                  <c:v>44.662916666666661</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0.04</c:v>
                      </c:pt>
                      <c:pt idx="1">
                        <c:v>3.6999999999999998E-2</c:v>
                      </c:pt>
                      <c:pt idx="2">
                        <c:v>3.5000000000000003E-2</c:v>
                      </c:pt>
                      <c:pt idx="3">
                        <c:v>3.4000000000000002E-2</c:v>
                      </c:pt>
                      <c:pt idx="4">
                        <c:v>3.5999999999999997E-2</c:v>
                      </c:pt>
                      <c:pt idx="5">
                        <c:v>3.9E-2</c:v>
                      </c:pt>
                      <c:pt idx="6">
                        <c:v>4.2000000000000003E-2</c:v>
                      </c:pt>
                      <c:pt idx="7">
                        <c:v>4.4999999999999998E-2</c:v>
                      </c:pt>
                      <c:pt idx="8">
                        <c:v>4.9000000000000002E-2</c:v>
                      </c:pt>
                      <c:pt idx="9">
                        <c:v>5.2999999999999999E-2</c:v>
                      </c:pt>
                      <c:pt idx="10">
                        <c:v>4.2000000000000003E-2</c:v>
                      </c:pt>
                      <c:pt idx="11">
                        <c:v>3.2000000000000001E-2</c:v>
                      </c:pt>
                      <c:pt idx="12">
                        <c:v>3.5999999999999997E-2</c:v>
                      </c:pt>
                      <c:pt idx="13">
                        <c:v>3.5999999999999997E-2</c:v>
                      </c:pt>
                      <c:pt idx="14">
                        <c:v>1.4E-2</c:v>
                      </c:pt>
                      <c:pt idx="15">
                        <c:v>8.0000000000000002E-3</c:v>
                      </c:pt>
                      <c:pt idx="16">
                        <c:v>0.01</c:v>
                      </c:pt>
                      <c:pt idx="17">
                        <c:v>1.4E-2</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0.41</c:v>
                      </c:pt>
                      <c:pt idx="1">
                        <c:v>0.40100000000000002</c:v>
                      </c:pt>
                      <c:pt idx="2">
                        <c:v>0.39800000000000002</c:v>
                      </c:pt>
                      <c:pt idx="3">
                        <c:v>0.39900000000000002</c:v>
                      </c:pt>
                      <c:pt idx="4">
                        <c:v>0.38800000000000001</c:v>
                      </c:pt>
                      <c:pt idx="5">
                        <c:v>0.38300000000000001</c:v>
                      </c:pt>
                      <c:pt idx="6">
                        <c:v>0.38</c:v>
                      </c:pt>
                      <c:pt idx="7">
                        <c:v>0.378</c:v>
                      </c:pt>
                      <c:pt idx="8">
                        <c:v>0.38800000000000001</c:v>
                      </c:pt>
                      <c:pt idx="9">
                        <c:v>0.39300000000000002</c:v>
                      </c:pt>
                      <c:pt idx="10">
                        <c:v>0.41199999999999998</c:v>
                      </c:pt>
                      <c:pt idx="11">
                        <c:v>0.40699999999999997</c:v>
                      </c:pt>
                      <c:pt idx="12">
                        <c:v>0.4</c:v>
                      </c:pt>
                      <c:pt idx="13">
                        <c:v>0.41599999999999998</c:v>
                      </c:pt>
                      <c:pt idx="14">
                        <c:v>0.40899999999999997</c:v>
                      </c:pt>
                      <c:pt idx="15">
                        <c:v>0.39</c:v>
                      </c:pt>
                      <c:pt idx="16">
                        <c:v>0.42499999999999999</c:v>
                      </c:pt>
                      <c:pt idx="17">
                        <c:v>0.45100000000000001</c:v>
                      </c:pt>
                      <c:pt idx="18">
                        <c:v>0.48899999999999999</c:v>
                      </c:pt>
                      <c:pt idx="19">
                        <c:v>0.5</c:v>
                      </c:pt>
                      <c:pt idx="20">
                        <c:v>0.5</c:v>
                      </c:pt>
                      <c:pt idx="21">
                        <c:v>0.5</c:v>
                      </c:pt>
                      <c:pt idx="22">
                        <c:v>0.5</c:v>
                      </c:pt>
                      <c:pt idx="23">
                        <c:v>0.5</c:v>
                      </c:pt>
                      <c:pt idx="24">
                        <c:v>0.5</c:v>
                      </c:pt>
                      <c:pt idx="25">
                        <c:v>0.5</c:v>
                      </c:pt>
                      <c:pt idx="26">
                        <c:v>0.5</c:v>
                      </c:pt>
                      <c:pt idx="27">
                        <c:v>0.5</c:v>
                      </c:pt>
                      <c:pt idx="28">
                        <c:v>0.5</c:v>
                      </c:pt>
                      <c:pt idx="29">
                        <c:v>0.5</c:v>
                      </c:pt>
                      <c:pt idx="30">
                        <c:v>0.5</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32.772666666666666</c:v>
                      </c:pt>
                      <c:pt idx="16">
                        <c:v>19.145999999999997</c:v>
                      </c:pt>
                      <c:pt idx="17">
                        <c:v>25.685833333333335</c:v>
                      </c:pt>
                      <c:pt idx="18">
                        <c:v>30.633636363636366</c:v>
                      </c:pt>
                      <c:pt idx="19">
                        <c:v>22.784545454545452</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48.28</c:v>
                      </c:pt>
                      <c:pt idx="1">
                        <c:v>48.28</c:v>
                      </c:pt>
                      <c:pt idx="2">
                        <c:v>48.28</c:v>
                      </c:pt>
                      <c:pt idx="3">
                        <c:v>48.28</c:v>
                      </c:pt>
                      <c:pt idx="4">
                        <c:v>48.28</c:v>
                      </c:pt>
                      <c:pt idx="5">
                        <c:v>48.28</c:v>
                      </c:pt>
                      <c:pt idx="6">
                        <c:v>48.28</c:v>
                      </c:pt>
                      <c:pt idx="7">
                        <c:v>48.28</c:v>
                      </c:pt>
                      <c:pt idx="8">
                        <c:v>48.28</c:v>
                      </c:pt>
                      <c:pt idx="9">
                        <c:v>48.28</c:v>
                      </c:pt>
                      <c:pt idx="10">
                        <c:v>48.28</c:v>
                      </c:pt>
                      <c:pt idx="11">
                        <c:v>48.28</c:v>
                      </c:pt>
                      <c:pt idx="12">
                        <c:v>48.28</c:v>
                      </c:pt>
                      <c:pt idx="13">
                        <c:v>48.28</c:v>
                      </c:pt>
                      <c:pt idx="14">
                        <c:v>48.28</c:v>
                      </c:pt>
                      <c:pt idx="15">
                        <c:v>48.28</c:v>
                      </c:pt>
                      <c:pt idx="16">
                        <c:v>48.28</c:v>
                      </c:pt>
                      <c:pt idx="17">
                        <c:v>48.28</c:v>
                      </c:pt>
                      <c:pt idx="18">
                        <c:v>48.28</c:v>
                      </c:pt>
                      <c:pt idx="19">
                        <c:v>48.28</c:v>
                      </c:pt>
                      <c:pt idx="20">
                        <c:v>48.28</c:v>
                      </c:pt>
                      <c:pt idx="21">
                        <c:v>48.28</c:v>
                      </c:pt>
                      <c:pt idx="22">
                        <c:v>48.28</c:v>
                      </c:pt>
                      <c:pt idx="23">
                        <c:v>48.28</c:v>
                      </c:pt>
                      <c:pt idx="24">
                        <c:v>48.28</c:v>
                      </c:pt>
                      <c:pt idx="25">
                        <c:v>48.28</c:v>
                      </c:pt>
                      <c:pt idx="26">
                        <c:v>48.28</c:v>
                      </c:pt>
                      <c:pt idx="27">
                        <c:v>48.28</c:v>
                      </c:pt>
                      <c:pt idx="28">
                        <c:v>48.28</c:v>
                      </c:pt>
                      <c:pt idx="29">
                        <c:v>48.28</c:v>
                      </c:pt>
                      <c:pt idx="30">
                        <c:v>48.28</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109.56</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54.177</c:v>
                      </c:pt>
                      <c:pt idx="1">
                        <c:v>54.177</c:v>
                      </c:pt>
                      <c:pt idx="2">
                        <c:v>54.177</c:v>
                      </c:pt>
                      <c:pt idx="3">
                        <c:v>54.177</c:v>
                      </c:pt>
                      <c:pt idx="4">
                        <c:v>54.177</c:v>
                      </c:pt>
                      <c:pt idx="5">
                        <c:v>54.177</c:v>
                      </c:pt>
                      <c:pt idx="6">
                        <c:v>54.177</c:v>
                      </c:pt>
                      <c:pt idx="7">
                        <c:v>54.177</c:v>
                      </c:pt>
                      <c:pt idx="8">
                        <c:v>54.177</c:v>
                      </c:pt>
                      <c:pt idx="9">
                        <c:v>54.177</c:v>
                      </c:pt>
                      <c:pt idx="10">
                        <c:v>54.177</c:v>
                      </c:pt>
                      <c:pt idx="11">
                        <c:v>54.177</c:v>
                      </c:pt>
                      <c:pt idx="12">
                        <c:v>54.177</c:v>
                      </c:pt>
                      <c:pt idx="13">
                        <c:v>54.177</c:v>
                      </c:pt>
                      <c:pt idx="14">
                        <c:v>54.177</c:v>
                      </c:pt>
                      <c:pt idx="15">
                        <c:v>54.177</c:v>
                      </c:pt>
                      <c:pt idx="16">
                        <c:v>54.177</c:v>
                      </c:pt>
                      <c:pt idx="17">
                        <c:v>54.177</c:v>
                      </c:pt>
                      <c:pt idx="18">
                        <c:v>54.177</c:v>
                      </c:pt>
                      <c:pt idx="19">
                        <c:v>54.177</c:v>
                      </c:pt>
                      <c:pt idx="20">
                        <c:v>54.177</c:v>
                      </c:pt>
                      <c:pt idx="21">
                        <c:v>54.177</c:v>
                      </c:pt>
                      <c:pt idx="22">
                        <c:v>54.177</c:v>
                      </c:pt>
                      <c:pt idx="23">
                        <c:v>54.177</c:v>
                      </c:pt>
                      <c:pt idx="24">
                        <c:v>54.177</c:v>
                      </c:pt>
                      <c:pt idx="25">
                        <c:v>54.177</c:v>
                      </c:pt>
                      <c:pt idx="26">
                        <c:v>54.177</c:v>
                      </c:pt>
                      <c:pt idx="27">
                        <c:v>54.177</c:v>
                      </c:pt>
                      <c:pt idx="28">
                        <c:v>54.177</c:v>
                      </c:pt>
                      <c:pt idx="29">
                        <c:v>54.177</c:v>
                      </c:pt>
                      <c:pt idx="30">
                        <c:v>54.177</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70.668333333333322</c:v>
                      </c:pt>
                      <c:pt idx="16">
                        <c:v>76.097499999999997</c:v>
                      </c:pt>
                      <c:pt idx="17">
                        <c:v>75.545555555555552</c:v>
                      </c:pt>
                      <c:pt idx="18">
                        <c:v>63.365454545454547</c:v>
                      </c:pt>
                      <c:pt idx="19">
                        <c:v>64.69</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75.311000000000007</c:v>
                      </c:pt>
                      <c:pt idx="1">
                        <c:v>75.311000000000007</c:v>
                      </c:pt>
                      <c:pt idx="2">
                        <c:v>75.311000000000007</c:v>
                      </c:pt>
                      <c:pt idx="3">
                        <c:v>75.311000000000007</c:v>
                      </c:pt>
                      <c:pt idx="4">
                        <c:v>75.311000000000007</c:v>
                      </c:pt>
                      <c:pt idx="5">
                        <c:v>75.311000000000007</c:v>
                      </c:pt>
                      <c:pt idx="6">
                        <c:v>75.311000000000007</c:v>
                      </c:pt>
                      <c:pt idx="7">
                        <c:v>75.311000000000007</c:v>
                      </c:pt>
                      <c:pt idx="8">
                        <c:v>75.311000000000007</c:v>
                      </c:pt>
                      <c:pt idx="9">
                        <c:v>75.311000000000007</c:v>
                      </c:pt>
                      <c:pt idx="10">
                        <c:v>75.311000000000007</c:v>
                      </c:pt>
                      <c:pt idx="11">
                        <c:v>75.311000000000007</c:v>
                      </c:pt>
                      <c:pt idx="12">
                        <c:v>75.311000000000007</c:v>
                      </c:pt>
                      <c:pt idx="13">
                        <c:v>75.311000000000007</c:v>
                      </c:pt>
                      <c:pt idx="14">
                        <c:v>75.311000000000007</c:v>
                      </c:pt>
                      <c:pt idx="15">
                        <c:v>75.311000000000007</c:v>
                      </c:pt>
                      <c:pt idx="16">
                        <c:v>75.311000000000007</c:v>
                      </c:pt>
                      <c:pt idx="17">
                        <c:v>75.311000000000007</c:v>
                      </c:pt>
                      <c:pt idx="18">
                        <c:v>75.311000000000007</c:v>
                      </c:pt>
                      <c:pt idx="19">
                        <c:v>75.311000000000007</c:v>
                      </c:pt>
                      <c:pt idx="20">
                        <c:v>75.311000000000007</c:v>
                      </c:pt>
                      <c:pt idx="21">
                        <c:v>75.311000000000007</c:v>
                      </c:pt>
                      <c:pt idx="22">
                        <c:v>75.311000000000007</c:v>
                      </c:pt>
                      <c:pt idx="23">
                        <c:v>75.311000000000007</c:v>
                      </c:pt>
                      <c:pt idx="24">
                        <c:v>75.311000000000007</c:v>
                      </c:pt>
                      <c:pt idx="25">
                        <c:v>75.311000000000007</c:v>
                      </c:pt>
                      <c:pt idx="26">
                        <c:v>75.311000000000007</c:v>
                      </c:pt>
                      <c:pt idx="27">
                        <c:v>75.311000000000007</c:v>
                      </c:pt>
                      <c:pt idx="28">
                        <c:v>75.311000000000007</c:v>
                      </c:pt>
                      <c:pt idx="29">
                        <c:v>75.311000000000007</c:v>
                      </c:pt>
                      <c:pt idx="30">
                        <c:v>75.311000000000007</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pt idx="20">
                        <c:v>546.79999999999995</c:v>
                      </c:pt>
                      <c:pt idx="21">
                        <c:v>546.79999999999995</c:v>
                      </c:pt>
                      <c:pt idx="22">
                        <c:v>546.79999999999995</c:v>
                      </c:pt>
                      <c:pt idx="23">
                        <c:v>546.79999999999995</c:v>
                      </c:pt>
                      <c:pt idx="24">
                        <c:v>546.79999999999995</c:v>
                      </c:pt>
                      <c:pt idx="25">
                        <c:v>546.79999999999995</c:v>
                      </c:pt>
                      <c:pt idx="26">
                        <c:v>546.79999999999995</c:v>
                      </c:pt>
                      <c:pt idx="27">
                        <c:v>546.79999999999995</c:v>
                      </c:pt>
                      <c:pt idx="28">
                        <c:v>546.79999999999995</c:v>
                      </c:pt>
                      <c:pt idx="29">
                        <c:v>546.79999999999995</c:v>
                      </c:pt>
                      <c:pt idx="30">
                        <c:v>546.79999999999995</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0.96202767158608593</c:v>
                </c:pt>
              </c:numCache>
            </c:numRef>
          </c:xVal>
          <c:yVal>
            <c:numRef>
              <c:f>[1]omie_dinamic_dia!$Y$11:$Y$12</c:f>
              <c:numCache>
                <c:formatCode>General</c:formatCode>
                <c:ptCount val="2"/>
                <c:pt idx="0">
                  <c:v>0</c:v>
                </c:pt>
                <c:pt idx="1">
                  <c:v>0.27295193551732505</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-0.96858316112863108</c:v>
                </c:pt>
              </c:numCache>
            </c:numRef>
          </c:xVal>
          <c:yVal>
            <c:numRef>
              <c:f>[1]omie_dinamic_dia!$AC$20:$AC$21</c:f>
              <c:numCache>
                <c:formatCode>General</c:formatCode>
                <c:ptCount val="2"/>
                <c:pt idx="0">
                  <c:v>0</c:v>
                </c:pt>
                <c:pt idx="1">
                  <c:v>0.24868988716485479</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0.84432792550201485</c:v>
                </c:pt>
              </c:numCache>
            </c:numRef>
          </c:xVal>
          <c:yVal>
            <c:numRef>
              <c:f>[1]omie_dinamic_dia!$Y$37:$Y$38</c:f>
              <c:numCache>
                <c:formatCode>General</c:formatCode>
                <c:ptCount val="2"/>
                <c:pt idx="0">
                  <c:v>0</c:v>
                </c:pt>
                <c:pt idx="1">
                  <c:v>0.53582679497899699</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4434157547888724"/>
          <c:w val="0.81771450323995554"/>
          <c:h val="0.73327569855770214"/>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gauss!$C$3:$C$55</c:f>
              <c:numCache>
                <c:formatCode>General</c:formatCode>
                <c:ptCount val="53"/>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67D9-4088-84C8-C5471B98CFA3}"/>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6-67D9-4088-84C8-C5471B98CFA3}"/>
              </c:ext>
            </c:extLst>
          </c:dPt>
          <c:xVal>
            <c:numRef>
              <c:f>gauss!$L$49:$L$50</c:f>
              <c:numCache>
                <c:formatCode>0.00</c:formatCode>
                <c:ptCount val="2"/>
                <c:pt idx="0">
                  <c:v>63.42</c:v>
                </c:pt>
                <c:pt idx="1">
                  <c:v>63.42</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5-67D9-4088-84C8-C5471B98CFA3}"/>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67D9-4088-84C8-C5471B98CFA3}"/>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3-67D9-4088-84C8-C5471B98CFA3}"/>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numCache>
            </c:numRef>
          </c:val>
          <c:smooth val="0"/>
          <c:extLst>
            <c:ext xmlns:c16="http://schemas.microsoft.com/office/drawing/2014/chart" uri="{C3380CC4-5D6E-409C-BE32-E72D297353CC}">
              <c16:uniqueId val="{00000000-00C7-4C14-ABA5-5D2F9018AC39}"/>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39.51</c:v>
                </c:pt>
                <c:pt idx="1">
                  <c:v>39.51</c:v>
                </c:pt>
                <c:pt idx="2">
                  <c:v>39.51</c:v>
                </c:pt>
                <c:pt idx="3">
                  <c:v>39.51</c:v>
                </c:pt>
                <c:pt idx="4">
                  <c:v>39.51</c:v>
                </c:pt>
                <c:pt idx="5">
                  <c:v>39.51</c:v>
                </c:pt>
                <c:pt idx="6">
                  <c:v>39.51</c:v>
                </c:pt>
                <c:pt idx="7">
                  <c:v>39.51</c:v>
                </c:pt>
                <c:pt idx="8">
                  <c:v>39.51</c:v>
                </c:pt>
                <c:pt idx="9">
                  <c:v>39.51</c:v>
                </c:pt>
                <c:pt idx="10">
                  <c:v>39.51</c:v>
                </c:pt>
                <c:pt idx="11">
                  <c:v>39.51</c:v>
                </c:pt>
                <c:pt idx="12">
                  <c:v>39.51</c:v>
                </c:pt>
                <c:pt idx="13">
                  <c:v>39.51</c:v>
                </c:pt>
                <c:pt idx="14">
                  <c:v>39.51</c:v>
                </c:pt>
                <c:pt idx="15">
                  <c:v>39.51</c:v>
                </c:pt>
                <c:pt idx="16">
                  <c:v>39.51</c:v>
                </c:pt>
                <c:pt idx="17">
                  <c:v>39.51</c:v>
                </c:pt>
                <c:pt idx="18">
                  <c:v>39.51</c:v>
                </c:pt>
                <c:pt idx="19">
                  <c:v>39.51</c:v>
                </c:pt>
                <c:pt idx="20">
                  <c:v>39.51</c:v>
                </c:pt>
                <c:pt idx="21">
                  <c:v>39.51</c:v>
                </c:pt>
                <c:pt idx="22">
                  <c:v>39.51</c:v>
                </c:pt>
                <c:pt idx="23">
                  <c:v>39.51</c:v>
                </c:pt>
                <c:pt idx="24">
                  <c:v>39.51</c:v>
                </c:pt>
                <c:pt idx="25">
                  <c:v>39.51</c:v>
                </c:pt>
                <c:pt idx="26">
                  <c:v>39.51</c:v>
                </c:pt>
                <c:pt idx="27">
                  <c:v>39.51</c:v>
                </c:pt>
                <c:pt idx="28">
                  <c:v>39.51</c:v>
                </c:pt>
                <c:pt idx="29">
                  <c:v>39.51</c:v>
                </c:pt>
              </c:numCache>
            </c:numRef>
          </c:val>
          <c:smooth val="0"/>
          <c:extLst>
            <c:ext xmlns:c16="http://schemas.microsoft.com/office/drawing/2014/chart" uri="{C3380CC4-5D6E-409C-BE32-E72D297353CC}">
              <c16:uniqueId val="{00000001-00C7-4C14-ABA5-5D2F9018AC39}"/>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0C7-4C14-ABA5-5D2F9018AC39}"/>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BDFA-4CD9-B1FC-20681EBCB941}"/>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2-BDFA-4CD9-B1FC-20681EBCB941}"/>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4-BDFA-4CD9-B1FC-20681EBCB941}"/>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6-BDFA-4CD9-B1FC-20681EBCB941}"/>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numCache>
            </c:numRef>
          </c:val>
          <c:smooth val="0"/>
          <c:extLst>
            <c:ext xmlns:c16="http://schemas.microsoft.com/office/drawing/2014/chart" uri="{C3380CC4-5D6E-409C-BE32-E72D297353CC}">
              <c16:uniqueId val="{00000000-3435-4962-B288-E3D94AA56103}"/>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62.64</c:v>
                </c:pt>
                <c:pt idx="1">
                  <c:v>62.64</c:v>
                </c:pt>
                <c:pt idx="2">
                  <c:v>62.64</c:v>
                </c:pt>
                <c:pt idx="3">
                  <c:v>62.64</c:v>
                </c:pt>
                <c:pt idx="4">
                  <c:v>62.64</c:v>
                </c:pt>
                <c:pt idx="5">
                  <c:v>62.64</c:v>
                </c:pt>
                <c:pt idx="6">
                  <c:v>62.64</c:v>
                </c:pt>
                <c:pt idx="7">
                  <c:v>62.64</c:v>
                </c:pt>
                <c:pt idx="8">
                  <c:v>62.64</c:v>
                </c:pt>
                <c:pt idx="9">
                  <c:v>62.64</c:v>
                </c:pt>
                <c:pt idx="10">
                  <c:v>62.64</c:v>
                </c:pt>
                <c:pt idx="11">
                  <c:v>62.64</c:v>
                </c:pt>
                <c:pt idx="12">
                  <c:v>62.64</c:v>
                </c:pt>
                <c:pt idx="13">
                  <c:v>62.64</c:v>
                </c:pt>
                <c:pt idx="14">
                  <c:v>62.64</c:v>
                </c:pt>
                <c:pt idx="15">
                  <c:v>62.64</c:v>
                </c:pt>
                <c:pt idx="16">
                  <c:v>62.64</c:v>
                </c:pt>
                <c:pt idx="17">
                  <c:v>62.64</c:v>
                </c:pt>
                <c:pt idx="18">
                  <c:v>62.64</c:v>
                </c:pt>
                <c:pt idx="19">
                  <c:v>62.64</c:v>
                </c:pt>
                <c:pt idx="20">
                  <c:v>62.64</c:v>
                </c:pt>
                <c:pt idx="21">
                  <c:v>62.64</c:v>
                </c:pt>
                <c:pt idx="22">
                  <c:v>62.64</c:v>
                </c:pt>
                <c:pt idx="23">
                  <c:v>62.64</c:v>
                </c:pt>
                <c:pt idx="24">
                  <c:v>62.64</c:v>
                </c:pt>
                <c:pt idx="25">
                  <c:v>62.64</c:v>
                </c:pt>
                <c:pt idx="26">
                  <c:v>62.64</c:v>
                </c:pt>
                <c:pt idx="27">
                  <c:v>62.64</c:v>
                </c:pt>
                <c:pt idx="28">
                  <c:v>62.64</c:v>
                </c:pt>
                <c:pt idx="29">
                  <c:v>62.64</c:v>
                </c:pt>
                <c:pt idx="30">
                  <c:v>62.64</c:v>
                </c:pt>
              </c:numCache>
            </c:numRef>
          </c:val>
          <c:smooth val="0"/>
          <c:extLst>
            <c:ext xmlns:c16="http://schemas.microsoft.com/office/drawing/2014/chart" uri="{C3380CC4-5D6E-409C-BE32-E72D297353CC}">
              <c16:uniqueId val="{00000001-3435-4962-B288-E3D94AA56103}"/>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35-4962-B288-E3D94AA56103}"/>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70824765487362906"/>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0.45600000000000002</c:v>
                      </c:pt>
                      <c:pt idx="1">
                        <c:v>0.45600000000000002</c:v>
                      </c:pt>
                      <c:pt idx="2">
                        <c:v>0.45600000000000002</c:v>
                      </c:pt>
                      <c:pt idx="3">
                        <c:v>0.45600000000000002</c:v>
                      </c:pt>
                      <c:pt idx="4">
                        <c:v>0.45600000000000002</c:v>
                      </c:pt>
                      <c:pt idx="5">
                        <c:v>0.45600000000000002</c:v>
                      </c:pt>
                      <c:pt idx="6">
                        <c:v>0.45600000000000002</c:v>
                      </c:pt>
                      <c:pt idx="7">
                        <c:v>0.45600000000000002</c:v>
                      </c:pt>
                      <c:pt idx="8">
                        <c:v>0.45600000000000002</c:v>
                      </c:pt>
                      <c:pt idx="9">
                        <c:v>0.45600000000000002</c:v>
                      </c:pt>
                      <c:pt idx="10">
                        <c:v>0.45600000000000002</c:v>
                      </c:pt>
                      <c:pt idx="11">
                        <c:v>0.45600000000000002</c:v>
                      </c:pt>
                      <c:pt idx="12">
                        <c:v>0.45600000000000002</c:v>
                      </c:pt>
                      <c:pt idx="13">
                        <c:v>0.45600000000000002</c:v>
                      </c:pt>
                      <c:pt idx="14">
                        <c:v>0.45600000000000002</c:v>
                      </c:pt>
                      <c:pt idx="15">
                        <c:v>0.45600000000000002</c:v>
                      </c:pt>
                      <c:pt idx="16">
                        <c:v>0.45600000000000002</c:v>
                      </c:pt>
                      <c:pt idx="17">
                        <c:v>0.45600000000000002</c:v>
                      </c:pt>
                      <c:pt idx="18">
                        <c:v>0.45600000000000002</c:v>
                      </c:pt>
                      <c:pt idx="19">
                        <c:v>0.45600000000000002</c:v>
                      </c:pt>
                      <c:pt idx="20">
                        <c:v>0.45600000000000002</c:v>
                      </c:pt>
                      <c:pt idx="21">
                        <c:v>0.45600000000000002</c:v>
                      </c:pt>
                      <c:pt idx="22">
                        <c:v>0.45600000000000002</c:v>
                      </c:pt>
                      <c:pt idx="23">
                        <c:v>0.45600000000000002</c:v>
                      </c:pt>
                      <c:pt idx="24">
                        <c:v>0.45600000000000002</c:v>
                      </c:pt>
                      <c:pt idx="25">
                        <c:v>0.45600000000000002</c:v>
                      </c:pt>
                      <c:pt idx="26">
                        <c:v>0.45600000000000002</c:v>
                      </c:pt>
                      <c:pt idx="27">
                        <c:v>0.45600000000000002</c:v>
                      </c:pt>
                      <c:pt idx="28">
                        <c:v>0.45600000000000002</c:v>
                      </c:pt>
                      <c:pt idx="29">
                        <c:v>0.45600000000000002</c:v>
                      </c:pt>
                      <c:pt idx="30">
                        <c:v>0.45600000000000002</c:v>
                      </c:pt>
                    </c:numCache>
                  </c:numRef>
                </c:val>
                <c:extLst>
                  <c:ext xmlns:c16="http://schemas.microsoft.com/office/drawing/2014/chart" uri="{C3380CC4-5D6E-409C-BE32-E72D297353CC}">
                    <c16:uniqueId val="{00000006-FCE7-49B1-9829-B87DA0BCDF4E}"/>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pt idx="15">
                  <c:v>0.625</c:v>
                </c:pt>
                <c:pt idx="16">
                  <c:v>0.43478260869565216</c:v>
                </c:pt>
                <c:pt idx="17">
                  <c:v>0.5</c:v>
                </c:pt>
                <c:pt idx="18">
                  <c:v>0.47826086956521746</c:v>
                </c:pt>
                <c:pt idx="19">
                  <c:v>0.45833333333333326</c:v>
                </c:pt>
              </c:numCache>
            </c:numRef>
          </c:val>
          <c:extLst>
            <c:ext xmlns:c16="http://schemas.microsoft.com/office/drawing/2014/chart" uri="{C3380CC4-5D6E-409C-BE32-E72D297353CC}">
              <c16:uniqueId val="{00000000-FCE7-49B1-9829-B87DA0BCDF4E}"/>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pt idx="15">
                  <c:v>0</c:v>
                </c:pt>
                <c:pt idx="16">
                  <c:v>0</c:v>
                </c:pt>
                <c:pt idx="17">
                  <c:v>4.1666666666666664E-2</c:v>
                </c:pt>
                <c:pt idx="18">
                  <c:v>0</c:v>
                </c:pt>
                <c:pt idx="19">
                  <c:v>0</c:v>
                </c:pt>
              </c:numCache>
            </c:numRef>
          </c:val>
          <c:extLst>
            <c:ext xmlns:c16="http://schemas.microsoft.com/office/drawing/2014/chart" uri="{C3380CC4-5D6E-409C-BE32-E72D297353CC}">
              <c16:uniqueId val="{00000001-FCE7-49B1-9829-B87DA0BCDF4E}"/>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pt idx="15">
                  <c:v>0.25</c:v>
                </c:pt>
                <c:pt idx="16">
                  <c:v>0.34782608695652173</c:v>
                </c:pt>
                <c:pt idx="17">
                  <c:v>0.375</c:v>
                </c:pt>
                <c:pt idx="18">
                  <c:v>0.47826086956521746</c:v>
                </c:pt>
                <c:pt idx="19">
                  <c:v>0.5</c:v>
                </c:pt>
              </c:numCache>
            </c:numRef>
          </c:val>
          <c:extLst>
            <c:ext xmlns:c16="http://schemas.microsoft.com/office/drawing/2014/chart" uri="{C3380CC4-5D6E-409C-BE32-E72D297353CC}">
              <c16:uniqueId val="{00000002-FCE7-49B1-9829-B87DA0BCDF4E}"/>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CE7-49B1-9829-B87DA0BCDF4E}"/>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63.418999999999997</c:v>
                </c:pt>
                <c:pt idx="1">
                  <c:v>63.418999999999997</c:v>
                </c:pt>
                <c:pt idx="2">
                  <c:v>63.418999999999997</c:v>
                </c:pt>
                <c:pt idx="3">
                  <c:v>63.418999999999997</c:v>
                </c:pt>
                <c:pt idx="4">
                  <c:v>63.418999999999997</c:v>
                </c:pt>
                <c:pt idx="5">
                  <c:v>63.418999999999997</c:v>
                </c:pt>
                <c:pt idx="6">
                  <c:v>63.418999999999997</c:v>
                </c:pt>
                <c:pt idx="7">
                  <c:v>63.418999999999997</c:v>
                </c:pt>
                <c:pt idx="8">
                  <c:v>63.418999999999997</c:v>
                </c:pt>
                <c:pt idx="9">
                  <c:v>63.418999999999997</c:v>
                </c:pt>
                <c:pt idx="10">
                  <c:v>63.418999999999997</c:v>
                </c:pt>
                <c:pt idx="11">
                  <c:v>63.418999999999997</c:v>
                </c:pt>
                <c:pt idx="12">
                  <c:v>63.418999999999997</c:v>
                </c:pt>
                <c:pt idx="13">
                  <c:v>63.418999999999997</c:v>
                </c:pt>
                <c:pt idx="14">
                  <c:v>63.418999999999997</c:v>
                </c:pt>
                <c:pt idx="15">
                  <c:v>63.418999999999997</c:v>
                </c:pt>
                <c:pt idx="16">
                  <c:v>63.418999999999997</c:v>
                </c:pt>
                <c:pt idx="17">
                  <c:v>63.418999999999997</c:v>
                </c:pt>
                <c:pt idx="18">
                  <c:v>63.418999999999997</c:v>
                </c:pt>
                <c:pt idx="19">
                  <c:v>63.418999999999997</c:v>
                </c:pt>
                <c:pt idx="20">
                  <c:v>63.418999999999997</c:v>
                </c:pt>
                <c:pt idx="21">
                  <c:v>63.418999999999997</c:v>
                </c:pt>
                <c:pt idx="22">
                  <c:v>63.418999999999997</c:v>
                </c:pt>
                <c:pt idx="23">
                  <c:v>63.418999999999997</c:v>
                </c:pt>
                <c:pt idx="24">
                  <c:v>63.418999999999997</c:v>
                </c:pt>
                <c:pt idx="25">
                  <c:v>63.418999999999997</c:v>
                </c:pt>
                <c:pt idx="26">
                  <c:v>63.418999999999997</c:v>
                </c:pt>
                <c:pt idx="27">
                  <c:v>63.418999999999997</c:v>
                </c:pt>
                <c:pt idx="28">
                  <c:v>63.418999999999997</c:v>
                </c:pt>
                <c:pt idx="29">
                  <c:v>63.418999999999997</c:v>
                </c:pt>
                <c:pt idx="30">
                  <c:v>63.418999999999997</c:v>
                </c:pt>
              </c:numCache>
            </c:numRef>
          </c:val>
          <c:smooth val="0"/>
          <c:extLst>
            <c:ext xmlns:c16="http://schemas.microsoft.com/office/drawing/2014/chart" uri="{C3380CC4-5D6E-409C-BE32-E72D297353CC}">
              <c16:uniqueId val="{00000003-FCE7-49B1-9829-B87DA0BCDF4E}"/>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pt idx="15">
                  <c:v>48.837083333333332</c:v>
                </c:pt>
                <c:pt idx="16">
                  <c:v>51.250416666666666</c:v>
                </c:pt>
                <c:pt idx="17">
                  <c:v>51.98749999999999</c:v>
                </c:pt>
                <c:pt idx="18">
                  <c:v>48.707916666666669</c:v>
                </c:pt>
                <c:pt idx="19">
                  <c:v>44.662916666666661</c:v>
                </c:pt>
              </c:numCache>
            </c:numRef>
          </c:val>
          <c:smooth val="0"/>
          <c:extLst>
            <c:ext xmlns:c16="http://schemas.microsoft.com/office/drawing/2014/chart" uri="{C3380CC4-5D6E-409C-BE32-E72D297353CC}">
              <c16:uniqueId val="{00000004-FCE7-49B1-9829-B87DA0BCDF4E}"/>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0.04</c:v>
                      </c:pt>
                      <c:pt idx="1">
                        <c:v>3.6999999999999998E-2</c:v>
                      </c:pt>
                      <c:pt idx="2">
                        <c:v>3.5000000000000003E-2</c:v>
                      </c:pt>
                      <c:pt idx="3">
                        <c:v>3.4000000000000002E-2</c:v>
                      </c:pt>
                      <c:pt idx="4">
                        <c:v>3.5999999999999997E-2</c:v>
                      </c:pt>
                      <c:pt idx="5">
                        <c:v>3.9E-2</c:v>
                      </c:pt>
                      <c:pt idx="6">
                        <c:v>4.2000000000000003E-2</c:v>
                      </c:pt>
                      <c:pt idx="7">
                        <c:v>4.4999999999999998E-2</c:v>
                      </c:pt>
                      <c:pt idx="8">
                        <c:v>4.9000000000000002E-2</c:v>
                      </c:pt>
                      <c:pt idx="9">
                        <c:v>5.2999999999999999E-2</c:v>
                      </c:pt>
                      <c:pt idx="10">
                        <c:v>4.2000000000000003E-2</c:v>
                      </c:pt>
                      <c:pt idx="11">
                        <c:v>3.2000000000000001E-2</c:v>
                      </c:pt>
                      <c:pt idx="12">
                        <c:v>3.5999999999999997E-2</c:v>
                      </c:pt>
                      <c:pt idx="13">
                        <c:v>3.5999999999999997E-2</c:v>
                      </c:pt>
                      <c:pt idx="14">
                        <c:v>1.4E-2</c:v>
                      </c:pt>
                      <c:pt idx="15">
                        <c:v>8.0000000000000002E-3</c:v>
                      </c:pt>
                      <c:pt idx="16">
                        <c:v>0.01</c:v>
                      </c:pt>
                      <c:pt idx="17">
                        <c:v>1.4E-2</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FCE7-49B1-9829-B87DA0BCDF4E}"/>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0.41</c:v>
                      </c:pt>
                      <c:pt idx="1">
                        <c:v>0.40100000000000002</c:v>
                      </c:pt>
                      <c:pt idx="2">
                        <c:v>0.39800000000000002</c:v>
                      </c:pt>
                      <c:pt idx="3">
                        <c:v>0.39900000000000002</c:v>
                      </c:pt>
                      <c:pt idx="4">
                        <c:v>0.38800000000000001</c:v>
                      </c:pt>
                      <c:pt idx="5">
                        <c:v>0.38300000000000001</c:v>
                      </c:pt>
                      <c:pt idx="6">
                        <c:v>0.38</c:v>
                      </c:pt>
                      <c:pt idx="7">
                        <c:v>0.378</c:v>
                      </c:pt>
                      <c:pt idx="8">
                        <c:v>0.38800000000000001</c:v>
                      </c:pt>
                      <c:pt idx="9">
                        <c:v>0.39300000000000002</c:v>
                      </c:pt>
                      <c:pt idx="10">
                        <c:v>0.41199999999999998</c:v>
                      </c:pt>
                      <c:pt idx="11">
                        <c:v>0.40699999999999997</c:v>
                      </c:pt>
                      <c:pt idx="12">
                        <c:v>0.4</c:v>
                      </c:pt>
                      <c:pt idx="13">
                        <c:v>0.41599999999999998</c:v>
                      </c:pt>
                      <c:pt idx="14">
                        <c:v>0.40899999999999997</c:v>
                      </c:pt>
                      <c:pt idx="15">
                        <c:v>0.39</c:v>
                      </c:pt>
                      <c:pt idx="16">
                        <c:v>0.42499999999999999</c:v>
                      </c:pt>
                      <c:pt idx="17">
                        <c:v>0.45100000000000001</c:v>
                      </c:pt>
                      <c:pt idx="18">
                        <c:v>0.48899999999999999</c:v>
                      </c:pt>
                      <c:pt idx="19">
                        <c:v>0.5</c:v>
                      </c:pt>
                      <c:pt idx="20">
                        <c:v>0.5</c:v>
                      </c:pt>
                      <c:pt idx="21">
                        <c:v>0.5</c:v>
                      </c:pt>
                      <c:pt idx="22">
                        <c:v>0.5</c:v>
                      </c:pt>
                      <c:pt idx="23">
                        <c:v>0.5</c:v>
                      </c:pt>
                      <c:pt idx="24">
                        <c:v>0.5</c:v>
                      </c:pt>
                      <c:pt idx="25">
                        <c:v>0.5</c:v>
                      </c:pt>
                      <c:pt idx="26">
                        <c:v>0.5</c:v>
                      </c:pt>
                      <c:pt idx="27">
                        <c:v>0.5</c:v>
                      </c:pt>
                      <c:pt idx="28">
                        <c:v>0.5</c:v>
                      </c:pt>
                      <c:pt idx="29">
                        <c:v>0.5</c:v>
                      </c:pt>
                      <c:pt idx="30">
                        <c:v>0.5</c:v>
                      </c:pt>
                    </c:numCache>
                  </c:numRef>
                </c:val>
                <c:smooth val="0"/>
                <c:extLst xmlns:c15="http://schemas.microsoft.com/office/drawing/2012/chart">
                  <c:ext xmlns:c16="http://schemas.microsoft.com/office/drawing/2014/chart" uri="{C3380CC4-5D6E-409C-BE32-E72D297353CC}">
                    <c16:uniqueId val="{00000008-FCE7-49B1-9829-B87DA0BCDF4E}"/>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numCache>
                  </c:numRef>
                </c:val>
                <c:smooth val="0"/>
                <c:extLst xmlns:c15="http://schemas.microsoft.com/office/drawing/2012/chart">
                  <c:ext xmlns:c16="http://schemas.microsoft.com/office/drawing/2014/chart" uri="{C3380CC4-5D6E-409C-BE32-E72D297353CC}">
                    <c16:uniqueId val="{00000009-FCE7-49B1-9829-B87DA0BCDF4E}"/>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32.772666666666666</c:v>
                      </c:pt>
                      <c:pt idx="16">
                        <c:v>19.145999999999997</c:v>
                      </c:pt>
                      <c:pt idx="17">
                        <c:v>25.685833333333335</c:v>
                      </c:pt>
                      <c:pt idx="18">
                        <c:v>30.633636363636366</c:v>
                      </c:pt>
                      <c:pt idx="19">
                        <c:v>22.784545454545452</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CE7-49B1-9829-B87DA0BCDF4E}"/>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48.28</c:v>
                      </c:pt>
                      <c:pt idx="1">
                        <c:v>48.28</c:v>
                      </c:pt>
                      <c:pt idx="2">
                        <c:v>48.28</c:v>
                      </c:pt>
                      <c:pt idx="3">
                        <c:v>48.28</c:v>
                      </c:pt>
                      <c:pt idx="4">
                        <c:v>48.28</c:v>
                      </c:pt>
                      <c:pt idx="5">
                        <c:v>48.28</c:v>
                      </c:pt>
                      <c:pt idx="6">
                        <c:v>48.28</c:v>
                      </c:pt>
                      <c:pt idx="7">
                        <c:v>48.28</c:v>
                      </c:pt>
                      <c:pt idx="8">
                        <c:v>48.28</c:v>
                      </c:pt>
                      <c:pt idx="9">
                        <c:v>48.28</c:v>
                      </c:pt>
                      <c:pt idx="10">
                        <c:v>48.28</c:v>
                      </c:pt>
                      <c:pt idx="11">
                        <c:v>48.28</c:v>
                      </c:pt>
                      <c:pt idx="12">
                        <c:v>48.28</c:v>
                      </c:pt>
                      <c:pt idx="13">
                        <c:v>48.28</c:v>
                      </c:pt>
                      <c:pt idx="14">
                        <c:v>48.28</c:v>
                      </c:pt>
                      <c:pt idx="15">
                        <c:v>48.28</c:v>
                      </c:pt>
                      <c:pt idx="16">
                        <c:v>48.28</c:v>
                      </c:pt>
                      <c:pt idx="17">
                        <c:v>48.28</c:v>
                      </c:pt>
                      <c:pt idx="18">
                        <c:v>48.28</c:v>
                      </c:pt>
                      <c:pt idx="19">
                        <c:v>48.28</c:v>
                      </c:pt>
                      <c:pt idx="20">
                        <c:v>48.28</c:v>
                      </c:pt>
                      <c:pt idx="21">
                        <c:v>48.28</c:v>
                      </c:pt>
                      <c:pt idx="22">
                        <c:v>48.28</c:v>
                      </c:pt>
                      <c:pt idx="23">
                        <c:v>48.28</c:v>
                      </c:pt>
                      <c:pt idx="24">
                        <c:v>48.28</c:v>
                      </c:pt>
                      <c:pt idx="25">
                        <c:v>48.28</c:v>
                      </c:pt>
                      <c:pt idx="26">
                        <c:v>48.28</c:v>
                      </c:pt>
                      <c:pt idx="27">
                        <c:v>48.28</c:v>
                      </c:pt>
                      <c:pt idx="28">
                        <c:v>48.28</c:v>
                      </c:pt>
                      <c:pt idx="29">
                        <c:v>48.28</c:v>
                      </c:pt>
                      <c:pt idx="30">
                        <c:v>48.28</c:v>
                      </c:pt>
                    </c:numCache>
                  </c:numRef>
                </c:val>
                <c:smooth val="0"/>
                <c:extLst xmlns:c15="http://schemas.microsoft.com/office/drawing/2012/chart">
                  <c:ext xmlns:c16="http://schemas.microsoft.com/office/drawing/2014/chart" uri="{C3380CC4-5D6E-409C-BE32-E72D297353CC}">
                    <c16:uniqueId val="{0000000B-FCE7-49B1-9829-B87DA0BCDF4E}"/>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109.56</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CE7-49B1-9829-B87DA0BCDF4E}"/>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54.177</c:v>
                      </c:pt>
                      <c:pt idx="1">
                        <c:v>54.177</c:v>
                      </c:pt>
                      <c:pt idx="2">
                        <c:v>54.177</c:v>
                      </c:pt>
                      <c:pt idx="3">
                        <c:v>54.177</c:v>
                      </c:pt>
                      <c:pt idx="4">
                        <c:v>54.177</c:v>
                      </c:pt>
                      <c:pt idx="5">
                        <c:v>54.177</c:v>
                      </c:pt>
                      <c:pt idx="6">
                        <c:v>54.177</c:v>
                      </c:pt>
                      <c:pt idx="7">
                        <c:v>54.177</c:v>
                      </c:pt>
                      <c:pt idx="8">
                        <c:v>54.177</c:v>
                      </c:pt>
                      <c:pt idx="9">
                        <c:v>54.177</c:v>
                      </c:pt>
                      <c:pt idx="10">
                        <c:v>54.177</c:v>
                      </c:pt>
                      <c:pt idx="11">
                        <c:v>54.177</c:v>
                      </c:pt>
                      <c:pt idx="12">
                        <c:v>54.177</c:v>
                      </c:pt>
                      <c:pt idx="13">
                        <c:v>54.177</c:v>
                      </c:pt>
                      <c:pt idx="14">
                        <c:v>54.177</c:v>
                      </c:pt>
                      <c:pt idx="15">
                        <c:v>54.177</c:v>
                      </c:pt>
                      <c:pt idx="16">
                        <c:v>54.177</c:v>
                      </c:pt>
                      <c:pt idx="17">
                        <c:v>54.177</c:v>
                      </c:pt>
                      <c:pt idx="18">
                        <c:v>54.177</c:v>
                      </c:pt>
                      <c:pt idx="19">
                        <c:v>54.177</c:v>
                      </c:pt>
                      <c:pt idx="20">
                        <c:v>54.177</c:v>
                      </c:pt>
                      <c:pt idx="21">
                        <c:v>54.177</c:v>
                      </c:pt>
                      <c:pt idx="22">
                        <c:v>54.177</c:v>
                      </c:pt>
                      <c:pt idx="23">
                        <c:v>54.177</c:v>
                      </c:pt>
                      <c:pt idx="24">
                        <c:v>54.177</c:v>
                      </c:pt>
                      <c:pt idx="25">
                        <c:v>54.177</c:v>
                      </c:pt>
                      <c:pt idx="26">
                        <c:v>54.177</c:v>
                      </c:pt>
                      <c:pt idx="27">
                        <c:v>54.177</c:v>
                      </c:pt>
                      <c:pt idx="28">
                        <c:v>54.177</c:v>
                      </c:pt>
                      <c:pt idx="29">
                        <c:v>54.177</c:v>
                      </c:pt>
                      <c:pt idx="30">
                        <c:v>54.177</c:v>
                      </c:pt>
                    </c:numCache>
                  </c:numRef>
                </c:val>
                <c:smooth val="0"/>
                <c:extLst xmlns:c15="http://schemas.microsoft.com/office/drawing/2012/chart">
                  <c:ext xmlns:c16="http://schemas.microsoft.com/office/drawing/2014/chart" uri="{C3380CC4-5D6E-409C-BE32-E72D297353CC}">
                    <c16:uniqueId val="{0000000D-FCE7-49B1-9829-B87DA0BCDF4E}"/>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70.668333333333322</c:v>
                      </c:pt>
                      <c:pt idx="16">
                        <c:v>76.097499999999997</c:v>
                      </c:pt>
                      <c:pt idx="17">
                        <c:v>75.545555555555552</c:v>
                      </c:pt>
                      <c:pt idx="18">
                        <c:v>63.365454545454547</c:v>
                      </c:pt>
                      <c:pt idx="19">
                        <c:v>64.69</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CE7-49B1-9829-B87DA0BCDF4E}"/>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75.311000000000007</c:v>
                      </c:pt>
                      <c:pt idx="1">
                        <c:v>75.311000000000007</c:v>
                      </c:pt>
                      <c:pt idx="2">
                        <c:v>75.311000000000007</c:v>
                      </c:pt>
                      <c:pt idx="3">
                        <c:v>75.311000000000007</c:v>
                      </c:pt>
                      <c:pt idx="4">
                        <c:v>75.311000000000007</c:v>
                      </c:pt>
                      <c:pt idx="5">
                        <c:v>75.311000000000007</c:v>
                      </c:pt>
                      <c:pt idx="6">
                        <c:v>75.311000000000007</c:v>
                      </c:pt>
                      <c:pt idx="7">
                        <c:v>75.311000000000007</c:v>
                      </c:pt>
                      <c:pt idx="8">
                        <c:v>75.311000000000007</c:v>
                      </c:pt>
                      <c:pt idx="9">
                        <c:v>75.311000000000007</c:v>
                      </c:pt>
                      <c:pt idx="10">
                        <c:v>75.311000000000007</c:v>
                      </c:pt>
                      <c:pt idx="11">
                        <c:v>75.311000000000007</c:v>
                      </c:pt>
                      <c:pt idx="12">
                        <c:v>75.311000000000007</c:v>
                      </c:pt>
                      <c:pt idx="13">
                        <c:v>75.311000000000007</c:v>
                      </c:pt>
                      <c:pt idx="14">
                        <c:v>75.311000000000007</c:v>
                      </c:pt>
                      <c:pt idx="15">
                        <c:v>75.311000000000007</c:v>
                      </c:pt>
                      <c:pt idx="16">
                        <c:v>75.311000000000007</c:v>
                      </c:pt>
                      <c:pt idx="17">
                        <c:v>75.311000000000007</c:v>
                      </c:pt>
                      <c:pt idx="18">
                        <c:v>75.311000000000007</c:v>
                      </c:pt>
                      <c:pt idx="19">
                        <c:v>75.311000000000007</c:v>
                      </c:pt>
                      <c:pt idx="20">
                        <c:v>75.311000000000007</c:v>
                      </c:pt>
                      <c:pt idx="21">
                        <c:v>75.311000000000007</c:v>
                      </c:pt>
                      <c:pt idx="22">
                        <c:v>75.311000000000007</c:v>
                      </c:pt>
                      <c:pt idx="23">
                        <c:v>75.311000000000007</c:v>
                      </c:pt>
                      <c:pt idx="24">
                        <c:v>75.311000000000007</c:v>
                      </c:pt>
                      <c:pt idx="25">
                        <c:v>75.311000000000007</c:v>
                      </c:pt>
                      <c:pt idx="26">
                        <c:v>75.311000000000007</c:v>
                      </c:pt>
                      <c:pt idx="27">
                        <c:v>75.311000000000007</c:v>
                      </c:pt>
                      <c:pt idx="28">
                        <c:v>75.311000000000007</c:v>
                      </c:pt>
                      <c:pt idx="29">
                        <c:v>75.311000000000007</c:v>
                      </c:pt>
                      <c:pt idx="30">
                        <c:v>75.311000000000007</c:v>
                      </c:pt>
                    </c:numCache>
                  </c:numRef>
                </c:val>
                <c:smooth val="0"/>
                <c:extLst xmlns:c15="http://schemas.microsoft.com/office/drawing/2012/chart">
                  <c:ext xmlns:c16="http://schemas.microsoft.com/office/drawing/2014/chart" uri="{C3380CC4-5D6E-409C-BE32-E72D297353CC}">
                    <c16:uniqueId val="{0000000F-FCE7-49B1-9829-B87DA0BCDF4E}"/>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pt idx="20">
                        <c:v>546.79999999999995</c:v>
                      </c:pt>
                      <c:pt idx="21">
                        <c:v>546.79999999999995</c:v>
                      </c:pt>
                      <c:pt idx="22">
                        <c:v>546.79999999999995</c:v>
                      </c:pt>
                      <c:pt idx="23">
                        <c:v>546.79999999999995</c:v>
                      </c:pt>
                      <c:pt idx="24">
                        <c:v>546.79999999999995</c:v>
                      </c:pt>
                      <c:pt idx="25">
                        <c:v>546.79999999999995</c:v>
                      </c:pt>
                      <c:pt idx="26">
                        <c:v>546.79999999999995</c:v>
                      </c:pt>
                      <c:pt idx="27">
                        <c:v>546.79999999999995</c:v>
                      </c:pt>
                      <c:pt idx="28">
                        <c:v>546.79999999999995</c:v>
                      </c:pt>
                      <c:pt idx="29">
                        <c:v>546.79999999999995</c:v>
                      </c:pt>
                      <c:pt idx="30">
                        <c:v>546.79999999999995</c:v>
                      </c:pt>
                    </c:numCache>
                  </c:numRef>
                </c:val>
                <c:smooth val="0"/>
                <c:extLst xmlns:c15="http://schemas.microsoft.com/office/drawing/2012/chart">
                  <c:ext xmlns:c16="http://schemas.microsoft.com/office/drawing/2014/chart" uri="{C3380CC4-5D6E-409C-BE32-E72D297353CC}">
                    <c16:uniqueId val="{00000010-FCE7-49B1-9829-B87DA0BCDF4E}"/>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5FDD-4CBB-8327-F2316DA9C4E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5FDD-4CBB-8327-F2316DA9C4E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5FDD-4CBB-8327-F2316DA9C4E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5FDD-4CBB-8327-F2316DA9C4E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5FDD-4CBB-8327-F2316DA9C4E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5FDD-4CBB-8327-F2316DA9C4E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5FDD-4CBB-8327-F2316DA9C4E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5FDD-4CBB-8327-F2316DA9C4E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5FDD-4CBB-8327-F2316DA9C4EA}"/>
              </c:ext>
            </c:extLst>
          </c:dPt>
          <c:dPt>
            <c:idx val="9"/>
            <c:bubble3D val="0"/>
            <c:spPr>
              <a:noFill/>
              <a:ln w="19050">
                <a:noFill/>
              </a:ln>
              <a:effectLst/>
            </c:spPr>
            <c:extLst>
              <c:ext xmlns:c16="http://schemas.microsoft.com/office/drawing/2014/chart" uri="{C3380CC4-5D6E-409C-BE32-E72D297353CC}">
                <c16:uniqueId val="{00000013-5FDD-4CBB-8327-F2316DA9C4E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5FDD-4CBB-8327-F2316DA9C4E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5FDD-4CBB-8327-F2316DA9C4EA}"/>
              </c:ext>
            </c:extLst>
          </c:dPt>
          <c:xVal>
            <c:numRef>
              <c:f>[1]omie_dinamic_dia!$X$11:$X$12</c:f>
              <c:numCache>
                <c:formatCode>General</c:formatCode>
                <c:ptCount val="2"/>
                <c:pt idx="0">
                  <c:v>0</c:v>
                </c:pt>
                <c:pt idx="1">
                  <c:v>0.96202767158608593</c:v>
                </c:pt>
              </c:numCache>
            </c:numRef>
          </c:xVal>
          <c:yVal>
            <c:numRef>
              <c:f>[1]omie_dinamic_dia!$Y$11:$Y$12</c:f>
              <c:numCache>
                <c:formatCode>General</c:formatCode>
                <c:ptCount val="2"/>
                <c:pt idx="0">
                  <c:v>0</c:v>
                </c:pt>
                <c:pt idx="1">
                  <c:v>0.27295193551732505</c:v>
                </c:pt>
              </c:numCache>
            </c:numRef>
          </c:yVal>
          <c:smooth val="1"/>
          <c:extLst>
            <c:ext xmlns:c16="http://schemas.microsoft.com/office/drawing/2014/chart" uri="{C3380CC4-5D6E-409C-BE32-E72D297353CC}">
              <c16:uniqueId val="{00000017-5FDD-4CBB-8327-F2316DA9C4E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962-4864-9B11-D5470D018800}"/>
              </c:ext>
            </c:extLst>
          </c:dPt>
          <c:dPt>
            <c:idx val="1"/>
            <c:bubble3D val="0"/>
            <c:spPr>
              <a:solidFill>
                <a:schemeClr val="accent2">
                  <a:lumMod val="20000"/>
                  <a:lumOff val="80000"/>
                </a:schemeClr>
              </a:solidFill>
            </c:spPr>
            <c:extLst>
              <c:ext xmlns:c16="http://schemas.microsoft.com/office/drawing/2014/chart" uri="{C3380CC4-5D6E-409C-BE32-E72D297353CC}">
                <c16:uniqueId val="{00000003-4962-4864-9B11-D5470D018800}"/>
              </c:ext>
            </c:extLst>
          </c:dPt>
          <c:dPt>
            <c:idx val="2"/>
            <c:bubble3D val="0"/>
            <c:spPr>
              <a:solidFill>
                <a:schemeClr val="accent2">
                  <a:lumMod val="40000"/>
                  <a:lumOff val="60000"/>
                </a:schemeClr>
              </a:solidFill>
            </c:spPr>
            <c:extLst>
              <c:ext xmlns:c16="http://schemas.microsoft.com/office/drawing/2014/chart" uri="{C3380CC4-5D6E-409C-BE32-E72D297353CC}">
                <c16:uniqueId val="{00000005-4962-4864-9B11-D5470D018800}"/>
              </c:ext>
            </c:extLst>
          </c:dPt>
          <c:dPt>
            <c:idx val="3"/>
            <c:bubble3D val="0"/>
            <c:spPr>
              <a:solidFill>
                <a:schemeClr val="accent2">
                  <a:lumMod val="40000"/>
                  <a:lumOff val="60000"/>
                </a:schemeClr>
              </a:solidFill>
            </c:spPr>
            <c:extLst>
              <c:ext xmlns:c16="http://schemas.microsoft.com/office/drawing/2014/chart" uri="{C3380CC4-5D6E-409C-BE32-E72D297353CC}">
                <c16:uniqueId val="{00000007-4962-4864-9B11-D5470D018800}"/>
              </c:ext>
            </c:extLst>
          </c:dPt>
          <c:dPt>
            <c:idx val="4"/>
            <c:bubble3D val="0"/>
            <c:spPr>
              <a:solidFill>
                <a:schemeClr val="accent2">
                  <a:lumMod val="60000"/>
                  <a:lumOff val="40000"/>
                </a:schemeClr>
              </a:solidFill>
            </c:spPr>
            <c:extLst>
              <c:ext xmlns:c16="http://schemas.microsoft.com/office/drawing/2014/chart" uri="{C3380CC4-5D6E-409C-BE32-E72D297353CC}">
                <c16:uniqueId val="{00000009-4962-4864-9B11-D5470D018800}"/>
              </c:ext>
            </c:extLst>
          </c:dPt>
          <c:dPt>
            <c:idx val="5"/>
            <c:bubble3D val="0"/>
            <c:spPr>
              <a:solidFill>
                <a:schemeClr val="accent2">
                  <a:lumMod val="60000"/>
                  <a:lumOff val="40000"/>
                </a:schemeClr>
              </a:solidFill>
            </c:spPr>
            <c:extLst>
              <c:ext xmlns:c16="http://schemas.microsoft.com/office/drawing/2014/chart" uri="{C3380CC4-5D6E-409C-BE32-E72D297353CC}">
                <c16:uniqueId val="{0000000B-4962-4864-9B11-D5470D018800}"/>
              </c:ext>
            </c:extLst>
          </c:dPt>
          <c:dPt>
            <c:idx val="6"/>
            <c:bubble3D val="0"/>
            <c:spPr>
              <a:solidFill>
                <a:schemeClr val="accent2">
                  <a:lumMod val="75000"/>
                </a:schemeClr>
              </a:solidFill>
            </c:spPr>
            <c:extLst>
              <c:ext xmlns:c16="http://schemas.microsoft.com/office/drawing/2014/chart" uri="{C3380CC4-5D6E-409C-BE32-E72D297353CC}">
                <c16:uniqueId val="{0000000D-4962-4864-9B11-D5470D018800}"/>
              </c:ext>
            </c:extLst>
          </c:dPt>
          <c:dPt>
            <c:idx val="7"/>
            <c:bubble3D val="0"/>
            <c:spPr>
              <a:solidFill>
                <a:schemeClr val="accent2">
                  <a:lumMod val="75000"/>
                </a:schemeClr>
              </a:solidFill>
            </c:spPr>
            <c:extLst>
              <c:ext xmlns:c16="http://schemas.microsoft.com/office/drawing/2014/chart" uri="{C3380CC4-5D6E-409C-BE32-E72D297353CC}">
                <c16:uniqueId val="{0000000F-4962-4864-9B11-D5470D018800}"/>
              </c:ext>
            </c:extLst>
          </c:dPt>
          <c:dPt>
            <c:idx val="8"/>
            <c:bubble3D val="0"/>
            <c:spPr>
              <a:solidFill>
                <a:schemeClr val="accent2">
                  <a:lumMod val="50000"/>
                </a:schemeClr>
              </a:solidFill>
            </c:spPr>
            <c:extLst>
              <c:ext xmlns:c16="http://schemas.microsoft.com/office/drawing/2014/chart" uri="{C3380CC4-5D6E-409C-BE32-E72D297353CC}">
                <c16:uniqueId val="{00000011-4962-4864-9B11-D5470D018800}"/>
              </c:ext>
            </c:extLst>
          </c:dPt>
          <c:dPt>
            <c:idx val="9"/>
            <c:bubble3D val="0"/>
            <c:spPr>
              <a:noFill/>
            </c:spPr>
            <c:extLst>
              <c:ext xmlns:c16="http://schemas.microsoft.com/office/drawing/2014/chart" uri="{C3380CC4-5D6E-409C-BE32-E72D297353CC}">
                <c16:uniqueId val="{00000013-4962-4864-9B11-D5470D01880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962-4864-9B11-D5470D01880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-0.96858316112863108</c:v>
                </c:pt>
              </c:numCache>
            </c:numRef>
          </c:xVal>
          <c:yVal>
            <c:numRef>
              <c:f>[1]omie_dinamic_dia!$AC$20:$AC$21</c:f>
              <c:numCache>
                <c:formatCode>General</c:formatCode>
                <c:ptCount val="2"/>
                <c:pt idx="0">
                  <c:v>0</c:v>
                </c:pt>
                <c:pt idx="1">
                  <c:v>0.24868988716485479</c:v>
                </c:pt>
              </c:numCache>
            </c:numRef>
          </c:yVal>
          <c:smooth val="1"/>
          <c:extLst>
            <c:ext xmlns:c16="http://schemas.microsoft.com/office/drawing/2014/chart" uri="{C3380CC4-5D6E-409C-BE32-E72D297353CC}">
              <c16:uniqueId val="{00000015-4962-4864-9B11-D5470D01880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7031-4A76-AC9E-54ECF5CDAD98}"/>
              </c:ext>
            </c:extLst>
          </c:dPt>
          <c:dPt>
            <c:idx val="1"/>
            <c:bubble3D val="0"/>
            <c:spPr>
              <a:solidFill>
                <a:schemeClr val="accent1">
                  <a:lumMod val="20000"/>
                  <a:lumOff val="80000"/>
                </a:schemeClr>
              </a:solidFill>
            </c:spPr>
            <c:extLst>
              <c:ext xmlns:c16="http://schemas.microsoft.com/office/drawing/2014/chart" uri="{C3380CC4-5D6E-409C-BE32-E72D297353CC}">
                <c16:uniqueId val="{00000003-7031-4A76-AC9E-54ECF5CDAD98}"/>
              </c:ext>
            </c:extLst>
          </c:dPt>
          <c:dPt>
            <c:idx val="2"/>
            <c:bubble3D val="0"/>
            <c:spPr>
              <a:solidFill>
                <a:schemeClr val="accent1">
                  <a:lumMod val="40000"/>
                  <a:lumOff val="60000"/>
                </a:schemeClr>
              </a:solidFill>
            </c:spPr>
            <c:extLst>
              <c:ext xmlns:c16="http://schemas.microsoft.com/office/drawing/2014/chart" uri="{C3380CC4-5D6E-409C-BE32-E72D297353CC}">
                <c16:uniqueId val="{00000005-7031-4A76-AC9E-54ECF5CDAD98}"/>
              </c:ext>
            </c:extLst>
          </c:dPt>
          <c:dPt>
            <c:idx val="3"/>
            <c:bubble3D val="0"/>
            <c:spPr>
              <a:solidFill>
                <a:schemeClr val="accent1">
                  <a:lumMod val="40000"/>
                  <a:lumOff val="60000"/>
                </a:schemeClr>
              </a:solidFill>
            </c:spPr>
            <c:extLst>
              <c:ext xmlns:c16="http://schemas.microsoft.com/office/drawing/2014/chart" uri="{C3380CC4-5D6E-409C-BE32-E72D297353CC}">
                <c16:uniqueId val="{00000007-7031-4A76-AC9E-54ECF5CDAD98}"/>
              </c:ext>
            </c:extLst>
          </c:dPt>
          <c:dPt>
            <c:idx val="4"/>
            <c:bubble3D val="0"/>
            <c:spPr>
              <a:solidFill>
                <a:schemeClr val="accent1">
                  <a:lumMod val="60000"/>
                  <a:lumOff val="40000"/>
                </a:schemeClr>
              </a:solidFill>
            </c:spPr>
            <c:extLst>
              <c:ext xmlns:c16="http://schemas.microsoft.com/office/drawing/2014/chart" uri="{C3380CC4-5D6E-409C-BE32-E72D297353CC}">
                <c16:uniqueId val="{00000009-7031-4A76-AC9E-54ECF5CDAD98}"/>
              </c:ext>
            </c:extLst>
          </c:dPt>
          <c:dPt>
            <c:idx val="5"/>
            <c:bubble3D val="0"/>
            <c:spPr>
              <a:solidFill>
                <a:schemeClr val="accent1">
                  <a:lumMod val="60000"/>
                  <a:lumOff val="40000"/>
                </a:schemeClr>
              </a:solidFill>
            </c:spPr>
            <c:extLst>
              <c:ext xmlns:c16="http://schemas.microsoft.com/office/drawing/2014/chart" uri="{C3380CC4-5D6E-409C-BE32-E72D297353CC}">
                <c16:uniqueId val="{0000000B-7031-4A76-AC9E-54ECF5CDAD98}"/>
              </c:ext>
            </c:extLst>
          </c:dPt>
          <c:dPt>
            <c:idx val="6"/>
            <c:bubble3D val="0"/>
            <c:spPr>
              <a:solidFill>
                <a:schemeClr val="accent1">
                  <a:lumMod val="75000"/>
                </a:schemeClr>
              </a:solidFill>
            </c:spPr>
            <c:extLst>
              <c:ext xmlns:c16="http://schemas.microsoft.com/office/drawing/2014/chart" uri="{C3380CC4-5D6E-409C-BE32-E72D297353CC}">
                <c16:uniqueId val="{0000000D-7031-4A76-AC9E-54ECF5CDAD98}"/>
              </c:ext>
            </c:extLst>
          </c:dPt>
          <c:dPt>
            <c:idx val="7"/>
            <c:bubble3D val="0"/>
            <c:spPr>
              <a:solidFill>
                <a:schemeClr val="accent1">
                  <a:lumMod val="75000"/>
                </a:schemeClr>
              </a:solidFill>
            </c:spPr>
            <c:extLst>
              <c:ext xmlns:c16="http://schemas.microsoft.com/office/drawing/2014/chart" uri="{C3380CC4-5D6E-409C-BE32-E72D297353CC}">
                <c16:uniqueId val="{0000000F-7031-4A76-AC9E-54ECF5CDAD98}"/>
              </c:ext>
            </c:extLst>
          </c:dPt>
          <c:dPt>
            <c:idx val="8"/>
            <c:bubble3D val="0"/>
            <c:spPr>
              <a:solidFill>
                <a:schemeClr val="accent1">
                  <a:lumMod val="50000"/>
                </a:schemeClr>
              </a:solidFill>
            </c:spPr>
            <c:extLst>
              <c:ext xmlns:c16="http://schemas.microsoft.com/office/drawing/2014/chart" uri="{C3380CC4-5D6E-409C-BE32-E72D297353CC}">
                <c16:uniqueId val="{00000011-7031-4A76-AC9E-54ECF5CDAD98}"/>
              </c:ext>
            </c:extLst>
          </c:dPt>
          <c:dPt>
            <c:idx val="9"/>
            <c:bubble3D val="0"/>
            <c:spPr>
              <a:noFill/>
            </c:spPr>
            <c:extLst>
              <c:ext xmlns:c16="http://schemas.microsoft.com/office/drawing/2014/chart" uri="{C3380CC4-5D6E-409C-BE32-E72D297353CC}">
                <c16:uniqueId val="{00000013-7031-4A76-AC9E-54ECF5CDAD98}"/>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031-4A76-AC9E-54ECF5CDAD98}"/>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0.84432792550201485</c:v>
                </c:pt>
              </c:numCache>
            </c:numRef>
          </c:xVal>
          <c:yVal>
            <c:numRef>
              <c:f>[1]omie_dinamic_dia!$Y$37:$Y$38</c:f>
              <c:numCache>
                <c:formatCode>General</c:formatCode>
                <c:ptCount val="2"/>
                <c:pt idx="0">
                  <c:v>0</c:v>
                </c:pt>
                <c:pt idx="1">
                  <c:v>0.53582679497899699</c:v>
                </c:pt>
              </c:numCache>
            </c:numRef>
          </c:yVal>
          <c:smooth val="1"/>
          <c:extLst>
            <c:ext xmlns:c16="http://schemas.microsoft.com/office/drawing/2014/chart" uri="{C3380CC4-5D6E-409C-BE32-E72D297353CC}">
              <c16:uniqueId val="{00000015-7031-4A76-AC9E-54ECF5CDAD98}"/>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numCache>
            </c:numRef>
          </c:val>
          <c:extLst>
            <c:ext xmlns:c16="http://schemas.microsoft.com/office/drawing/2014/chart" uri="{C3380CC4-5D6E-409C-BE32-E72D297353CC}">
              <c16:uniqueId val="{00000000-894C-40AE-9C18-F75C9BB3CA23}"/>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3933080526609218"/>
          <c:w val="0.81771450323995554"/>
          <c:h val="0.73828664589448156"/>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gauss!$C$3:$C$55</c:f>
              <c:numCache>
                <c:formatCode>General</c:formatCode>
                <c:ptCount val="53"/>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A03B-49B4-8CC7-B53C96479FDE}"/>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A03B-49B4-8CC7-B53C96479FDE}"/>
              </c:ext>
            </c:extLst>
          </c:dPt>
          <c:xVal>
            <c:numRef>
              <c:f>gauss!$L$49:$L$50</c:f>
              <c:numCache>
                <c:formatCode>0.00</c:formatCode>
                <c:ptCount val="2"/>
                <c:pt idx="0">
                  <c:v>63.42</c:v>
                </c:pt>
                <c:pt idx="1">
                  <c:v>63.42</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A03B-49B4-8CC7-B53C96479FDE}"/>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A03B-49B4-8CC7-B53C96479FDE}"/>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A03B-49B4-8CC7-B53C96479FDE}"/>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numCache>
            </c:numRef>
          </c:val>
          <c:smooth val="0"/>
          <c:extLst>
            <c:ext xmlns:c16="http://schemas.microsoft.com/office/drawing/2014/chart" uri="{C3380CC4-5D6E-409C-BE32-E72D297353CC}">
              <c16:uniqueId val="{00000000-0831-45FF-B138-E268DEF4CF8C}"/>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39.51</c:v>
                </c:pt>
                <c:pt idx="1">
                  <c:v>39.51</c:v>
                </c:pt>
                <c:pt idx="2">
                  <c:v>39.51</c:v>
                </c:pt>
                <c:pt idx="3">
                  <c:v>39.51</c:v>
                </c:pt>
                <c:pt idx="4">
                  <c:v>39.51</c:v>
                </c:pt>
                <c:pt idx="5">
                  <c:v>39.51</c:v>
                </c:pt>
                <c:pt idx="6">
                  <c:v>39.51</c:v>
                </c:pt>
                <c:pt idx="7">
                  <c:v>39.51</c:v>
                </c:pt>
                <c:pt idx="8">
                  <c:v>39.51</c:v>
                </c:pt>
                <c:pt idx="9">
                  <c:v>39.51</c:v>
                </c:pt>
                <c:pt idx="10">
                  <c:v>39.51</c:v>
                </c:pt>
                <c:pt idx="11">
                  <c:v>39.51</c:v>
                </c:pt>
                <c:pt idx="12">
                  <c:v>39.51</c:v>
                </c:pt>
                <c:pt idx="13">
                  <c:v>39.51</c:v>
                </c:pt>
                <c:pt idx="14">
                  <c:v>39.51</c:v>
                </c:pt>
                <c:pt idx="15">
                  <c:v>39.51</c:v>
                </c:pt>
                <c:pt idx="16">
                  <c:v>39.51</c:v>
                </c:pt>
                <c:pt idx="17">
                  <c:v>39.51</c:v>
                </c:pt>
                <c:pt idx="18">
                  <c:v>39.51</c:v>
                </c:pt>
                <c:pt idx="19">
                  <c:v>39.51</c:v>
                </c:pt>
                <c:pt idx="20">
                  <c:v>39.51</c:v>
                </c:pt>
                <c:pt idx="21">
                  <c:v>39.51</c:v>
                </c:pt>
                <c:pt idx="22">
                  <c:v>39.51</c:v>
                </c:pt>
                <c:pt idx="23">
                  <c:v>39.51</c:v>
                </c:pt>
                <c:pt idx="24">
                  <c:v>39.51</c:v>
                </c:pt>
                <c:pt idx="25">
                  <c:v>39.51</c:v>
                </c:pt>
                <c:pt idx="26">
                  <c:v>39.51</c:v>
                </c:pt>
                <c:pt idx="27">
                  <c:v>39.51</c:v>
                </c:pt>
                <c:pt idx="28">
                  <c:v>39.51</c:v>
                </c:pt>
                <c:pt idx="29">
                  <c:v>39.51</c:v>
                </c:pt>
              </c:numCache>
            </c:numRef>
          </c:val>
          <c:smooth val="0"/>
          <c:extLst>
            <c:ext xmlns:c16="http://schemas.microsoft.com/office/drawing/2014/chart" uri="{C3380CC4-5D6E-409C-BE32-E72D297353CC}">
              <c16:uniqueId val="{00000001-0831-45FF-B138-E268DEF4CF8C}"/>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831-45FF-B138-E268DEF4CF8C}"/>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39C1-4F07-9B7D-59358CD91DBD}"/>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2-39C1-4F07-9B7D-59358CD91DBD}"/>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4-39C1-4F07-9B7D-59358CD91DBD}"/>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6-39C1-4F07-9B7D-59358CD91DBD}"/>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numCache>
            </c:numRef>
          </c:val>
          <c:smooth val="0"/>
          <c:extLst>
            <c:ext xmlns:c16="http://schemas.microsoft.com/office/drawing/2014/chart" uri="{C3380CC4-5D6E-409C-BE32-E72D297353CC}">
              <c16:uniqueId val="{00000000-347C-4249-AB34-A5532D6F20FF}"/>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62.64</c:v>
                </c:pt>
                <c:pt idx="1">
                  <c:v>62.64</c:v>
                </c:pt>
                <c:pt idx="2">
                  <c:v>62.64</c:v>
                </c:pt>
                <c:pt idx="3">
                  <c:v>62.64</c:v>
                </c:pt>
                <c:pt idx="4">
                  <c:v>62.64</c:v>
                </c:pt>
                <c:pt idx="5">
                  <c:v>62.64</c:v>
                </c:pt>
                <c:pt idx="6">
                  <c:v>62.64</c:v>
                </c:pt>
                <c:pt idx="7">
                  <c:v>62.64</c:v>
                </c:pt>
                <c:pt idx="8">
                  <c:v>62.64</c:v>
                </c:pt>
                <c:pt idx="9">
                  <c:v>62.64</c:v>
                </c:pt>
                <c:pt idx="10">
                  <c:v>62.64</c:v>
                </c:pt>
                <c:pt idx="11">
                  <c:v>62.64</c:v>
                </c:pt>
                <c:pt idx="12">
                  <c:v>62.64</c:v>
                </c:pt>
                <c:pt idx="13">
                  <c:v>62.64</c:v>
                </c:pt>
                <c:pt idx="14">
                  <c:v>62.64</c:v>
                </c:pt>
                <c:pt idx="15">
                  <c:v>62.64</c:v>
                </c:pt>
                <c:pt idx="16">
                  <c:v>62.64</c:v>
                </c:pt>
                <c:pt idx="17">
                  <c:v>62.64</c:v>
                </c:pt>
                <c:pt idx="18">
                  <c:v>62.64</c:v>
                </c:pt>
                <c:pt idx="19">
                  <c:v>62.64</c:v>
                </c:pt>
                <c:pt idx="20">
                  <c:v>62.64</c:v>
                </c:pt>
                <c:pt idx="21">
                  <c:v>62.64</c:v>
                </c:pt>
                <c:pt idx="22">
                  <c:v>62.64</c:v>
                </c:pt>
                <c:pt idx="23">
                  <c:v>62.64</c:v>
                </c:pt>
                <c:pt idx="24">
                  <c:v>62.64</c:v>
                </c:pt>
                <c:pt idx="25">
                  <c:v>62.64</c:v>
                </c:pt>
                <c:pt idx="26">
                  <c:v>62.64</c:v>
                </c:pt>
                <c:pt idx="27">
                  <c:v>62.64</c:v>
                </c:pt>
                <c:pt idx="28">
                  <c:v>62.64</c:v>
                </c:pt>
                <c:pt idx="29">
                  <c:v>62.64</c:v>
                </c:pt>
                <c:pt idx="30">
                  <c:v>62.64</c:v>
                </c:pt>
              </c:numCache>
            </c:numRef>
          </c:val>
          <c:smooth val="0"/>
          <c:extLst>
            <c:ext xmlns:c16="http://schemas.microsoft.com/office/drawing/2014/chart" uri="{C3380CC4-5D6E-409C-BE32-E72D297353CC}">
              <c16:uniqueId val="{00000001-347C-4249-AB34-A5532D6F20FF}"/>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7C-4249-AB34-A5532D6F20FF}"/>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0.45600000000000002</c:v>
                      </c:pt>
                      <c:pt idx="1">
                        <c:v>0.45600000000000002</c:v>
                      </c:pt>
                      <c:pt idx="2">
                        <c:v>0.45600000000000002</c:v>
                      </c:pt>
                      <c:pt idx="3">
                        <c:v>0.45600000000000002</c:v>
                      </c:pt>
                      <c:pt idx="4">
                        <c:v>0.45600000000000002</c:v>
                      </c:pt>
                      <c:pt idx="5">
                        <c:v>0.45600000000000002</c:v>
                      </c:pt>
                      <c:pt idx="6">
                        <c:v>0.45600000000000002</c:v>
                      </c:pt>
                      <c:pt idx="7">
                        <c:v>0.45600000000000002</c:v>
                      </c:pt>
                      <c:pt idx="8">
                        <c:v>0.45600000000000002</c:v>
                      </c:pt>
                      <c:pt idx="9">
                        <c:v>0.45600000000000002</c:v>
                      </c:pt>
                      <c:pt idx="10">
                        <c:v>0.45600000000000002</c:v>
                      </c:pt>
                      <c:pt idx="11">
                        <c:v>0.45600000000000002</c:v>
                      </c:pt>
                      <c:pt idx="12">
                        <c:v>0.45600000000000002</c:v>
                      </c:pt>
                      <c:pt idx="13">
                        <c:v>0.45600000000000002</c:v>
                      </c:pt>
                      <c:pt idx="14">
                        <c:v>0.45600000000000002</c:v>
                      </c:pt>
                      <c:pt idx="15">
                        <c:v>0.45600000000000002</c:v>
                      </c:pt>
                      <c:pt idx="16">
                        <c:v>0.45600000000000002</c:v>
                      </c:pt>
                      <c:pt idx="17">
                        <c:v>0.45600000000000002</c:v>
                      </c:pt>
                      <c:pt idx="18">
                        <c:v>0.45600000000000002</c:v>
                      </c:pt>
                      <c:pt idx="19">
                        <c:v>0.45600000000000002</c:v>
                      </c:pt>
                      <c:pt idx="20">
                        <c:v>0.45600000000000002</c:v>
                      </c:pt>
                      <c:pt idx="21">
                        <c:v>0.45600000000000002</c:v>
                      </c:pt>
                      <c:pt idx="22">
                        <c:v>0.45600000000000002</c:v>
                      </c:pt>
                      <c:pt idx="23">
                        <c:v>0.45600000000000002</c:v>
                      </c:pt>
                      <c:pt idx="24">
                        <c:v>0.45600000000000002</c:v>
                      </c:pt>
                      <c:pt idx="25">
                        <c:v>0.45600000000000002</c:v>
                      </c:pt>
                      <c:pt idx="26">
                        <c:v>0.45600000000000002</c:v>
                      </c:pt>
                      <c:pt idx="27">
                        <c:v>0.45600000000000002</c:v>
                      </c:pt>
                      <c:pt idx="28">
                        <c:v>0.45600000000000002</c:v>
                      </c:pt>
                      <c:pt idx="29">
                        <c:v>0.45600000000000002</c:v>
                      </c:pt>
                      <c:pt idx="30">
                        <c:v>0.45600000000000002</c:v>
                      </c:pt>
                    </c:numCache>
                  </c:numRef>
                </c:val>
                <c:extLst>
                  <c:ext xmlns:c16="http://schemas.microsoft.com/office/drawing/2014/chart" uri="{C3380CC4-5D6E-409C-BE32-E72D297353CC}">
                    <c16:uniqueId val="{00000006-9433-4D81-A403-1B00E36C8D68}"/>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pt idx="15">
                  <c:v>0.625</c:v>
                </c:pt>
                <c:pt idx="16">
                  <c:v>0.43478260869565216</c:v>
                </c:pt>
                <c:pt idx="17">
                  <c:v>0.5</c:v>
                </c:pt>
                <c:pt idx="18">
                  <c:v>0.47826086956521746</c:v>
                </c:pt>
                <c:pt idx="19">
                  <c:v>0.45833333333333326</c:v>
                </c:pt>
              </c:numCache>
            </c:numRef>
          </c:val>
          <c:extLst>
            <c:ext xmlns:c16="http://schemas.microsoft.com/office/drawing/2014/chart" uri="{C3380CC4-5D6E-409C-BE32-E72D297353CC}">
              <c16:uniqueId val="{00000000-9433-4D81-A403-1B00E36C8D68}"/>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pt idx="15">
                  <c:v>0</c:v>
                </c:pt>
                <c:pt idx="16">
                  <c:v>0</c:v>
                </c:pt>
                <c:pt idx="17">
                  <c:v>4.1666666666666664E-2</c:v>
                </c:pt>
                <c:pt idx="18">
                  <c:v>0</c:v>
                </c:pt>
                <c:pt idx="19">
                  <c:v>0</c:v>
                </c:pt>
              </c:numCache>
            </c:numRef>
          </c:val>
          <c:extLst>
            <c:ext xmlns:c16="http://schemas.microsoft.com/office/drawing/2014/chart" uri="{C3380CC4-5D6E-409C-BE32-E72D297353CC}">
              <c16:uniqueId val="{00000001-9433-4D81-A403-1B00E36C8D68}"/>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pt idx="15">
                  <c:v>0.25</c:v>
                </c:pt>
                <c:pt idx="16">
                  <c:v>0.34782608695652173</c:v>
                </c:pt>
                <c:pt idx="17">
                  <c:v>0.375</c:v>
                </c:pt>
                <c:pt idx="18">
                  <c:v>0.47826086956521746</c:v>
                </c:pt>
                <c:pt idx="19">
                  <c:v>0.5</c:v>
                </c:pt>
              </c:numCache>
            </c:numRef>
          </c:val>
          <c:extLst>
            <c:ext xmlns:c16="http://schemas.microsoft.com/office/drawing/2014/chart" uri="{C3380CC4-5D6E-409C-BE32-E72D297353CC}">
              <c16:uniqueId val="{00000002-9433-4D81-A403-1B00E36C8D68}"/>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433-4D81-A403-1B00E36C8D68}"/>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63.418999999999997</c:v>
                </c:pt>
                <c:pt idx="1">
                  <c:v>63.418999999999997</c:v>
                </c:pt>
                <c:pt idx="2">
                  <c:v>63.418999999999997</c:v>
                </c:pt>
                <c:pt idx="3">
                  <c:v>63.418999999999997</c:v>
                </c:pt>
                <c:pt idx="4">
                  <c:v>63.418999999999997</c:v>
                </c:pt>
                <c:pt idx="5">
                  <c:v>63.418999999999997</c:v>
                </c:pt>
                <c:pt idx="6">
                  <c:v>63.418999999999997</c:v>
                </c:pt>
                <c:pt idx="7">
                  <c:v>63.418999999999997</c:v>
                </c:pt>
                <c:pt idx="8">
                  <c:v>63.418999999999997</c:v>
                </c:pt>
                <c:pt idx="9">
                  <c:v>63.418999999999997</c:v>
                </c:pt>
                <c:pt idx="10">
                  <c:v>63.418999999999997</c:v>
                </c:pt>
                <c:pt idx="11">
                  <c:v>63.418999999999997</c:v>
                </c:pt>
                <c:pt idx="12">
                  <c:v>63.418999999999997</c:v>
                </c:pt>
                <c:pt idx="13">
                  <c:v>63.418999999999997</c:v>
                </c:pt>
                <c:pt idx="14">
                  <c:v>63.418999999999997</c:v>
                </c:pt>
                <c:pt idx="15">
                  <c:v>63.418999999999997</c:v>
                </c:pt>
                <c:pt idx="16">
                  <c:v>63.418999999999997</c:v>
                </c:pt>
                <c:pt idx="17">
                  <c:v>63.418999999999997</c:v>
                </c:pt>
                <c:pt idx="18">
                  <c:v>63.418999999999997</c:v>
                </c:pt>
                <c:pt idx="19">
                  <c:v>63.418999999999997</c:v>
                </c:pt>
                <c:pt idx="20">
                  <c:v>63.418999999999997</c:v>
                </c:pt>
                <c:pt idx="21">
                  <c:v>63.418999999999997</c:v>
                </c:pt>
                <c:pt idx="22">
                  <c:v>63.418999999999997</c:v>
                </c:pt>
                <c:pt idx="23">
                  <c:v>63.418999999999997</c:v>
                </c:pt>
                <c:pt idx="24">
                  <c:v>63.418999999999997</c:v>
                </c:pt>
                <c:pt idx="25">
                  <c:v>63.418999999999997</c:v>
                </c:pt>
                <c:pt idx="26">
                  <c:v>63.418999999999997</c:v>
                </c:pt>
                <c:pt idx="27">
                  <c:v>63.418999999999997</c:v>
                </c:pt>
                <c:pt idx="28">
                  <c:v>63.418999999999997</c:v>
                </c:pt>
                <c:pt idx="29">
                  <c:v>63.418999999999997</c:v>
                </c:pt>
                <c:pt idx="30">
                  <c:v>63.418999999999997</c:v>
                </c:pt>
              </c:numCache>
            </c:numRef>
          </c:val>
          <c:smooth val="0"/>
          <c:extLst>
            <c:ext xmlns:c16="http://schemas.microsoft.com/office/drawing/2014/chart" uri="{C3380CC4-5D6E-409C-BE32-E72D297353CC}">
              <c16:uniqueId val="{00000003-9433-4D81-A403-1B00E36C8D68}"/>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pt idx="15">
                  <c:v>48.837083333333332</c:v>
                </c:pt>
                <c:pt idx="16">
                  <c:v>51.250416666666666</c:v>
                </c:pt>
                <c:pt idx="17">
                  <c:v>51.98749999999999</c:v>
                </c:pt>
                <c:pt idx="18">
                  <c:v>48.707916666666669</c:v>
                </c:pt>
                <c:pt idx="19">
                  <c:v>44.662916666666661</c:v>
                </c:pt>
              </c:numCache>
            </c:numRef>
          </c:val>
          <c:smooth val="0"/>
          <c:extLst>
            <c:ext xmlns:c16="http://schemas.microsoft.com/office/drawing/2014/chart" uri="{C3380CC4-5D6E-409C-BE32-E72D297353CC}">
              <c16:uniqueId val="{00000004-9433-4D81-A403-1B00E36C8D68}"/>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0.04</c:v>
                      </c:pt>
                      <c:pt idx="1">
                        <c:v>3.6999999999999998E-2</c:v>
                      </c:pt>
                      <c:pt idx="2">
                        <c:v>3.5000000000000003E-2</c:v>
                      </c:pt>
                      <c:pt idx="3">
                        <c:v>3.4000000000000002E-2</c:v>
                      </c:pt>
                      <c:pt idx="4">
                        <c:v>3.5999999999999997E-2</c:v>
                      </c:pt>
                      <c:pt idx="5">
                        <c:v>3.9E-2</c:v>
                      </c:pt>
                      <c:pt idx="6">
                        <c:v>4.2000000000000003E-2</c:v>
                      </c:pt>
                      <c:pt idx="7">
                        <c:v>4.4999999999999998E-2</c:v>
                      </c:pt>
                      <c:pt idx="8">
                        <c:v>4.9000000000000002E-2</c:v>
                      </c:pt>
                      <c:pt idx="9">
                        <c:v>5.2999999999999999E-2</c:v>
                      </c:pt>
                      <c:pt idx="10">
                        <c:v>4.2000000000000003E-2</c:v>
                      </c:pt>
                      <c:pt idx="11">
                        <c:v>3.2000000000000001E-2</c:v>
                      </c:pt>
                      <c:pt idx="12">
                        <c:v>3.5999999999999997E-2</c:v>
                      </c:pt>
                      <c:pt idx="13">
                        <c:v>3.5999999999999997E-2</c:v>
                      </c:pt>
                      <c:pt idx="14">
                        <c:v>1.4E-2</c:v>
                      </c:pt>
                      <c:pt idx="15">
                        <c:v>8.0000000000000002E-3</c:v>
                      </c:pt>
                      <c:pt idx="16">
                        <c:v>0.01</c:v>
                      </c:pt>
                      <c:pt idx="17">
                        <c:v>1.4E-2</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9433-4D81-A403-1B00E36C8D68}"/>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0.41</c:v>
                      </c:pt>
                      <c:pt idx="1">
                        <c:v>0.40100000000000002</c:v>
                      </c:pt>
                      <c:pt idx="2">
                        <c:v>0.39800000000000002</c:v>
                      </c:pt>
                      <c:pt idx="3">
                        <c:v>0.39900000000000002</c:v>
                      </c:pt>
                      <c:pt idx="4">
                        <c:v>0.38800000000000001</c:v>
                      </c:pt>
                      <c:pt idx="5">
                        <c:v>0.38300000000000001</c:v>
                      </c:pt>
                      <c:pt idx="6">
                        <c:v>0.38</c:v>
                      </c:pt>
                      <c:pt idx="7">
                        <c:v>0.378</c:v>
                      </c:pt>
                      <c:pt idx="8">
                        <c:v>0.38800000000000001</c:v>
                      </c:pt>
                      <c:pt idx="9">
                        <c:v>0.39300000000000002</c:v>
                      </c:pt>
                      <c:pt idx="10">
                        <c:v>0.41199999999999998</c:v>
                      </c:pt>
                      <c:pt idx="11">
                        <c:v>0.40699999999999997</c:v>
                      </c:pt>
                      <c:pt idx="12">
                        <c:v>0.4</c:v>
                      </c:pt>
                      <c:pt idx="13">
                        <c:v>0.41599999999999998</c:v>
                      </c:pt>
                      <c:pt idx="14">
                        <c:v>0.40899999999999997</c:v>
                      </c:pt>
                      <c:pt idx="15">
                        <c:v>0.39</c:v>
                      </c:pt>
                      <c:pt idx="16">
                        <c:v>0.42499999999999999</c:v>
                      </c:pt>
                      <c:pt idx="17">
                        <c:v>0.45100000000000001</c:v>
                      </c:pt>
                      <c:pt idx="18">
                        <c:v>0.48899999999999999</c:v>
                      </c:pt>
                      <c:pt idx="19">
                        <c:v>0.5</c:v>
                      </c:pt>
                      <c:pt idx="20">
                        <c:v>0.5</c:v>
                      </c:pt>
                      <c:pt idx="21">
                        <c:v>0.5</c:v>
                      </c:pt>
                      <c:pt idx="22">
                        <c:v>0.5</c:v>
                      </c:pt>
                      <c:pt idx="23">
                        <c:v>0.5</c:v>
                      </c:pt>
                      <c:pt idx="24">
                        <c:v>0.5</c:v>
                      </c:pt>
                      <c:pt idx="25">
                        <c:v>0.5</c:v>
                      </c:pt>
                      <c:pt idx="26">
                        <c:v>0.5</c:v>
                      </c:pt>
                      <c:pt idx="27">
                        <c:v>0.5</c:v>
                      </c:pt>
                      <c:pt idx="28">
                        <c:v>0.5</c:v>
                      </c:pt>
                      <c:pt idx="29">
                        <c:v>0.5</c:v>
                      </c:pt>
                      <c:pt idx="30">
                        <c:v>0.5</c:v>
                      </c:pt>
                    </c:numCache>
                  </c:numRef>
                </c:val>
                <c:smooth val="0"/>
                <c:extLst xmlns:c15="http://schemas.microsoft.com/office/drawing/2012/chart">
                  <c:ext xmlns:c16="http://schemas.microsoft.com/office/drawing/2014/chart" uri="{C3380CC4-5D6E-409C-BE32-E72D297353CC}">
                    <c16:uniqueId val="{00000008-9433-4D81-A403-1B00E36C8D68}"/>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numCache>
                  </c:numRef>
                </c:val>
                <c:smooth val="0"/>
                <c:extLst xmlns:c15="http://schemas.microsoft.com/office/drawing/2012/chart">
                  <c:ext xmlns:c16="http://schemas.microsoft.com/office/drawing/2014/chart" uri="{C3380CC4-5D6E-409C-BE32-E72D297353CC}">
                    <c16:uniqueId val="{00000009-9433-4D81-A403-1B00E36C8D68}"/>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32.772666666666666</c:v>
                      </c:pt>
                      <c:pt idx="16">
                        <c:v>19.145999999999997</c:v>
                      </c:pt>
                      <c:pt idx="17">
                        <c:v>25.685833333333335</c:v>
                      </c:pt>
                      <c:pt idx="18">
                        <c:v>30.633636363636366</c:v>
                      </c:pt>
                      <c:pt idx="19">
                        <c:v>22.784545454545452</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9433-4D81-A403-1B00E36C8D68}"/>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48.28</c:v>
                      </c:pt>
                      <c:pt idx="1">
                        <c:v>48.28</c:v>
                      </c:pt>
                      <c:pt idx="2">
                        <c:v>48.28</c:v>
                      </c:pt>
                      <c:pt idx="3">
                        <c:v>48.28</c:v>
                      </c:pt>
                      <c:pt idx="4">
                        <c:v>48.28</c:v>
                      </c:pt>
                      <c:pt idx="5">
                        <c:v>48.28</c:v>
                      </c:pt>
                      <c:pt idx="6">
                        <c:v>48.28</c:v>
                      </c:pt>
                      <c:pt idx="7">
                        <c:v>48.28</c:v>
                      </c:pt>
                      <c:pt idx="8">
                        <c:v>48.28</c:v>
                      </c:pt>
                      <c:pt idx="9">
                        <c:v>48.28</c:v>
                      </c:pt>
                      <c:pt idx="10">
                        <c:v>48.28</c:v>
                      </c:pt>
                      <c:pt idx="11">
                        <c:v>48.28</c:v>
                      </c:pt>
                      <c:pt idx="12">
                        <c:v>48.28</c:v>
                      </c:pt>
                      <c:pt idx="13">
                        <c:v>48.28</c:v>
                      </c:pt>
                      <c:pt idx="14">
                        <c:v>48.28</c:v>
                      </c:pt>
                      <c:pt idx="15">
                        <c:v>48.28</c:v>
                      </c:pt>
                      <c:pt idx="16">
                        <c:v>48.28</c:v>
                      </c:pt>
                      <c:pt idx="17">
                        <c:v>48.28</c:v>
                      </c:pt>
                      <c:pt idx="18">
                        <c:v>48.28</c:v>
                      </c:pt>
                      <c:pt idx="19">
                        <c:v>48.28</c:v>
                      </c:pt>
                      <c:pt idx="20">
                        <c:v>48.28</c:v>
                      </c:pt>
                      <c:pt idx="21">
                        <c:v>48.28</c:v>
                      </c:pt>
                      <c:pt idx="22">
                        <c:v>48.28</c:v>
                      </c:pt>
                      <c:pt idx="23">
                        <c:v>48.28</c:v>
                      </c:pt>
                      <c:pt idx="24">
                        <c:v>48.28</c:v>
                      </c:pt>
                      <c:pt idx="25">
                        <c:v>48.28</c:v>
                      </c:pt>
                      <c:pt idx="26">
                        <c:v>48.28</c:v>
                      </c:pt>
                      <c:pt idx="27">
                        <c:v>48.28</c:v>
                      </c:pt>
                      <c:pt idx="28">
                        <c:v>48.28</c:v>
                      </c:pt>
                      <c:pt idx="29">
                        <c:v>48.28</c:v>
                      </c:pt>
                      <c:pt idx="30">
                        <c:v>48.28</c:v>
                      </c:pt>
                    </c:numCache>
                  </c:numRef>
                </c:val>
                <c:smooth val="0"/>
                <c:extLst xmlns:c15="http://schemas.microsoft.com/office/drawing/2012/chart">
                  <c:ext xmlns:c16="http://schemas.microsoft.com/office/drawing/2014/chart" uri="{C3380CC4-5D6E-409C-BE32-E72D297353CC}">
                    <c16:uniqueId val="{0000000B-9433-4D81-A403-1B00E36C8D68}"/>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109.56</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9433-4D81-A403-1B00E36C8D68}"/>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54.177</c:v>
                      </c:pt>
                      <c:pt idx="1">
                        <c:v>54.177</c:v>
                      </c:pt>
                      <c:pt idx="2">
                        <c:v>54.177</c:v>
                      </c:pt>
                      <c:pt idx="3">
                        <c:v>54.177</c:v>
                      </c:pt>
                      <c:pt idx="4">
                        <c:v>54.177</c:v>
                      </c:pt>
                      <c:pt idx="5">
                        <c:v>54.177</c:v>
                      </c:pt>
                      <c:pt idx="6">
                        <c:v>54.177</c:v>
                      </c:pt>
                      <c:pt idx="7">
                        <c:v>54.177</c:v>
                      </c:pt>
                      <c:pt idx="8">
                        <c:v>54.177</c:v>
                      </c:pt>
                      <c:pt idx="9">
                        <c:v>54.177</c:v>
                      </c:pt>
                      <c:pt idx="10">
                        <c:v>54.177</c:v>
                      </c:pt>
                      <c:pt idx="11">
                        <c:v>54.177</c:v>
                      </c:pt>
                      <c:pt idx="12">
                        <c:v>54.177</c:v>
                      </c:pt>
                      <c:pt idx="13">
                        <c:v>54.177</c:v>
                      </c:pt>
                      <c:pt idx="14">
                        <c:v>54.177</c:v>
                      </c:pt>
                      <c:pt idx="15">
                        <c:v>54.177</c:v>
                      </c:pt>
                      <c:pt idx="16">
                        <c:v>54.177</c:v>
                      </c:pt>
                      <c:pt idx="17">
                        <c:v>54.177</c:v>
                      </c:pt>
                      <c:pt idx="18">
                        <c:v>54.177</c:v>
                      </c:pt>
                      <c:pt idx="19">
                        <c:v>54.177</c:v>
                      </c:pt>
                      <c:pt idx="20">
                        <c:v>54.177</c:v>
                      </c:pt>
                      <c:pt idx="21">
                        <c:v>54.177</c:v>
                      </c:pt>
                      <c:pt idx="22">
                        <c:v>54.177</c:v>
                      </c:pt>
                      <c:pt idx="23">
                        <c:v>54.177</c:v>
                      </c:pt>
                      <c:pt idx="24">
                        <c:v>54.177</c:v>
                      </c:pt>
                      <c:pt idx="25">
                        <c:v>54.177</c:v>
                      </c:pt>
                      <c:pt idx="26">
                        <c:v>54.177</c:v>
                      </c:pt>
                      <c:pt idx="27">
                        <c:v>54.177</c:v>
                      </c:pt>
                      <c:pt idx="28">
                        <c:v>54.177</c:v>
                      </c:pt>
                      <c:pt idx="29">
                        <c:v>54.177</c:v>
                      </c:pt>
                      <c:pt idx="30">
                        <c:v>54.177</c:v>
                      </c:pt>
                    </c:numCache>
                  </c:numRef>
                </c:val>
                <c:smooth val="0"/>
                <c:extLst xmlns:c15="http://schemas.microsoft.com/office/drawing/2012/chart">
                  <c:ext xmlns:c16="http://schemas.microsoft.com/office/drawing/2014/chart" uri="{C3380CC4-5D6E-409C-BE32-E72D297353CC}">
                    <c16:uniqueId val="{0000000D-9433-4D81-A403-1B00E36C8D68}"/>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70.668333333333322</c:v>
                      </c:pt>
                      <c:pt idx="16">
                        <c:v>76.097499999999997</c:v>
                      </c:pt>
                      <c:pt idx="17">
                        <c:v>75.545555555555552</c:v>
                      </c:pt>
                      <c:pt idx="18">
                        <c:v>63.365454545454547</c:v>
                      </c:pt>
                      <c:pt idx="19">
                        <c:v>64.69</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9433-4D81-A403-1B00E36C8D68}"/>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75.311000000000007</c:v>
                      </c:pt>
                      <c:pt idx="1">
                        <c:v>75.311000000000007</c:v>
                      </c:pt>
                      <c:pt idx="2">
                        <c:v>75.311000000000007</c:v>
                      </c:pt>
                      <c:pt idx="3">
                        <c:v>75.311000000000007</c:v>
                      </c:pt>
                      <c:pt idx="4">
                        <c:v>75.311000000000007</c:v>
                      </c:pt>
                      <c:pt idx="5">
                        <c:v>75.311000000000007</c:v>
                      </c:pt>
                      <c:pt idx="6">
                        <c:v>75.311000000000007</c:v>
                      </c:pt>
                      <c:pt idx="7">
                        <c:v>75.311000000000007</c:v>
                      </c:pt>
                      <c:pt idx="8">
                        <c:v>75.311000000000007</c:v>
                      </c:pt>
                      <c:pt idx="9">
                        <c:v>75.311000000000007</c:v>
                      </c:pt>
                      <c:pt idx="10">
                        <c:v>75.311000000000007</c:v>
                      </c:pt>
                      <c:pt idx="11">
                        <c:v>75.311000000000007</c:v>
                      </c:pt>
                      <c:pt idx="12">
                        <c:v>75.311000000000007</c:v>
                      </c:pt>
                      <c:pt idx="13">
                        <c:v>75.311000000000007</c:v>
                      </c:pt>
                      <c:pt idx="14">
                        <c:v>75.311000000000007</c:v>
                      </c:pt>
                      <c:pt idx="15">
                        <c:v>75.311000000000007</c:v>
                      </c:pt>
                      <c:pt idx="16">
                        <c:v>75.311000000000007</c:v>
                      </c:pt>
                      <c:pt idx="17">
                        <c:v>75.311000000000007</c:v>
                      </c:pt>
                      <c:pt idx="18">
                        <c:v>75.311000000000007</c:v>
                      </c:pt>
                      <c:pt idx="19">
                        <c:v>75.311000000000007</c:v>
                      </c:pt>
                      <c:pt idx="20">
                        <c:v>75.311000000000007</c:v>
                      </c:pt>
                      <c:pt idx="21">
                        <c:v>75.311000000000007</c:v>
                      </c:pt>
                      <c:pt idx="22">
                        <c:v>75.311000000000007</c:v>
                      </c:pt>
                      <c:pt idx="23">
                        <c:v>75.311000000000007</c:v>
                      </c:pt>
                      <c:pt idx="24">
                        <c:v>75.311000000000007</c:v>
                      </c:pt>
                      <c:pt idx="25">
                        <c:v>75.311000000000007</c:v>
                      </c:pt>
                      <c:pt idx="26">
                        <c:v>75.311000000000007</c:v>
                      </c:pt>
                      <c:pt idx="27">
                        <c:v>75.311000000000007</c:v>
                      </c:pt>
                      <c:pt idx="28">
                        <c:v>75.311000000000007</c:v>
                      </c:pt>
                      <c:pt idx="29">
                        <c:v>75.311000000000007</c:v>
                      </c:pt>
                      <c:pt idx="30">
                        <c:v>75.311000000000007</c:v>
                      </c:pt>
                    </c:numCache>
                  </c:numRef>
                </c:val>
                <c:smooth val="0"/>
                <c:extLst xmlns:c15="http://schemas.microsoft.com/office/drawing/2012/chart">
                  <c:ext xmlns:c16="http://schemas.microsoft.com/office/drawing/2014/chart" uri="{C3380CC4-5D6E-409C-BE32-E72D297353CC}">
                    <c16:uniqueId val="{0000000F-9433-4D81-A403-1B00E36C8D68}"/>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pt idx="20">
                        <c:v>546.79999999999995</c:v>
                      </c:pt>
                      <c:pt idx="21">
                        <c:v>546.79999999999995</c:v>
                      </c:pt>
                      <c:pt idx="22">
                        <c:v>546.79999999999995</c:v>
                      </c:pt>
                      <c:pt idx="23">
                        <c:v>546.79999999999995</c:v>
                      </c:pt>
                      <c:pt idx="24">
                        <c:v>546.79999999999995</c:v>
                      </c:pt>
                      <c:pt idx="25">
                        <c:v>546.79999999999995</c:v>
                      </c:pt>
                      <c:pt idx="26">
                        <c:v>546.79999999999995</c:v>
                      </c:pt>
                      <c:pt idx="27">
                        <c:v>546.79999999999995</c:v>
                      </c:pt>
                      <c:pt idx="28">
                        <c:v>546.79999999999995</c:v>
                      </c:pt>
                      <c:pt idx="29">
                        <c:v>546.79999999999995</c:v>
                      </c:pt>
                      <c:pt idx="30">
                        <c:v>546.79999999999995</c:v>
                      </c:pt>
                    </c:numCache>
                  </c:numRef>
                </c:val>
                <c:smooth val="0"/>
                <c:extLst xmlns:c15="http://schemas.microsoft.com/office/drawing/2012/chart">
                  <c:ext xmlns:c16="http://schemas.microsoft.com/office/drawing/2014/chart" uri="{C3380CC4-5D6E-409C-BE32-E72D297353CC}">
                    <c16:uniqueId val="{00000010-9433-4D81-A403-1B00E36C8D68}"/>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9A88-457B-8508-AAC9FED2876C}"/>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9A88-457B-8508-AAC9FED2876C}"/>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9A88-457B-8508-AAC9FED2876C}"/>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9A88-457B-8508-AAC9FED2876C}"/>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9A88-457B-8508-AAC9FED2876C}"/>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9A88-457B-8508-AAC9FED2876C}"/>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9A88-457B-8508-AAC9FED2876C}"/>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9A88-457B-8508-AAC9FED2876C}"/>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9A88-457B-8508-AAC9FED2876C}"/>
              </c:ext>
            </c:extLst>
          </c:dPt>
          <c:dPt>
            <c:idx val="9"/>
            <c:bubble3D val="0"/>
            <c:spPr>
              <a:noFill/>
              <a:ln w="19050">
                <a:noFill/>
              </a:ln>
              <a:effectLst/>
            </c:spPr>
            <c:extLst>
              <c:ext xmlns:c16="http://schemas.microsoft.com/office/drawing/2014/chart" uri="{C3380CC4-5D6E-409C-BE32-E72D297353CC}">
                <c16:uniqueId val="{00000013-9A88-457B-8508-AAC9FED2876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9A88-457B-8508-AAC9FED2876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9A88-457B-8508-AAC9FED2876C}"/>
              </c:ext>
            </c:extLst>
          </c:dPt>
          <c:xVal>
            <c:numRef>
              <c:f>[1]omie_dinamic_dia!$X$11:$X$12</c:f>
              <c:numCache>
                <c:formatCode>General</c:formatCode>
                <c:ptCount val="2"/>
                <c:pt idx="0">
                  <c:v>0</c:v>
                </c:pt>
                <c:pt idx="1">
                  <c:v>0.96202767158608593</c:v>
                </c:pt>
              </c:numCache>
            </c:numRef>
          </c:xVal>
          <c:yVal>
            <c:numRef>
              <c:f>[1]omie_dinamic_dia!$Y$11:$Y$12</c:f>
              <c:numCache>
                <c:formatCode>General</c:formatCode>
                <c:ptCount val="2"/>
                <c:pt idx="0">
                  <c:v>0</c:v>
                </c:pt>
                <c:pt idx="1">
                  <c:v>0.27295193551732505</c:v>
                </c:pt>
              </c:numCache>
            </c:numRef>
          </c:yVal>
          <c:smooth val="1"/>
          <c:extLst>
            <c:ext xmlns:c16="http://schemas.microsoft.com/office/drawing/2014/chart" uri="{C3380CC4-5D6E-409C-BE32-E72D297353CC}">
              <c16:uniqueId val="{00000017-9A88-457B-8508-AAC9FED2876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1652-4CCE-9EC8-081485AC5E63}"/>
              </c:ext>
            </c:extLst>
          </c:dPt>
          <c:dPt>
            <c:idx val="1"/>
            <c:bubble3D val="0"/>
            <c:spPr>
              <a:solidFill>
                <a:schemeClr val="accent2">
                  <a:lumMod val="20000"/>
                  <a:lumOff val="80000"/>
                </a:schemeClr>
              </a:solidFill>
            </c:spPr>
            <c:extLst>
              <c:ext xmlns:c16="http://schemas.microsoft.com/office/drawing/2014/chart" uri="{C3380CC4-5D6E-409C-BE32-E72D297353CC}">
                <c16:uniqueId val="{00000003-1652-4CCE-9EC8-081485AC5E63}"/>
              </c:ext>
            </c:extLst>
          </c:dPt>
          <c:dPt>
            <c:idx val="2"/>
            <c:bubble3D val="0"/>
            <c:spPr>
              <a:solidFill>
                <a:schemeClr val="accent2">
                  <a:lumMod val="40000"/>
                  <a:lumOff val="60000"/>
                </a:schemeClr>
              </a:solidFill>
            </c:spPr>
            <c:extLst>
              <c:ext xmlns:c16="http://schemas.microsoft.com/office/drawing/2014/chart" uri="{C3380CC4-5D6E-409C-BE32-E72D297353CC}">
                <c16:uniqueId val="{00000005-1652-4CCE-9EC8-081485AC5E63}"/>
              </c:ext>
            </c:extLst>
          </c:dPt>
          <c:dPt>
            <c:idx val="3"/>
            <c:bubble3D val="0"/>
            <c:spPr>
              <a:solidFill>
                <a:schemeClr val="accent2">
                  <a:lumMod val="40000"/>
                  <a:lumOff val="60000"/>
                </a:schemeClr>
              </a:solidFill>
            </c:spPr>
            <c:extLst>
              <c:ext xmlns:c16="http://schemas.microsoft.com/office/drawing/2014/chart" uri="{C3380CC4-5D6E-409C-BE32-E72D297353CC}">
                <c16:uniqueId val="{00000007-1652-4CCE-9EC8-081485AC5E63}"/>
              </c:ext>
            </c:extLst>
          </c:dPt>
          <c:dPt>
            <c:idx val="4"/>
            <c:bubble3D val="0"/>
            <c:spPr>
              <a:solidFill>
                <a:schemeClr val="accent2">
                  <a:lumMod val="60000"/>
                  <a:lumOff val="40000"/>
                </a:schemeClr>
              </a:solidFill>
            </c:spPr>
            <c:extLst>
              <c:ext xmlns:c16="http://schemas.microsoft.com/office/drawing/2014/chart" uri="{C3380CC4-5D6E-409C-BE32-E72D297353CC}">
                <c16:uniqueId val="{00000009-1652-4CCE-9EC8-081485AC5E63}"/>
              </c:ext>
            </c:extLst>
          </c:dPt>
          <c:dPt>
            <c:idx val="5"/>
            <c:bubble3D val="0"/>
            <c:spPr>
              <a:solidFill>
                <a:schemeClr val="accent2">
                  <a:lumMod val="60000"/>
                  <a:lumOff val="40000"/>
                </a:schemeClr>
              </a:solidFill>
            </c:spPr>
            <c:extLst>
              <c:ext xmlns:c16="http://schemas.microsoft.com/office/drawing/2014/chart" uri="{C3380CC4-5D6E-409C-BE32-E72D297353CC}">
                <c16:uniqueId val="{0000000B-1652-4CCE-9EC8-081485AC5E63}"/>
              </c:ext>
            </c:extLst>
          </c:dPt>
          <c:dPt>
            <c:idx val="6"/>
            <c:bubble3D val="0"/>
            <c:spPr>
              <a:solidFill>
                <a:schemeClr val="accent2">
                  <a:lumMod val="75000"/>
                </a:schemeClr>
              </a:solidFill>
            </c:spPr>
            <c:extLst>
              <c:ext xmlns:c16="http://schemas.microsoft.com/office/drawing/2014/chart" uri="{C3380CC4-5D6E-409C-BE32-E72D297353CC}">
                <c16:uniqueId val="{0000000D-1652-4CCE-9EC8-081485AC5E63}"/>
              </c:ext>
            </c:extLst>
          </c:dPt>
          <c:dPt>
            <c:idx val="7"/>
            <c:bubble3D val="0"/>
            <c:spPr>
              <a:solidFill>
                <a:schemeClr val="accent2">
                  <a:lumMod val="75000"/>
                </a:schemeClr>
              </a:solidFill>
            </c:spPr>
            <c:extLst>
              <c:ext xmlns:c16="http://schemas.microsoft.com/office/drawing/2014/chart" uri="{C3380CC4-5D6E-409C-BE32-E72D297353CC}">
                <c16:uniqueId val="{0000000F-1652-4CCE-9EC8-081485AC5E63}"/>
              </c:ext>
            </c:extLst>
          </c:dPt>
          <c:dPt>
            <c:idx val="8"/>
            <c:bubble3D val="0"/>
            <c:spPr>
              <a:solidFill>
                <a:schemeClr val="accent2">
                  <a:lumMod val="50000"/>
                </a:schemeClr>
              </a:solidFill>
            </c:spPr>
            <c:extLst>
              <c:ext xmlns:c16="http://schemas.microsoft.com/office/drawing/2014/chart" uri="{C3380CC4-5D6E-409C-BE32-E72D297353CC}">
                <c16:uniqueId val="{00000011-1652-4CCE-9EC8-081485AC5E63}"/>
              </c:ext>
            </c:extLst>
          </c:dPt>
          <c:dPt>
            <c:idx val="9"/>
            <c:bubble3D val="0"/>
            <c:spPr>
              <a:noFill/>
            </c:spPr>
            <c:extLst>
              <c:ext xmlns:c16="http://schemas.microsoft.com/office/drawing/2014/chart" uri="{C3380CC4-5D6E-409C-BE32-E72D297353CC}">
                <c16:uniqueId val="{00000013-1652-4CCE-9EC8-081485AC5E6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52-4CCE-9EC8-081485AC5E6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-0.96858316112863108</c:v>
                </c:pt>
              </c:numCache>
            </c:numRef>
          </c:xVal>
          <c:yVal>
            <c:numRef>
              <c:f>[1]omie_dinamic_dia!$AC$20:$AC$21</c:f>
              <c:numCache>
                <c:formatCode>General</c:formatCode>
                <c:ptCount val="2"/>
                <c:pt idx="0">
                  <c:v>0</c:v>
                </c:pt>
                <c:pt idx="1">
                  <c:v>0.24868988716485479</c:v>
                </c:pt>
              </c:numCache>
            </c:numRef>
          </c:yVal>
          <c:smooth val="1"/>
          <c:extLst>
            <c:ext xmlns:c16="http://schemas.microsoft.com/office/drawing/2014/chart" uri="{C3380CC4-5D6E-409C-BE32-E72D297353CC}">
              <c16:uniqueId val="{00000015-1652-4CCE-9EC8-081485AC5E6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DF93-4CFE-B447-F3F79EE2BC03}"/>
              </c:ext>
            </c:extLst>
          </c:dPt>
          <c:dPt>
            <c:idx val="1"/>
            <c:bubble3D val="0"/>
            <c:spPr>
              <a:solidFill>
                <a:schemeClr val="accent1">
                  <a:lumMod val="20000"/>
                  <a:lumOff val="80000"/>
                </a:schemeClr>
              </a:solidFill>
            </c:spPr>
            <c:extLst>
              <c:ext xmlns:c16="http://schemas.microsoft.com/office/drawing/2014/chart" uri="{C3380CC4-5D6E-409C-BE32-E72D297353CC}">
                <c16:uniqueId val="{00000003-DF93-4CFE-B447-F3F79EE2BC03}"/>
              </c:ext>
            </c:extLst>
          </c:dPt>
          <c:dPt>
            <c:idx val="2"/>
            <c:bubble3D val="0"/>
            <c:spPr>
              <a:solidFill>
                <a:schemeClr val="accent1">
                  <a:lumMod val="40000"/>
                  <a:lumOff val="60000"/>
                </a:schemeClr>
              </a:solidFill>
            </c:spPr>
            <c:extLst>
              <c:ext xmlns:c16="http://schemas.microsoft.com/office/drawing/2014/chart" uri="{C3380CC4-5D6E-409C-BE32-E72D297353CC}">
                <c16:uniqueId val="{00000005-DF93-4CFE-B447-F3F79EE2BC03}"/>
              </c:ext>
            </c:extLst>
          </c:dPt>
          <c:dPt>
            <c:idx val="3"/>
            <c:bubble3D val="0"/>
            <c:spPr>
              <a:solidFill>
                <a:schemeClr val="accent1">
                  <a:lumMod val="40000"/>
                  <a:lumOff val="60000"/>
                </a:schemeClr>
              </a:solidFill>
            </c:spPr>
            <c:extLst>
              <c:ext xmlns:c16="http://schemas.microsoft.com/office/drawing/2014/chart" uri="{C3380CC4-5D6E-409C-BE32-E72D297353CC}">
                <c16:uniqueId val="{00000007-DF93-4CFE-B447-F3F79EE2BC03}"/>
              </c:ext>
            </c:extLst>
          </c:dPt>
          <c:dPt>
            <c:idx val="4"/>
            <c:bubble3D val="0"/>
            <c:spPr>
              <a:solidFill>
                <a:schemeClr val="accent1">
                  <a:lumMod val="60000"/>
                  <a:lumOff val="40000"/>
                </a:schemeClr>
              </a:solidFill>
            </c:spPr>
            <c:extLst>
              <c:ext xmlns:c16="http://schemas.microsoft.com/office/drawing/2014/chart" uri="{C3380CC4-5D6E-409C-BE32-E72D297353CC}">
                <c16:uniqueId val="{00000009-DF93-4CFE-B447-F3F79EE2BC03}"/>
              </c:ext>
            </c:extLst>
          </c:dPt>
          <c:dPt>
            <c:idx val="5"/>
            <c:bubble3D val="0"/>
            <c:spPr>
              <a:solidFill>
                <a:schemeClr val="accent1">
                  <a:lumMod val="60000"/>
                  <a:lumOff val="40000"/>
                </a:schemeClr>
              </a:solidFill>
            </c:spPr>
            <c:extLst>
              <c:ext xmlns:c16="http://schemas.microsoft.com/office/drawing/2014/chart" uri="{C3380CC4-5D6E-409C-BE32-E72D297353CC}">
                <c16:uniqueId val="{0000000B-DF93-4CFE-B447-F3F79EE2BC03}"/>
              </c:ext>
            </c:extLst>
          </c:dPt>
          <c:dPt>
            <c:idx val="6"/>
            <c:bubble3D val="0"/>
            <c:spPr>
              <a:solidFill>
                <a:schemeClr val="accent1">
                  <a:lumMod val="75000"/>
                </a:schemeClr>
              </a:solidFill>
            </c:spPr>
            <c:extLst>
              <c:ext xmlns:c16="http://schemas.microsoft.com/office/drawing/2014/chart" uri="{C3380CC4-5D6E-409C-BE32-E72D297353CC}">
                <c16:uniqueId val="{0000000D-DF93-4CFE-B447-F3F79EE2BC03}"/>
              </c:ext>
            </c:extLst>
          </c:dPt>
          <c:dPt>
            <c:idx val="7"/>
            <c:bubble3D val="0"/>
            <c:spPr>
              <a:solidFill>
                <a:schemeClr val="accent1">
                  <a:lumMod val="75000"/>
                </a:schemeClr>
              </a:solidFill>
            </c:spPr>
            <c:extLst>
              <c:ext xmlns:c16="http://schemas.microsoft.com/office/drawing/2014/chart" uri="{C3380CC4-5D6E-409C-BE32-E72D297353CC}">
                <c16:uniqueId val="{0000000F-DF93-4CFE-B447-F3F79EE2BC03}"/>
              </c:ext>
            </c:extLst>
          </c:dPt>
          <c:dPt>
            <c:idx val="8"/>
            <c:bubble3D val="0"/>
            <c:spPr>
              <a:solidFill>
                <a:schemeClr val="accent1">
                  <a:lumMod val="50000"/>
                </a:schemeClr>
              </a:solidFill>
            </c:spPr>
            <c:extLst>
              <c:ext xmlns:c16="http://schemas.microsoft.com/office/drawing/2014/chart" uri="{C3380CC4-5D6E-409C-BE32-E72D297353CC}">
                <c16:uniqueId val="{00000011-DF93-4CFE-B447-F3F79EE2BC03}"/>
              </c:ext>
            </c:extLst>
          </c:dPt>
          <c:dPt>
            <c:idx val="9"/>
            <c:bubble3D val="0"/>
            <c:spPr>
              <a:noFill/>
            </c:spPr>
            <c:extLst>
              <c:ext xmlns:c16="http://schemas.microsoft.com/office/drawing/2014/chart" uri="{C3380CC4-5D6E-409C-BE32-E72D297353CC}">
                <c16:uniqueId val="{00000013-DF93-4CFE-B447-F3F79EE2BC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DF93-4CFE-B447-F3F79EE2BC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0.84432792550201485</c:v>
                </c:pt>
              </c:numCache>
            </c:numRef>
          </c:xVal>
          <c:yVal>
            <c:numRef>
              <c:f>[1]omie_dinamic_dia!$Y$37:$Y$38</c:f>
              <c:numCache>
                <c:formatCode>General</c:formatCode>
                <c:ptCount val="2"/>
                <c:pt idx="0">
                  <c:v>0</c:v>
                </c:pt>
                <c:pt idx="1">
                  <c:v>0.53582679497899699</c:v>
                </c:pt>
              </c:numCache>
            </c:numRef>
          </c:yVal>
          <c:smooth val="1"/>
          <c:extLst>
            <c:ext xmlns:c16="http://schemas.microsoft.com/office/drawing/2014/chart" uri="{C3380CC4-5D6E-409C-BE32-E72D297353CC}">
              <c16:uniqueId val="{00000015-DF93-4CFE-B447-F3F79EE2BC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numCache>
            </c:numRef>
          </c:val>
          <c:extLst>
            <c:ext xmlns:c16="http://schemas.microsoft.com/office/drawing/2014/chart" uri="{C3380CC4-5D6E-409C-BE32-E72D297353CC}">
              <c16:uniqueId val="{00000000-2E9C-48CB-A5C1-DE122716A5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gauss!$B$3:$B$43</c:f>
              <c:numCache>
                <c:formatCode>0.00</c:formatCode>
                <c:ptCount val="41"/>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gauss!$C$3:$C$43</c:f>
              <c:numCache>
                <c:formatCode>General</c:formatCode>
                <c:ptCount val="41"/>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1D89-4F7D-B254-AA33D7F6C506}"/>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1D89-4F7D-B254-AA33D7F6C506}"/>
              </c:ext>
            </c:extLst>
          </c:dPt>
          <c:xVal>
            <c:numRef>
              <c:f>gauss!$L$49:$L$50</c:f>
              <c:numCache>
                <c:formatCode>0.00</c:formatCode>
                <c:ptCount val="2"/>
                <c:pt idx="0">
                  <c:v>63.42</c:v>
                </c:pt>
                <c:pt idx="1">
                  <c:v>63.42</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1D89-4F7D-B254-AA33D7F6C506}"/>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1D89-4F7D-B254-AA33D7F6C506}"/>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1D89-4F7D-B254-AA33D7F6C506}"/>
                  </c:ext>
                </c:extLst>
              </c15:ser>
            </c15:filteredScatterSeries>
          </c:ext>
        </c:extLst>
      </c:scatterChart>
      <c:valAx>
        <c:axId val="123170559"/>
        <c:scaling>
          <c:orientation val="minMax"/>
          <c:max val="90"/>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numCache>
            </c:numRef>
          </c:val>
          <c:smooth val="0"/>
          <c:extLst>
            <c:ext xmlns:c16="http://schemas.microsoft.com/office/drawing/2014/chart" uri="{C3380CC4-5D6E-409C-BE32-E72D297353CC}">
              <c16:uniqueId val="{00000000-292F-4AB4-AF0F-6FE9174F551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39.51</c:v>
                </c:pt>
                <c:pt idx="1">
                  <c:v>39.51</c:v>
                </c:pt>
                <c:pt idx="2">
                  <c:v>39.51</c:v>
                </c:pt>
                <c:pt idx="3">
                  <c:v>39.51</c:v>
                </c:pt>
                <c:pt idx="4">
                  <c:v>39.51</c:v>
                </c:pt>
                <c:pt idx="5">
                  <c:v>39.51</c:v>
                </c:pt>
                <c:pt idx="6">
                  <c:v>39.51</c:v>
                </c:pt>
                <c:pt idx="7">
                  <c:v>39.51</c:v>
                </c:pt>
                <c:pt idx="8">
                  <c:v>39.51</c:v>
                </c:pt>
                <c:pt idx="9">
                  <c:v>39.51</c:v>
                </c:pt>
                <c:pt idx="10">
                  <c:v>39.51</c:v>
                </c:pt>
                <c:pt idx="11">
                  <c:v>39.51</c:v>
                </c:pt>
                <c:pt idx="12">
                  <c:v>39.51</c:v>
                </c:pt>
                <c:pt idx="13">
                  <c:v>39.51</c:v>
                </c:pt>
                <c:pt idx="14">
                  <c:v>39.51</c:v>
                </c:pt>
                <c:pt idx="15">
                  <c:v>39.51</c:v>
                </c:pt>
                <c:pt idx="16">
                  <c:v>39.51</c:v>
                </c:pt>
                <c:pt idx="17">
                  <c:v>39.51</c:v>
                </c:pt>
                <c:pt idx="18">
                  <c:v>39.51</c:v>
                </c:pt>
                <c:pt idx="19">
                  <c:v>39.51</c:v>
                </c:pt>
                <c:pt idx="20">
                  <c:v>39.51</c:v>
                </c:pt>
                <c:pt idx="21">
                  <c:v>39.51</c:v>
                </c:pt>
                <c:pt idx="22">
                  <c:v>39.51</c:v>
                </c:pt>
                <c:pt idx="23">
                  <c:v>39.51</c:v>
                </c:pt>
                <c:pt idx="24">
                  <c:v>39.51</c:v>
                </c:pt>
                <c:pt idx="25">
                  <c:v>39.51</c:v>
                </c:pt>
                <c:pt idx="26">
                  <c:v>39.51</c:v>
                </c:pt>
                <c:pt idx="27">
                  <c:v>39.51</c:v>
                </c:pt>
                <c:pt idx="28">
                  <c:v>39.51</c:v>
                </c:pt>
                <c:pt idx="29">
                  <c:v>39.51</c:v>
                </c:pt>
              </c:numCache>
            </c:numRef>
          </c:val>
          <c:smooth val="0"/>
          <c:extLst>
            <c:ext xmlns:c16="http://schemas.microsoft.com/office/drawing/2014/chart" uri="{C3380CC4-5D6E-409C-BE32-E72D297353CC}">
              <c16:uniqueId val="{00000001-292F-4AB4-AF0F-6FE9174F551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92F-4AB4-AF0F-6FE9174F551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448F-4C61-A88E-42BF75D5496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2-448F-4C61-A88E-42BF75D5496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4-448F-4C61-A88E-42BF75D5496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6-448F-4C61-A88E-42BF75D5496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2133773329331"/>
          <c:y val="0.27353471522546347"/>
          <c:w val="0.84444862349940242"/>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numCache>
            </c:numRef>
          </c:val>
          <c:smooth val="0"/>
          <c:extLst>
            <c:ext xmlns:c16="http://schemas.microsoft.com/office/drawing/2014/chart" uri="{C3380CC4-5D6E-409C-BE32-E72D297353CC}">
              <c16:uniqueId val="{00000000-2D3A-4423-8DAE-132D9FCBE24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62.64</c:v>
                </c:pt>
                <c:pt idx="1">
                  <c:v>62.64</c:v>
                </c:pt>
                <c:pt idx="2">
                  <c:v>62.64</c:v>
                </c:pt>
                <c:pt idx="3">
                  <c:v>62.64</c:v>
                </c:pt>
                <c:pt idx="4">
                  <c:v>62.64</c:v>
                </c:pt>
                <c:pt idx="5">
                  <c:v>62.64</c:v>
                </c:pt>
                <c:pt idx="6">
                  <c:v>62.64</c:v>
                </c:pt>
                <c:pt idx="7">
                  <c:v>62.64</c:v>
                </c:pt>
                <c:pt idx="8">
                  <c:v>62.64</c:v>
                </c:pt>
                <c:pt idx="9">
                  <c:v>62.64</c:v>
                </c:pt>
                <c:pt idx="10">
                  <c:v>62.64</c:v>
                </c:pt>
                <c:pt idx="11">
                  <c:v>62.64</c:v>
                </c:pt>
                <c:pt idx="12">
                  <c:v>62.64</c:v>
                </c:pt>
                <c:pt idx="13">
                  <c:v>62.64</c:v>
                </c:pt>
                <c:pt idx="14">
                  <c:v>62.64</c:v>
                </c:pt>
                <c:pt idx="15">
                  <c:v>62.64</c:v>
                </c:pt>
                <c:pt idx="16">
                  <c:v>62.64</c:v>
                </c:pt>
                <c:pt idx="17">
                  <c:v>62.64</c:v>
                </c:pt>
                <c:pt idx="18">
                  <c:v>62.64</c:v>
                </c:pt>
                <c:pt idx="19">
                  <c:v>62.64</c:v>
                </c:pt>
                <c:pt idx="20">
                  <c:v>62.64</c:v>
                </c:pt>
                <c:pt idx="21">
                  <c:v>62.64</c:v>
                </c:pt>
                <c:pt idx="22">
                  <c:v>62.64</c:v>
                </c:pt>
                <c:pt idx="23">
                  <c:v>62.64</c:v>
                </c:pt>
                <c:pt idx="24">
                  <c:v>62.64</c:v>
                </c:pt>
                <c:pt idx="25">
                  <c:v>62.64</c:v>
                </c:pt>
                <c:pt idx="26">
                  <c:v>62.64</c:v>
                </c:pt>
                <c:pt idx="27">
                  <c:v>62.64</c:v>
                </c:pt>
                <c:pt idx="28">
                  <c:v>62.64</c:v>
                </c:pt>
                <c:pt idx="29">
                  <c:v>62.64</c:v>
                </c:pt>
                <c:pt idx="30">
                  <c:v>62.64</c:v>
                </c:pt>
              </c:numCache>
            </c:numRef>
          </c:val>
          <c:smooth val="0"/>
          <c:extLst>
            <c:ext xmlns:c16="http://schemas.microsoft.com/office/drawing/2014/chart" uri="{C3380CC4-5D6E-409C-BE32-E72D297353CC}">
              <c16:uniqueId val="{00000001-2D3A-4423-8DAE-132D9FCBE24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D3A-4423-8DAE-132D9FCBE24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0.45600000000000002</c:v>
                      </c:pt>
                      <c:pt idx="1">
                        <c:v>0.45600000000000002</c:v>
                      </c:pt>
                      <c:pt idx="2">
                        <c:v>0.45600000000000002</c:v>
                      </c:pt>
                      <c:pt idx="3">
                        <c:v>0.45600000000000002</c:v>
                      </c:pt>
                      <c:pt idx="4">
                        <c:v>0.45600000000000002</c:v>
                      </c:pt>
                      <c:pt idx="5">
                        <c:v>0.45600000000000002</c:v>
                      </c:pt>
                      <c:pt idx="6">
                        <c:v>0.45600000000000002</c:v>
                      </c:pt>
                      <c:pt idx="7">
                        <c:v>0.45600000000000002</c:v>
                      </c:pt>
                      <c:pt idx="8">
                        <c:v>0.45600000000000002</c:v>
                      </c:pt>
                      <c:pt idx="9">
                        <c:v>0.45600000000000002</c:v>
                      </c:pt>
                      <c:pt idx="10">
                        <c:v>0.45600000000000002</c:v>
                      </c:pt>
                      <c:pt idx="11">
                        <c:v>0.45600000000000002</c:v>
                      </c:pt>
                      <c:pt idx="12">
                        <c:v>0.45600000000000002</c:v>
                      </c:pt>
                      <c:pt idx="13">
                        <c:v>0.45600000000000002</c:v>
                      </c:pt>
                      <c:pt idx="14">
                        <c:v>0.45600000000000002</c:v>
                      </c:pt>
                      <c:pt idx="15">
                        <c:v>0.45600000000000002</c:v>
                      </c:pt>
                      <c:pt idx="16">
                        <c:v>0.45600000000000002</c:v>
                      </c:pt>
                      <c:pt idx="17">
                        <c:v>0.45600000000000002</c:v>
                      </c:pt>
                      <c:pt idx="18">
                        <c:v>0.45600000000000002</c:v>
                      </c:pt>
                      <c:pt idx="19">
                        <c:v>0.45600000000000002</c:v>
                      </c:pt>
                      <c:pt idx="20">
                        <c:v>0.45600000000000002</c:v>
                      </c:pt>
                      <c:pt idx="21">
                        <c:v>0.45600000000000002</c:v>
                      </c:pt>
                      <c:pt idx="22">
                        <c:v>0.45600000000000002</c:v>
                      </c:pt>
                      <c:pt idx="23">
                        <c:v>0.45600000000000002</c:v>
                      </c:pt>
                      <c:pt idx="24">
                        <c:v>0.45600000000000002</c:v>
                      </c:pt>
                      <c:pt idx="25">
                        <c:v>0.45600000000000002</c:v>
                      </c:pt>
                      <c:pt idx="26">
                        <c:v>0.45600000000000002</c:v>
                      </c:pt>
                      <c:pt idx="27">
                        <c:v>0.45600000000000002</c:v>
                      </c:pt>
                      <c:pt idx="28">
                        <c:v>0.45600000000000002</c:v>
                      </c:pt>
                      <c:pt idx="29">
                        <c:v>0.45600000000000002</c:v>
                      </c:pt>
                      <c:pt idx="30">
                        <c:v>0.45600000000000002</c:v>
                      </c:pt>
                    </c:numCache>
                  </c:numRef>
                </c:val>
                <c:extLst>
                  <c:ext xmlns:c16="http://schemas.microsoft.com/office/drawing/2014/chart" uri="{C3380CC4-5D6E-409C-BE32-E72D297353CC}">
                    <c16:uniqueId val="{00000006-F16F-49AF-BD60-280B6439E1C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pt idx="15">
                  <c:v>0.625</c:v>
                </c:pt>
                <c:pt idx="16">
                  <c:v>0.43478260869565216</c:v>
                </c:pt>
                <c:pt idx="17">
                  <c:v>0.5</c:v>
                </c:pt>
                <c:pt idx="18">
                  <c:v>0.47826086956521746</c:v>
                </c:pt>
                <c:pt idx="19">
                  <c:v>0.45833333333333326</c:v>
                </c:pt>
              </c:numCache>
            </c:numRef>
          </c:val>
          <c:extLst>
            <c:ext xmlns:c16="http://schemas.microsoft.com/office/drawing/2014/chart" uri="{C3380CC4-5D6E-409C-BE32-E72D297353CC}">
              <c16:uniqueId val="{00000000-F16F-49AF-BD60-280B6439E1C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pt idx="15">
                  <c:v>0</c:v>
                </c:pt>
                <c:pt idx="16">
                  <c:v>0</c:v>
                </c:pt>
                <c:pt idx="17">
                  <c:v>4.1666666666666664E-2</c:v>
                </c:pt>
                <c:pt idx="18">
                  <c:v>0</c:v>
                </c:pt>
                <c:pt idx="19">
                  <c:v>0</c:v>
                </c:pt>
              </c:numCache>
            </c:numRef>
          </c:val>
          <c:extLst>
            <c:ext xmlns:c16="http://schemas.microsoft.com/office/drawing/2014/chart" uri="{C3380CC4-5D6E-409C-BE32-E72D297353CC}">
              <c16:uniqueId val="{00000001-F16F-49AF-BD60-280B6439E1C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pt idx="15">
                  <c:v>0.25</c:v>
                </c:pt>
                <c:pt idx="16">
                  <c:v>0.34782608695652173</c:v>
                </c:pt>
                <c:pt idx="17">
                  <c:v>0.375</c:v>
                </c:pt>
                <c:pt idx="18">
                  <c:v>0.47826086956521746</c:v>
                </c:pt>
                <c:pt idx="19">
                  <c:v>0.5</c:v>
                </c:pt>
              </c:numCache>
            </c:numRef>
          </c:val>
          <c:extLst>
            <c:ext xmlns:c16="http://schemas.microsoft.com/office/drawing/2014/chart" uri="{C3380CC4-5D6E-409C-BE32-E72D297353CC}">
              <c16:uniqueId val="{00000002-F16F-49AF-BD60-280B6439E1C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16F-49AF-BD60-280B6439E1C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63.418999999999997</c:v>
                </c:pt>
                <c:pt idx="1">
                  <c:v>63.418999999999997</c:v>
                </c:pt>
                <c:pt idx="2">
                  <c:v>63.418999999999997</c:v>
                </c:pt>
                <c:pt idx="3">
                  <c:v>63.418999999999997</c:v>
                </c:pt>
                <c:pt idx="4">
                  <c:v>63.418999999999997</c:v>
                </c:pt>
                <c:pt idx="5">
                  <c:v>63.418999999999997</c:v>
                </c:pt>
                <c:pt idx="6">
                  <c:v>63.418999999999997</c:v>
                </c:pt>
                <c:pt idx="7">
                  <c:v>63.418999999999997</c:v>
                </c:pt>
                <c:pt idx="8">
                  <c:v>63.418999999999997</c:v>
                </c:pt>
                <c:pt idx="9">
                  <c:v>63.418999999999997</c:v>
                </c:pt>
                <c:pt idx="10">
                  <c:v>63.418999999999997</c:v>
                </c:pt>
                <c:pt idx="11">
                  <c:v>63.418999999999997</c:v>
                </c:pt>
                <c:pt idx="12">
                  <c:v>63.418999999999997</c:v>
                </c:pt>
                <c:pt idx="13">
                  <c:v>63.418999999999997</c:v>
                </c:pt>
                <c:pt idx="14">
                  <c:v>63.418999999999997</c:v>
                </c:pt>
                <c:pt idx="15">
                  <c:v>63.418999999999997</c:v>
                </c:pt>
                <c:pt idx="16">
                  <c:v>63.418999999999997</c:v>
                </c:pt>
                <c:pt idx="17">
                  <c:v>63.418999999999997</c:v>
                </c:pt>
                <c:pt idx="18">
                  <c:v>63.418999999999997</c:v>
                </c:pt>
                <c:pt idx="19">
                  <c:v>63.418999999999997</c:v>
                </c:pt>
                <c:pt idx="20">
                  <c:v>63.418999999999997</c:v>
                </c:pt>
                <c:pt idx="21">
                  <c:v>63.418999999999997</c:v>
                </c:pt>
                <c:pt idx="22">
                  <c:v>63.418999999999997</c:v>
                </c:pt>
                <c:pt idx="23">
                  <c:v>63.418999999999997</c:v>
                </c:pt>
                <c:pt idx="24">
                  <c:v>63.418999999999997</c:v>
                </c:pt>
                <c:pt idx="25">
                  <c:v>63.418999999999997</c:v>
                </c:pt>
                <c:pt idx="26">
                  <c:v>63.418999999999997</c:v>
                </c:pt>
                <c:pt idx="27">
                  <c:v>63.418999999999997</c:v>
                </c:pt>
                <c:pt idx="28">
                  <c:v>63.418999999999997</c:v>
                </c:pt>
                <c:pt idx="29">
                  <c:v>63.418999999999997</c:v>
                </c:pt>
                <c:pt idx="30">
                  <c:v>63.418999999999997</c:v>
                </c:pt>
              </c:numCache>
            </c:numRef>
          </c:val>
          <c:smooth val="0"/>
          <c:extLst>
            <c:ext xmlns:c16="http://schemas.microsoft.com/office/drawing/2014/chart" uri="{C3380CC4-5D6E-409C-BE32-E72D297353CC}">
              <c16:uniqueId val="{00000003-F16F-49AF-BD60-280B6439E1C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pt idx="15">
                  <c:v>48.837083333333332</c:v>
                </c:pt>
                <c:pt idx="16">
                  <c:v>51.250416666666666</c:v>
                </c:pt>
                <c:pt idx="17">
                  <c:v>51.98749999999999</c:v>
                </c:pt>
                <c:pt idx="18">
                  <c:v>48.707916666666669</c:v>
                </c:pt>
                <c:pt idx="19">
                  <c:v>44.662916666666661</c:v>
                </c:pt>
              </c:numCache>
            </c:numRef>
          </c:val>
          <c:smooth val="0"/>
          <c:extLst>
            <c:ext xmlns:c16="http://schemas.microsoft.com/office/drawing/2014/chart" uri="{C3380CC4-5D6E-409C-BE32-E72D297353CC}">
              <c16:uniqueId val="{00000004-F16F-49AF-BD60-280B6439E1C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0.04</c:v>
                      </c:pt>
                      <c:pt idx="1">
                        <c:v>3.6999999999999998E-2</c:v>
                      </c:pt>
                      <c:pt idx="2">
                        <c:v>3.5000000000000003E-2</c:v>
                      </c:pt>
                      <c:pt idx="3">
                        <c:v>3.4000000000000002E-2</c:v>
                      </c:pt>
                      <c:pt idx="4">
                        <c:v>3.5999999999999997E-2</c:v>
                      </c:pt>
                      <c:pt idx="5">
                        <c:v>3.9E-2</c:v>
                      </c:pt>
                      <c:pt idx="6">
                        <c:v>4.2000000000000003E-2</c:v>
                      </c:pt>
                      <c:pt idx="7">
                        <c:v>4.4999999999999998E-2</c:v>
                      </c:pt>
                      <c:pt idx="8">
                        <c:v>4.9000000000000002E-2</c:v>
                      </c:pt>
                      <c:pt idx="9">
                        <c:v>5.2999999999999999E-2</c:v>
                      </c:pt>
                      <c:pt idx="10">
                        <c:v>4.2000000000000003E-2</c:v>
                      </c:pt>
                      <c:pt idx="11">
                        <c:v>3.2000000000000001E-2</c:v>
                      </c:pt>
                      <c:pt idx="12">
                        <c:v>3.5999999999999997E-2</c:v>
                      </c:pt>
                      <c:pt idx="13">
                        <c:v>3.5999999999999997E-2</c:v>
                      </c:pt>
                      <c:pt idx="14">
                        <c:v>1.4E-2</c:v>
                      </c:pt>
                      <c:pt idx="15">
                        <c:v>8.0000000000000002E-3</c:v>
                      </c:pt>
                      <c:pt idx="16">
                        <c:v>0.01</c:v>
                      </c:pt>
                      <c:pt idx="17">
                        <c:v>1.4E-2</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F16F-49AF-BD60-280B6439E1CC}"/>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0.41</c:v>
                      </c:pt>
                      <c:pt idx="1">
                        <c:v>0.40100000000000002</c:v>
                      </c:pt>
                      <c:pt idx="2">
                        <c:v>0.39800000000000002</c:v>
                      </c:pt>
                      <c:pt idx="3">
                        <c:v>0.39900000000000002</c:v>
                      </c:pt>
                      <c:pt idx="4">
                        <c:v>0.38800000000000001</c:v>
                      </c:pt>
                      <c:pt idx="5">
                        <c:v>0.38300000000000001</c:v>
                      </c:pt>
                      <c:pt idx="6">
                        <c:v>0.38</c:v>
                      </c:pt>
                      <c:pt idx="7">
                        <c:v>0.378</c:v>
                      </c:pt>
                      <c:pt idx="8">
                        <c:v>0.38800000000000001</c:v>
                      </c:pt>
                      <c:pt idx="9">
                        <c:v>0.39300000000000002</c:v>
                      </c:pt>
                      <c:pt idx="10">
                        <c:v>0.41199999999999998</c:v>
                      </c:pt>
                      <c:pt idx="11">
                        <c:v>0.40699999999999997</c:v>
                      </c:pt>
                      <c:pt idx="12">
                        <c:v>0.4</c:v>
                      </c:pt>
                      <c:pt idx="13">
                        <c:v>0.41599999999999998</c:v>
                      </c:pt>
                      <c:pt idx="14">
                        <c:v>0.40899999999999997</c:v>
                      </c:pt>
                      <c:pt idx="15">
                        <c:v>0.39</c:v>
                      </c:pt>
                      <c:pt idx="16">
                        <c:v>0.42499999999999999</c:v>
                      </c:pt>
                      <c:pt idx="17">
                        <c:v>0.45100000000000001</c:v>
                      </c:pt>
                      <c:pt idx="18">
                        <c:v>0.48899999999999999</c:v>
                      </c:pt>
                      <c:pt idx="19">
                        <c:v>0.5</c:v>
                      </c:pt>
                      <c:pt idx="20">
                        <c:v>0.5</c:v>
                      </c:pt>
                      <c:pt idx="21">
                        <c:v>0.5</c:v>
                      </c:pt>
                      <c:pt idx="22">
                        <c:v>0.5</c:v>
                      </c:pt>
                      <c:pt idx="23">
                        <c:v>0.5</c:v>
                      </c:pt>
                      <c:pt idx="24">
                        <c:v>0.5</c:v>
                      </c:pt>
                      <c:pt idx="25">
                        <c:v>0.5</c:v>
                      </c:pt>
                      <c:pt idx="26">
                        <c:v>0.5</c:v>
                      </c:pt>
                      <c:pt idx="27">
                        <c:v>0.5</c:v>
                      </c:pt>
                      <c:pt idx="28">
                        <c:v>0.5</c:v>
                      </c:pt>
                      <c:pt idx="29">
                        <c:v>0.5</c:v>
                      </c:pt>
                      <c:pt idx="30">
                        <c:v>0.5</c:v>
                      </c:pt>
                    </c:numCache>
                  </c:numRef>
                </c:val>
                <c:smooth val="0"/>
                <c:extLst xmlns:c15="http://schemas.microsoft.com/office/drawing/2012/chart">
                  <c:ext xmlns:c16="http://schemas.microsoft.com/office/drawing/2014/chart" uri="{C3380CC4-5D6E-409C-BE32-E72D297353CC}">
                    <c16:uniqueId val="{00000008-F16F-49AF-BD60-280B6439E1CC}"/>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numCache>
                  </c:numRef>
                </c:val>
                <c:smooth val="0"/>
                <c:extLst xmlns:c15="http://schemas.microsoft.com/office/drawing/2012/chart">
                  <c:ext xmlns:c16="http://schemas.microsoft.com/office/drawing/2014/chart" uri="{C3380CC4-5D6E-409C-BE32-E72D297353CC}">
                    <c16:uniqueId val="{00000009-F16F-49AF-BD60-280B6439E1CC}"/>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32.772666666666666</c:v>
                      </c:pt>
                      <c:pt idx="16">
                        <c:v>19.145999999999997</c:v>
                      </c:pt>
                      <c:pt idx="17">
                        <c:v>25.685833333333335</c:v>
                      </c:pt>
                      <c:pt idx="18">
                        <c:v>30.633636363636366</c:v>
                      </c:pt>
                      <c:pt idx="19">
                        <c:v>22.784545454545452</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16F-49AF-BD60-280B6439E1CC}"/>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48.28</c:v>
                      </c:pt>
                      <c:pt idx="1">
                        <c:v>48.28</c:v>
                      </c:pt>
                      <c:pt idx="2">
                        <c:v>48.28</c:v>
                      </c:pt>
                      <c:pt idx="3">
                        <c:v>48.28</c:v>
                      </c:pt>
                      <c:pt idx="4">
                        <c:v>48.28</c:v>
                      </c:pt>
                      <c:pt idx="5">
                        <c:v>48.28</c:v>
                      </c:pt>
                      <c:pt idx="6">
                        <c:v>48.28</c:v>
                      </c:pt>
                      <c:pt idx="7">
                        <c:v>48.28</c:v>
                      </c:pt>
                      <c:pt idx="8">
                        <c:v>48.28</c:v>
                      </c:pt>
                      <c:pt idx="9">
                        <c:v>48.28</c:v>
                      </c:pt>
                      <c:pt idx="10">
                        <c:v>48.28</c:v>
                      </c:pt>
                      <c:pt idx="11">
                        <c:v>48.28</c:v>
                      </c:pt>
                      <c:pt idx="12">
                        <c:v>48.28</c:v>
                      </c:pt>
                      <c:pt idx="13">
                        <c:v>48.28</c:v>
                      </c:pt>
                      <c:pt idx="14">
                        <c:v>48.28</c:v>
                      </c:pt>
                      <c:pt idx="15">
                        <c:v>48.28</c:v>
                      </c:pt>
                      <c:pt idx="16">
                        <c:v>48.28</c:v>
                      </c:pt>
                      <c:pt idx="17">
                        <c:v>48.28</c:v>
                      </c:pt>
                      <c:pt idx="18">
                        <c:v>48.28</c:v>
                      </c:pt>
                      <c:pt idx="19">
                        <c:v>48.28</c:v>
                      </c:pt>
                      <c:pt idx="20">
                        <c:v>48.28</c:v>
                      </c:pt>
                      <c:pt idx="21">
                        <c:v>48.28</c:v>
                      </c:pt>
                      <c:pt idx="22">
                        <c:v>48.28</c:v>
                      </c:pt>
                      <c:pt idx="23">
                        <c:v>48.28</c:v>
                      </c:pt>
                      <c:pt idx="24">
                        <c:v>48.28</c:v>
                      </c:pt>
                      <c:pt idx="25">
                        <c:v>48.28</c:v>
                      </c:pt>
                      <c:pt idx="26">
                        <c:v>48.28</c:v>
                      </c:pt>
                      <c:pt idx="27">
                        <c:v>48.28</c:v>
                      </c:pt>
                      <c:pt idx="28">
                        <c:v>48.28</c:v>
                      </c:pt>
                      <c:pt idx="29">
                        <c:v>48.28</c:v>
                      </c:pt>
                      <c:pt idx="30">
                        <c:v>48.28</c:v>
                      </c:pt>
                    </c:numCache>
                  </c:numRef>
                </c:val>
                <c:smooth val="0"/>
                <c:extLst xmlns:c15="http://schemas.microsoft.com/office/drawing/2012/chart">
                  <c:ext xmlns:c16="http://schemas.microsoft.com/office/drawing/2014/chart" uri="{C3380CC4-5D6E-409C-BE32-E72D297353CC}">
                    <c16:uniqueId val="{0000000B-F16F-49AF-BD60-280B6439E1CC}"/>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109.56</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16F-49AF-BD60-280B6439E1CC}"/>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54.177</c:v>
                      </c:pt>
                      <c:pt idx="1">
                        <c:v>54.177</c:v>
                      </c:pt>
                      <c:pt idx="2">
                        <c:v>54.177</c:v>
                      </c:pt>
                      <c:pt idx="3">
                        <c:v>54.177</c:v>
                      </c:pt>
                      <c:pt idx="4">
                        <c:v>54.177</c:v>
                      </c:pt>
                      <c:pt idx="5">
                        <c:v>54.177</c:v>
                      </c:pt>
                      <c:pt idx="6">
                        <c:v>54.177</c:v>
                      </c:pt>
                      <c:pt idx="7">
                        <c:v>54.177</c:v>
                      </c:pt>
                      <c:pt idx="8">
                        <c:v>54.177</c:v>
                      </c:pt>
                      <c:pt idx="9">
                        <c:v>54.177</c:v>
                      </c:pt>
                      <c:pt idx="10">
                        <c:v>54.177</c:v>
                      </c:pt>
                      <c:pt idx="11">
                        <c:v>54.177</c:v>
                      </c:pt>
                      <c:pt idx="12">
                        <c:v>54.177</c:v>
                      </c:pt>
                      <c:pt idx="13">
                        <c:v>54.177</c:v>
                      </c:pt>
                      <c:pt idx="14">
                        <c:v>54.177</c:v>
                      </c:pt>
                      <c:pt idx="15">
                        <c:v>54.177</c:v>
                      </c:pt>
                      <c:pt idx="16">
                        <c:v>54.177</c:v>
                      </c:pt>
                      <c:pt idx="17">
                        <c:v>54.177</c:v>
                      </c:pt>
                      <c:pt idx="18">
                        <c:v>54.177</c:v>
                      </c:pt>
                      <c:pt idx="19">
                        <c:v>54.177</c:v>
                      </c:pt>
                      <c:pt idx="20">
                        <c:v>54.177</c:v>
                      </c:pt>
                      <c:pt idx="21">
                        <c:v>54.177</c:v>
                      </c:pt>
                      <c:pt idx="22">
                        <c:v>54.177</c:v>
                      </c:pt>
                      <c:pt idx="23">
                        <c:v>54.177</c:v>
                      </c:pt>
                      <c:pt idx="24">
                        <c:v>54.177</c:v>
                      </c:pt>
                      <c:pt idx="25">
                        <c:v>54.177</c:v>
                      </c:pt>
                      <c:pt idx="26">
                        <c:v>54.177</c:v>
                      </c:pt>
                      <c:pt idx="27">
                        <c:v>54.177</c:v>
                      </c:pt>
                      <c:pt idx="28">
                        <c:v>54.177</c:v>
                      </c:pt>
                      <c:pt idx="29">
                        <c:v>54.177</c:v>
                      </c:pt>
                      <c:pt idx="30">
                        <c:v>54.177</c:v>
                      </c:pt>
                    </c:numCache>
                  </c:numRef>
                </c:val>
                <c:smooth val="0"/>
                <c:extLst xmlns:c15="http://schemas.microsoft.com/office/drawing/2012/chart">
                  <c:ext xmlns:c16="http://schemas.microsoft.com/office/drawing/2014/chart" uri="{C3380CC4-5D6E-409C-BE32-E72D297353CC}">
                    <c16:uniqueId val="{0000000D-F16F-49AF-BD60-280B6439E1CC}"/>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70.668333333333322</c:v>
                      </c:pt>
                      <c:pt idx="16">
                        <c:v>76.097499999999997</c:v>
                      </c:pt>
                      <c:pt idx="17">
                        <c:v>75.545555555555552</c:v>
                      </c:pt>
                      <c:pt idx="18">
                        <c:v>63.365454545454547</c:v>
                      </c:pt>
                      <c:pt idx="19">
                        <c:v>64.69</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16F-49AF-BD60-280B6439E1CC}"/>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75.311000000000007</c:v>
                      </c:pt>
                      <c:pt idx="1">
                        <c:v>75.311000000000007</c:v>
                      </c:pt>
                      <c:pt idx="2">
                        <c:v>75.311000000000007</c:v>
                      </c:pt>
                      <c:pt idx="3">
                        <c:v>75.311000000000007</c:v>
                      </c:pt>
                      <c:pt idx="4">
                        <c:v>75.311000000000007</c:v>
                      </c:pt>
                      <c:pt idx="5">
                        <c:v>75.311000000000007</c:v>
                      </c:pt>
                      <c:pt idx="6">
                        <c:v>75.311000000000007</c:v>
                      </c:pt>
                      <c:pt idx="7">
                        <c:v>75.311000000000007</c:v>
                      </c:pt>
                      <c:pt idx="8">
                        <c:v>75.311000000000007</c:v>
                      </c:pt>
                      <c:pt idx="9">
                        <c:v>75.311000000000007</c:v>
                      </c:pt>
                      <c:pt idx="10">
                        <c:v>75.311000000000007</c:v>
                      </c:pt>
                      <c:pt idx="11">
                        <c:v>75.311000000000007</c:v>
                      </c:pt>
                      <c:pt idx="12">
                        <c:v>75.311000000000007</c:v>
                      </c:pt>
                      <c:pt idx="13">
                        <c:v>75.311000000000007</c:v>
                      </c:pt>
                      <c:pt idx="14">
                        <c:v>75.311000000000007</c:v>
                      </c:pt>
                      <c:pt idx="15">
                        <c:v>75.311000000000007</c:v>
                      </c:pt>
                      <c:pt idx="16">
                        <c:v>75.311000000000007</c:v>
                      </c:pt>
                      <c:pt idx="17">
                        <c:v>75.311000000000007</c:v>
                      </c:pt>
                      <c:pt idx="18">
                        <c:v>75.311000000000007</c:v>
                      </c:pt>
                      <c:pt idx="19">
                        <c:v>75.311000000000007</c:v>
                      </c:pt>
                      <c:pt idx="20">
                        <c:v>75.311000000000007</c:v>
                      </c:pt>
                      <c:pt idx="21">
                        <c:v>75.311000000000007</c:v>
                      </c:pt>
                      <c:pt idx="22">
                        <c:v>75.311000000000007</c:v>
                      </c:pt>
                      <c:pt idx="23">
                        <c:v>75.311000000000007</c:v>
                      </c:pt>
                      <c:pt idx="24">
                        <c:v>75.311000000000007</c:v>
                      </c:pt>
                      <c:pt idx="25">
                        <c:v>75.311000000000007</c:v>
                      </c:pt>
                      <c:pt idx="26">
                        <c:v>75.311000000000007</c:v>
                      </c:pt>
                      <c:pt idx="27">
                        <c:v>75.311000000000007</c:v>
                      </c:pt>
                      <c:pt idx="28">
                        <c:v>75.311000000000007</c:v>
                      </c:pt>
                      <c:pt idx="29">
                        <c:v>75.311000000000007</c:v>
                      </c:pt>
                      <c:pt idx="30">
                        <c:v>75.311000000000007</c:v>
                      </c:pt>
                    </c:numCache>
                  </c:numRef>
                </c:val>
                <c:smooth val="0"/>
                <c:extLst xmlns:c15="http://schemas.microsoft.com/office/drawing/2012/chart">
                  <c:ext xmlns:c16="http://schemas.microsoft.com/office/drawing/2014/chart" uri="{C3380CC4-5D6E-409C-BE32-E72D297353CC}">
                    <c16:uniqueId val="{0000000F-F16F-49AF-BD60-280B6439E1CC}"/>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pt idx="20">
                        <c:v>546.79999999999995</c:v>
                      </c:pt>
                      <c:pt idx="21">
                        <c:v>546.79999999999995</c:v>
                      </c:pt>
                      <c:pt idx="22">
                        <c:v>546.79999999999995</c:v>
                      </c:pt>
                      <c:pt idx="23">
                        <c:v>546.79999999999995</c:v>
                      </c:pt>
                      <c:pt idx="24">
                        <c:v>546.79999999999995</c:v>
                      </c:pt>
                      <c:pt idx="25">
                        <c:v>546.79999999999995</c:v>
                      </c:pt>
                      <c:pt idx="26">
                        <c:v>546.79999999999995</c:v>
                      </c:pt>
                      <c:pt idx="27">
                        <c:v>546.79999999999995</c:v>
                      </c:pt>
                      <c:pt idx="28">
                        <c:v>546.79999999999995</c:v>
                      </c:pt>
                      <c:pt idx="29">
                        <c:v>546.79999999999995</c:v>
                      </c:pt>
                      <c:pt idx="30">
                        <c:v>546.79999999999995</c:v>
                      </c:pt>
                    </c:numCache>
                  </c:numRef>
                </c:val>
                <c:smooth val="0"/>
                <c:extLst xmlns:c15="http://schemas.microsoft.com/office/drawing/2012/chart">
                  <c:ext xmlns:c16="http://schemas.microsoft.com/office/drawing/2014/chart" uri="{C3380CC4-5D6E-409C-BE32-E72D297353CC}">
                    <c16:uniqueId val="{00000010-F16F-49AF-BD60-280B6439E1C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4007-4E08-8CDC-446DE0D15006}"/>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4007-4E08-8CDC-446DE0D15006}"/>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4007-4E08-8CDC-446DE0D15006}"/>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4007-4E08-8CDC-446DE0D15006}"/>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4007-4E08-8CDC-446DE0D15006}"/>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4007-4E08-8CDC-446DE0D15006}"/>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4007-4E08-8CDC-446DE0D15006}"/>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4007-4E08-8CDC-446DE0D15006}"/>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4007-4E08-8CDC-446DE0D15006}"/>
              </c:ext>
            </c:extLst>
          </c:dPt>
          <c:dPt>
            <c:idx val="9"/>
            <c:bubble3D val="0"/>
            <c:spPr>
              <a:noFill/>
              <a:ln w="19050">
                <a:noFill/>
              </a:ln>
              <a:effectLst/>
            </c:spPr>
            <c:extLst>
              <c:ext xmlns:c16="http://schemas.microsoft.com/office/drawing/2014/chart" uri="{C3380CC4-5D6E-409C-BE32-E72D297353CC}">
                <c16:uniqueId val="{00000013-4007-4E08-8CDC-446DE0D1500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007-4E08-8CDC-446DE0D1500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4007-4E08-8CDC-446DE0D15006}"/>
              </c:ext>
            </c:extLst>
          </c:dPt>
          <c:xVal>
            <c:numRef>
              <c:f>[1]omie_dinamic_dia!$X$11:$X$12</c:f>
              <c:numCache>
                <c:formatCode>General</c:formatCode>
                <c:ptCount val="2"/>
                <c:pt idx="0">
                  <c:v>0</c:v>
                </c:pt>
                <c:pt idx="1">
                  <c:v>0.96202767158608593</c:v>
                </c:pt>
              </c:numCache>
            </c:numRef>
          </c:xVal>
          <c:yVal>
            <c:numRef>
              <c:f>[1]omie_dinamic_dia!$Y$11:$Y$12</c:f>
              <c:numCache>
                <c:formatCode>General</c:formatCode>
                <c:ptCount val="2"/>
                <c:pt idx="0">
                  <c:v>0</c:v>
                </c:pt>
                <c:pt idx="1">
                  <c:v>0.27295193551732505</c:v>
                </c:pt>
              </c:numCache>
            </c:numRef>
          </c:yVal>
          <c:smooth val="1"/>
          <c:extLst>
            <c:ext xmlns:c16="http://schemas.microsoft.com/office/drawing/2014/chart" uri="{C3380CC4-5D6E-409C-BE32-E72D297353CC}">
              <c16:uniqueId val="{00000017-4007-4E08-8CDC-446DE0D1500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EDA-41B1-A87E-DF7599CEED3B}"/>
              </c:ext>
            </c:extLst>
          </c:dPt>
          <c:dPt>
            <c:idx val="1"/>
            <c:bubble3D val="0"/>
            <c:spPr>
              <a:solidFill>
                <a:schemeClr val="accent2">
                  <a:lumMod val="20000"/>
                  <a:lumOff val="80000"/>
                </a:schemeClr>
              </a:solidFill>
            </c:spPr>
            <c:extLst>
              <c:ext xmlns:c16="http://schemas.microsoft.com/office/drawing/2014/chart" uri="{C3380CC4-5D6E-409C-BE32-E72D297353CC}">
                <c16:uniqueId val="{00000003-CEDA-41B1-A87E-DF7599CEED3B}"/>
              </c:ext>
            </c:extLst>
          </c:dPt>
          <c:dPt>
            <c:idx val="2"/>
            <c:bubble3D val="0"/>
            <c:spPr>
              <a:solidFill>
                <a:schemeClr val="accent2">
                  <a:lumMod val="40000"/>
                  <a:lumOff val="60000"/>
                </a:schemeClr>
              </a:solidFill>
            </c:spPr>
            <c:extLst>
              <c:ext xmlns:c16="http://schemas.microsoft.com/office/drawing/2014/chart" uri="{C3380CC4-5D6E-409C-BE32-E72D297353CC}">
                <c16:uniqueId val="{00000005-CEDA-41B1-A87E-DF7599CEED3B}"/>
              </c:ext>
            </c:extLst>
          </c:dPt>
          <c:dPt>
            <c:idx val="3"/>
            <c:bubble3D val="0"/>
            <c:spPr>
              <a:solidFill>
                <a:schemeClr val="accent2">
                  <a:lumMod val="40000"/>
                  <a:lumOff val="60000"/>
                </a:schemeClr>
              </a:solidFill>
            </c:spPr>
            <c:extLst>
              <c:ext xmlns:c16="http://schemas.microsoft.com/office/drawing/2014/chart" uri="{C3380CC4-5D6E-409C-BE32-E72D297353CC}">
                <c16:uniqueId val="{00000007-CEDA-41B1-A87E-DF7599CEED3B}"/>
              </c:ext>
            </c:extLst>
          </c:dPt>
          <c:dPt>
            <c:idx val="4"/>
            <c:bubble3D val="0"/>
            <c:spPr>
              <a:solidFill>
                <a:schemeClr val="accent2">
                  <a:lumMod val="60000"/>
                  <a:lumOff val="40000"/>
                </a:schemeClr>
              </a:solidFill>
            </c:spPr>
            <c:extLst>
              <c:ext xmlns:c16="http://schemas.microsoft.com/office/drawing/2014/chart" uri="{C3380CC4-5D6E-409C-BE32-E72D297353CC}">
                <c16:uniqueId val="{00000009-CEDA-41B1-A87E-DF7599CEED3B}"/>
              </c:ext>
            </c:extLst>
          </c:dPt>
          <c:dPt>
            <c:idx val="5"/>
            <c:bubble3D val="0"/>
            <c:spPr>
              <a:solidFill>
                <a:schemeClr val="accent2">
                  <a:lumMod val="60000"/>
                  <a:lumOff val="40000"/>
                </a:schemeClr>
              </a:solidFill>
            </c:spPr>
            <c:extLst>
              <c:ext xmlns:c16="http://schemas.microsoft.com/office/drawing/2014/chart" uri="{C3380CC4-5D6E-409C-BE32-E72D297353CC}">
                <c16:uniqueId val="{0000000B-CEDA-41B1-A87E-DF7599CEED3B}"/>
              </c:ext>
            </c:extLst>
          </c:dPt>
          <c:dPt>
            <c:idx val="6"/>
            <c:bubble3D val="0"/>
            <c:spPr>
              <a:solidFill>
                <a:schemeClr val="accent2">
                  <a:lumMod val="75000"/>
                </a:schemeClr>
              </a:solidFill>
            </c:spPr>
            <c:extLst>
              <c:ext xmlns:c16="http://schemas.microsoft.com/office/drawing/2014/chart" uri="{C3380CC4-5D6E-409C-BE32-E72D297353CC}">
                <c16:uniqueId val="{0000000D-CEDA-41B1-A87E-DF7599CEED3B}"/>
              </c:ext>
            </c:extLst>
          </c:dPt>
          <c:dPt>
            <c:idx val="7"/>
            <c:bubble3D val="0"/>
            <c:spPr>
              <a:solidFill>
                <a:schemeClr val="accent2">
                  <a:lumMod val="75000"/>
                </a:schemeClr>
              </a:solidFill>
            </c:spPr>
            <c:extLst>
              <c:ext xmlns:c16="http://schemas.microsoft.com/office/drawing/2014/chart" uri="{C3380CC4-5D6E-409C-BE32-E72D297353CC}">
                <c16:uniqueId val="{0000000F-CEDA-41B1-A87E-DF7599CEED3B}"/>
              </c:ext>
            </c:extLst>
          </c:dPt>
          <c:dPt>
            <c:idx val="8"/>
            <c:bubble3D val="0"/>
            <c:spPr>
              <a:solidFill>
                <a:schemeClr val="accent2">
                  <a:lumMod val="50000"/>
                </a:schemeClr>
              </a:solidFill>
            </c:spPr>
            <c:extLst>
              <c:ext xmlns:c16="http://schemas.microsoft.com/office/drawing/2014/chart" uri="{C3380CC4-5D6E-409C-BE32-E72D297353CC}">
                <c16:uniqueId val="{00000011-CEDA-41B1-A87E-DF7599CEED3B}"/>
              </c:ext>
            </c:extLst>
          </c:dPt>
          <c:dPt>
            <c:idx val="9"/>
            <c:bubble3D val="0"/>
            <c:spPr>
              <a:noFill/>
            </c:spPr>
            <c:extLst>
              <c:ext xmlns:c16="http://schemas.microsoft.com/office/drawing/2014/chart" uri="{C3380CC4-5D6E-409C-BE32-E72D297353CC}">
                <c16:uniqueId val="{00000013-CEDA-41B1-A87E-DF7599CEED3B}"/>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EDA-41B1-A87E-DF7599CEED3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-0.96858316112863108</c:v>
                </c:pt>
              </c:numCache>
            </c:numRef>
          </c:xVal>
          <c:yVal>
            <c:numRef>
              <c:f>[1]omie_dinamic_dia!$AC$20:$AC$21</c:f>
              <c:numCache>
                <c:formatCode>General</c:formatCode>
                <c:ptCount val="2"/>
                <c:pt idx="0">
                  <c:v>0</c:v>
                </c:pt>
                <c:pt idx="1">
                  <c:v>0.24868988716485479</c:v>
                </c:pt>
              </c:numCache>
            </c:numRef>
          </c:yVal>
          <c:smooth val="1"/>
          <c:extLst>
            <c:ext xmlns:c16="http://schemas.microsoft.com/office/drawing/2014/chart" uri="{C3380CC4-5D6E-409C-BE32-E72D297353CC}">
              <c16:uniqueId val="{00000015-CEDA-41B1-A87E-DF7599CEED3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C8E-445D-A467-79333E7D620F}"/>
              </c:ext>
            </c:extLst>
          </c:dPt>
          <c:dPt>
            <c:idx val="1"/>
            <c:bubble3D val="0"/>
            <c:spPr>
              <a:solidFill>
                <a:schemeClr val="accent1">
                  <a:lumMod val="20000"/>
                  <a:lumOff val="80000"/>
                </a:schemeClr>
              </a:solidFill>
            </c:spPr>
            <c:extLst>
              <c:ext xmlns:c16="http://schemas.microsoft.com/office/drawing/2014/chart" uri="{C3380CC4-5D6E-409C-BE32-E72D297353CC}">
                <c16:uniqueId val="{00000003-AC8E-445D-A467-79333E7D620F}"/>
              </c:ext>
            </c:extLst>
          </c:dPt>
          <c:dPt>
            <c:idx val="2"/>
            <c:bubble3D val="0"/>
            <c:spPr>
              <a:solidFill>
                <a:schemeClr val="accent1">
                  <a:lumMod val="40000"/>
                  <a:lumOff val="60000"/>
                </a:schemeClr>
              </a:solidFill>
            </c:spPr>
            <c:extLst>
              <c:ext xmlns:c16="http://schemas.microsoft.com/office/drawing/2014/chart" uri="{C3380CC4-5D6E-409C-BE32-E72D297353CC}">
                <c16:uniqueId val="{00000005-AC8E-445D-A467-79333E7D620F}"/>
              </c:ext>
            </c:extLst>
          </c:dPt>
          <c:dPt>
            <c:idx val="3"/>
            <c:bubble3D val="0"/>
            <c:spPr>
              <a:solidFill>
                <a:schemeClr val="accent1">
                  <a:lumMod val="40000"/>
                  <a:lumOff val="60000"/>
                </a:schemeClr>
              </a:solidFill>
            </c:spPr>
            <c:extLst>
              <c:ext xmlns:c16="http://schemas.microsoft.com/office/drawing/2014/chart" uri="{C3380CC4-5D6E-409C-BE32-E72D297353CC}">
                <c16:uniqueId val="{00000007-AC8E-445D-A467-79333E7D620F}"/>
              </c:ext>
            </c:extLst>
          </c:dPt>
          <c:dPt>
            <c:idx val="4"/>
            <c:bubble3D val="0"/>
            <c:spPr>
              <a:solidFill>
                <a:schemeClr val="accent1">
                  <a:lumMod val="60000"/>
                  <a:lumOff val="40000"/>
                </a:schemeClr>
              </a:solidFill>
            </c:spPr>
            <c:extLst>
              <c:ext xmlns:c16="http://schemas.microsoft.com/office/drawing/2014/chart" uri="{C3380CC4-5D6E-409C-BE32-E72D297353CC}">
                <c16:uniqueId val="{00000009-AC8E-445D-A467-79333E7D620F}"/>
              </c:ext>
            </c:extLst>
          </c:dPt>
          <c:dPt>
            <c:idx val="5"/>
            <c:bubble3D val="0"/>
            <c:spPr>
              <a:solidFill>
                <a:schemeClr val="accent1">
                  <a:lumMod val="60000"/>
                  <a:lumOff val="40000"/>
                </a:schemeClr>
              </a:solidFill>
            </c:spPr>
            <c:extLst>
              <c:ext xmlns:c16="http://schemas.microsoft.com/office/drawing/2014/chart" uri="{C3380CC4-5D6E-409C-BE32-E72D297353CC}">
                <c16:uniqueId val="{0000000B-AC8E-445D-A467-79333E7D620F}"/>
              </c:ext>
            </c:extLst>
          </c:dPt>
          <c:dPt>
            <c:idx val="6"/>
            <c:bubble3D val="0"/>
            <c:spPr>
              <a:solidFill>
                <a:schemeClr val="accent1">
                  <a:lumMod val="75000"/>
                </a:schemeClr>
              </a:solidFill>
            </c:spPr>
            <c:extLst>
              <c:ext xmlns:c16="http://schemas.microsoft.com/office/drawing/2014/chart" uri="{C3380CC4-5D6E-409C-BE32-E72D297353CC}">
                <c16:uniqueId val="{0000000D-AC8E-445D-A467-79333E7D620F}"/>
              </c:ext>
            </c:extLst>
          </c:dPt>
          <c:dPt>
            <c:idx val="7"/>
            <c:bubble3D val="0"/>
            <c:spPr>
              <a:solidFill>
                <a:schemeClr val="accent1">
                  <a:lumMod val="75000"/>
                </a:schemeClr>
              </a:solidFill>
            </c:spPr>
            <c:extLst>
              <c:ext xmlns:c16="http://schemas.microsoft.com/office/drawing/2014/chart" uri="{C3380CC4-5D6E-409C-BE32-E72D297353CC}">
                <c16:uniqueId val="{0000000F-AC8E-445D-A467-79333E7D620F}"/>
              </c:ext>
            </c:extLst>
          </c:dPt>
          <c:dPt>
            <c:idx val="8"/>
            <c:bubble3D val="0"/>
            <c:spPr>
              <a:solidFill>
                <a:schemeClr val="accent1">
                  <a:lumMod val="50000"/>
                </a:schemeClr>
              </a:solidFill>
            </c:spPr>
            <c:extLst>
              <c:ext xmlns:c16="http://schemas.microsoft.com/office/drawing/2014/chart" uri="{C3380CC4-5D6E-409C-BE32-E72D297353CC}">
                <c16:uniqueId val="{00000011-AC8E-445D-A467-79333E7D620F}"/>
              </c:ext>
            </c:extLst>
          </c:dPt>
          <c:dPt>
            <c:idx val="9"/>
            <c:bubble3D val="0"/>
            <c:spPr>
              <a:noFill/>
            </c:spPr>
            <c:extLst>
              <c:ext xmlns:c16="http://schemas.microsoft.com/office/drawing/2014/chart" uri="{C3380CC4-5D6E-409C-BE32-E72D297353CC}">
                <c16:uniqueId val="{00000013-AC8E-445D-A467-79333E7D620F}"/>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C8E-445D-A467-79333E7D620F}"/>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0.84432792550201485</c:v>
                </c:pt>
              </c:numCache>
            </c:numRef>
          </c:xVal>
          <c:yVal>
            <c:numRef>
              <c:f>[1]omie_dinamic_dia!$Y$37:$Y$38</c:f>
              <c:numCache>
                <c:formatCode>General</c:formatCode>
                <c:ptCount val="2"/>
                <c:pt idx="0">
                  <c:v>0</c:v>
                </c:pt>
                <c:pt idx="1">
                  <c:v>0.53582679497899699</c:v>
                </c:pt>
              </c:numCache>
            </c:numRef>
          </c:yVal>
          <c:smooth val="1"/>
          <c:extLst>
            <c:ext xmlns:c16="http://schemas.microsoft.com/office/drawing/2014/chart" uri="{C3380CC4-5D6E-409C-BE32-E72D297353CC}">
              <c16:uniqueId val="{00000015-AC8E-445D-A467-79333E7D620F}"/>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numCache>
            </c:numRef>
          </c:val>
          <c:extLst>
            <c:ext xmlns:c16="http://schemas.microsoft.com/office/drawing/2014/chart" uri="{C3380CC4-5D6E-409C-BE32-E72D297353CC}">
              <c16:uniqueId val="{00000000-4BA6-4DBB-AE63-490E10CF175C}"/>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gauss!$B$3:$B$41</c:f>
              <c:numCache>
                <c:formatCode>0.00</c:formatCode>
                <c:ptCount val="39"/>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gauss!$C$3:$C$41</c:f>
              <c:numCache>
                <c:formatCode>General</c:formatCode>
                <c:ptCount val="39"/>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C9CF-4657-9603-51EDC8A72BD2}"/>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C9CF-4657-9603-51EDC8A72BD2}"/>
              </c:ext>
            </c:extLst>
          </c:dPt>
          <c:xVal>
            <c:numRef>
              <c:f>gauss!$L$49:$L$50</c:f>
              <c:numCache>
                <c:formatCode>0.00</c:formatCode>
                <c:ptCount val="2"/>
                <c:pt idx="0">
                  <c:v>63.42</c:v>
                </c:pt>
                <c:pt idx="1">
                  <c:v>63.42</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C9CF-4657-9603-51EDC8A72BD2}"/>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C9CF-4657-9603-51EDC8A72BD2}"/>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C9CF-4657-9603-51EDC8A72BD2}"/>
                  </c:ext>
                </c:extLst>
              </c15:ser>
            </c15:filteredScatterSeries>
          </c:ext>
        </c:extLst>
      </c:scatterChart>
      <c:valAx>
        <c:axId val="123170559"/>
        <c:scaling>
          <c:orientation val="minMax"/>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pt idx="14">
                  <c:v>39.929999999999978</c:v>
                </c:pt>
                <c:pt idx="15">
                  <c:v>39.480000000000011</c:v>
                </c:pt>
                <c:pt idx="16">
                  <c:v>38.919999999999987</c:v>
                </c:pt>
                <c:pt idx="17">
                  <c:v>39.369999999999997</c:v>
                </c:pt>
                <c:pt idx="18">
                  <c:v>38.869999999999997</c:v>
                </c:pt>
              </c:numCache>
            </c:numRef>
          </c:val>
          <c:smooth val="0"/>
          <c:extLst>
            <c:ext xmlns:c16="http://schemas.microsoft.com/office/drawing/2014/chart" uri="{C3380CC4-5D6E-409C-BE32-E72D297353CC}">
              <c16:uniqueId val="{00000000-19BE-482C-AF60-53A9D5FF2FF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39.51</c:v>
                </c:pt>
                <c:pt idx="1">
                  <c:v>39.51</c:v>
                </c:pt>
                <c:pt idx="2">
                  <c:v>39.51</c:v>
                </c:pt>
                <c:pt idx="3">
                  <c:v>39.51</c:v>
                </c:pt>
                <c:pt idx="4">
                  <c:v>39.51</c:v>
                </c:pt>
                <c:pt idx="5">
                  <c:v>39.51</c:v>
                </c:pt>
                <c:pt idx="6">
                  <c:v>39.51</c:v>
                </c:pt>
                <c:pt idx="7">
                  <c:v>39.51</c:v>
                </c:pt>
                <c:pt idx="8">
                  <c:v>39.51</c:v>
                </c:pt>
                <c:pt idx="9">
                  <c:v>39.51</c:v>
                </c:pt>
                <c:pt idx="10">
                  <c:v>39.51</c:v>
                </c:pt>
                <c:pt idx="11">
                  <c:v>39.51</c:v>
                </c:pt>
                <c:pt idx="12">
                  <c:v>39.51</c:v>
                </c:pt>
                <c:pt idx="13">
                  <c:v>39.51</c:v>
                </c:pt>
                <c:pt idx="14">
                  <c:v>39.51</c:v>
                </c:pt>
                <c:pt idx="15">
                  <c:v>39.51</c:v>
                </c:pt>
                <c:pt idx="16">
                  <c:v>39.51</c:v>
                </c:pt>
                <c:pt idx="17">
                  <c:v>39.51</c:v>
                </c:pt>
                <c:pt idx="18">
                  <c:v>39.51</c:v>
                </c:pt>
                <c:pt idx="19">
                  <c:v>39.51</c:v>
                </c:pt>
                <c:pt idx="20">
                  <c:v>39.51</c:v>
                </c:pt>
                <c:pt idx="21">
                  <c:v>39.51</c:v>
                </c:pt>
                <c:pt idx="22">
                  <c:v>39.51</c:v>
                </c:pt>
                <c:pt idx="23">
                  <c:v>39.51</c:v>
                </c:pt>
                <c:pt idx="24">
                  <c:v>39.51</c:v>
                </c:pt>
                <c:pt idx="25">
                  <c:v>39.51</c:v>
                </c:pt>
                <c:pt idx="26">
                  <c:v>39.51</c:v>
                </c:pt>
                <c:pt idx="27">
                  <c:v>39.51</c:v>
                </c:pt>
                <c:pt idx="28">
                  <c:v>39.51</c:v>
                </c:pt>
                <c:pt idx="29">
                  <c:v>39.51</c:v>
                </c:pt>
              </c:numCache>
            </c:numRef>
          </c:val>
          <c:smooth val="0"/>
          <c:extLst>
            <c:ext xmlns:c16="http://schemas.microsoft.com/office/drawing/2014/chart" uri="{C3380CC4-5D6E-409C-BE32-E72D297353CC}">
              <c16:uniqueId val="{00000001-19BE-482C-AF60-53A9D5FF2FF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9BE-482C-AF60-53A9D5FF2FF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B393-4A59-940C-B2F4CC30BA49}"/>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2-B393-4A59-940C-B2F4CC30BA49}"/>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4-B393-4A59-940C-B2F4CC30BA49}"/>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6-B393-4A59-940C-B2F4CC30BA49}"/>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2133773329331"/>
          <c:y val="0.27353471522546347"/>
          <c:w val="0.84444862349940242"/>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65.52</c:v>
                </c:pt>
                <c:pt idx="14">
                  <c:v>64.65000000000002</c:v>
                </c:pt>
                <c:pt idx="15">
                  <c:v>62.619999999999969</c:v>
                </c:pt>
                <c:pt idx="16">
                  <c:v>62.52999999999998</c:v>
                </c:pt>
                <c:pt idx="17">
                  <c:v>61.97000000000002</c:v>
                </c:pt>
                <c:pt idx="18">
                  <c:v>61.97000000000002</c:v>
                </c:pt>
                <c:pt idx="19">
                  <c:v>61.97000000000002</c:v>
                </c:pt>
              </c:numCache>
            </c:numRef>
          </c:val>
          <c:smooth val="0"/>
          <c:extLst>
            <c:ext xmlns:c16="http://schemas.microsoft.com/office/drawing/2014/chart" uri="{C3380CC4-5D6E-409C-BE32-E72D297353CC}">
              <c16:uniqueId val="{00000000-56C5-4F94-9333-B4A6C66755D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62.64</c:v>
                </c:pt>
                <c:pt idx="1">
                  <c:v>62.64</c:v>
                </c:pt>
                <c:pt idx="2">
                  <c:v>62.64</c:v>
                </c:pt>
                <c:pt idx="3">
                  <c:v>62.64</c:v>
                </c:pt>
                <c:pt idx="4">
                  <c:v>62.64</c:v>
                </c:pt>
                <c:pt idx="5">
                  <c:v>62.64</c:v>
                </c:pt>
                <c:pt idx="6">
                  <c:v>62.64</c:v>
                </c:pt>
                <c:pt idx="7">
                  <c:v>62.64</c:v>
                </c:pt>
                <c:pt idx="8">
                  <c:v>62.64</c:v>
                </c:pt>
                <c:pt idx="9">
                  <c:v>62.64</c:v>
                </c:pt>
                <c:pt idx="10">
                  <c:v>62.64</c:v>
                </c:pt>
                <c:pt idx="11">
                  <c:v>62.64</c:v>
                </c:pt>
                <c:pt idx="12">
                  <c:v>62.64</c:v>
                </c:pt>
                <c:pt idx="13">
                  <c:v>62.64</c:v>
                </c:pt>
                <c:pt idx="14">
                  <c:v>62.64</c:v>
                </c:pt>
                <c:pt idx="15">
                  <c:v>62.64</c:v>
                </c:pt>
                <c:pt idx="16">
                  <c:v>62.64</c:v>
                </c:pt>
                <c:pt idx="17">
                  <c:v>62.64</c:v>
                </c:pt>
                <c:pt idx="18">
                  <c:v>62.64</c:v>
                </c:pt>
                <c:pt idx="19">
                  <c:v>62.64</c:v>
                </c:pt>
                <c:pt idx="20">
                  <c:v>62.64</c:v>
                </c:pt>
                <c:pt idx="21">
                  <c:v>62.64</c:v>
                </c:pt>
                <c:pt idx="22">
                  <c:v>62.64</c:v>
                </c:pt>
                <c:pt idx="23">
                  <c:v>62.64</c:v>
                </c:pt>
                <c:pt idx="24">
                  <c:v>62.64</c:v>
                </c:pt>
                <c:pt idx="25">
                  <c:v>62.64</c:v>
                </c:pt>
                <c:pt idx="26">
                  <c:v>62.64</c:v>
                </c:pt>
                <c:pt idx="27">
                  <c:v>62.64</c:v>
                </c:pt>
                <c:pt idx="28">
                  <c:v>62.64</c:v>
                </c:pt>
                <c:pt idx="29">
                  <c:v>62.64</c:v>
                </c:pt>
                <c:pt idx="30">
                  <c:v>62.64</c:v>
                </c:pt>
              </c:numCache>
            </c:numRef>
          </c:val>
          <c:smooth val="0"/>
          <c:extLst>
            <c:ext xmlns:c16="http://schemas.microsoft.com/office/drawing/2014/chart" uri="{C3380CC4-5D6E-409C-BE32-E72D297353CC}">
              <c16:uniqueId val="{00000001-56C5-4F94-9333-B4A6C66755D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6C5-4F94-9333-B4A6C66755D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0.45600000000000002</c:v>
                      </c:pt>
                      <c:pt idx="1">
                        <c:v>0.45600000000000002</c:v>
                      </c:pt>
                      <c:pt idx="2">
                        <c:v>0.45600000000000002</c:v>
                      </c:pt>
                      <c:pt idx="3">
                        <c:v>0.45600000000000002</c:v>
                      </c:pt>
                      <c:pt idx="4">
                        <c:v>0.45600000000000002</c:v>
                      </c:pt>
                      <c:pt idx="5">
                        <c:v>0.45600000000000002</c:v>
                      </c:pt>
                      <c:pt idx="6">
                        <c:v>0.45600000000000002</c:v>
                      </c:pt>
                      <c:pt idx="7">
                        <c:v>0.45600000000000002</c:v>
                      </c:pt>
                      <c:pt idx="8">
                        <c:v>0.45600000000000002</c:v>
                      </c:pt>
                      <c:pt idx="9">
                        <c:v>0.45600000000000002</c:v>
                      </c:pt>
                      <c:pt idx="10">
                        <c:v>0.45600000000000002</c:v>
                      </c:pt>
                      <c:pt idx="11">
                        <c:v>0.45600000000000002</c:v>
                      </c:pt>
                      <c:pt idx="12">
                        <c:v>0.45600000000000002</c:v>
                      </c:pt>
                      <c:pt idx="13">
                        <c:v>0.45600000000000002</c:v>
                      </c:pt>
                      <c:pt idx="14">
                        <c:v>0.45600000000000002</c:v>
                      </c:pt>
                      <c:pt idx="15">
                        <c:v>0.45600000000000002</c:v>
                      </c:pt>
                      <c:pt idx="16">
                        <c:v>0.45600000000000002</c:v>
                      </c:pt>
                      <c:pt idx="17">
                        <c:v>0.45600000000000002</c:v>
                      </c:pt>
                      <c:pt idx="18">
                        <c:v>0.45600000000000002</c:v>
                      </c:pt>
                      <c:pt idx="19">
                        <c:v>0.45600000000000002</c:v>
                      </c:pt>
                      <c:pt idx="20">
                        <c:v>0.45600000000000002</c:v>
                      </c:pt>
                      <c:pt idx="21">
                        <c:v>0.45600000000000002</c:v>
                      </c:pt>
                      <c:pt idx="22">
                        <c:v>0.45600000000000002</c:v>
                      </c:pt>
                      <c:pt idx="23">
                        <c:v>0.45600000000000002</c:v>
                      </c:pt>
                      <c:pt idx="24">
                        <c:v>0.45600000000000002</c:v>
                      </c:pt>
                      <c:pt idx="25">
                        <c:v>0.45600000000000002</c:v>
                      </c:pt>
                      <c:pt idx="26">
                        <c:v>0.45600000000000002</c:v>
                      </c:pt>
                      <c:pt idx="27">
                        <c:v>0.45600000000000002</c:v>
                      </c:pt>
                      <c:pt idx="28">
                        <c:v>0.45600000000000002</c:v>
                      </c:pt>
                      <c:pt idx="29">
                        <c:v>0.45600000000000002</c:v>
                      </c:pt>
                      <c:pt idx="30">
                        <c:v>0.45600000000000002</c:v>
                      </c:pt>
                    </c:numCache>
                  </c:numRef>
                </c:val>
                <c:extLst>
                  <c:ext xmlns:c16="http://schemas.microsoft.com/office/drawing/2014/chart" uri="{C3380CC4-5D6E-409C-BE32-E72D297353CC}">
                    <c16:uniqueId val="{00000006-5273-4A0F-987F-BC34BF0238D0}"/>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pt idx="15">
                  <c:v>0.625</c:v>
                </c:pt>
                <c:pt idx="16">
                  <c:v>0.43478260869565216</c:v>
                </c:pt>
                <c:pt idx="17">
                  <c:v>0.5</c:v>
                </c:pt>
                <c:pt idx="18">
                  <c:v>0.47826086956521746</c:v>
                </c:pt>
                <c:pt idx="19">
                  <c:v>0.45833333333333326</c:v>
                </c:pt>
              </c:numCache>
            </c:numRef>
          </c:val>
          <c:extLst>
            <c:ext xmlns:c16="http://schemas.microsoft.com/office/drawing/2014/chart" uri="{C3380CC4-5D6E-409C-BE32-E72D297353CC}">
              <c16:uniqueId val="{00000000-5273-4A0F-987F-BC34BF0238D0}"/>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pt idx="15">
                  <c:v>0</c:v>
                </c:pt>
                <c:pt idx="16">
                  <c:v>0</c:v>
                </c:pt>
                <c:pt idx="17">
                  <c:v>4.1666666666666664E-2</c:v>
                </c:pt>
                <c:pt idx="18">
                  <c:v>0</c:v>
                </c:pt>
                <c:pt idx="19">
                  <c:v>0</c:v>
                </c:pt>
              </c:numCache>
            </c:numRef>
          </c:val>
          <c:extLst>
            <c:ext xmlns:c16="http://schemas.microsoft.com/office/drawing/2014/chart" uri="{C3380CC4-5D6E-409C-BE32-E72D297353CC}">
              <c16:uniqueId val="{00000001-5273-4A0F-987F-BC34BF0238D0}"/>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pt idx="15">
                  <c:v>0.25</c:v>
                </c:pt>
                <c:pt idx="16">
                  <c:v>0.34782608695652173</c:v>
                </c:pt>
                <c:pt idx="17">
                  <c:v>0.375</c:v>
                </c:pt>
                <c:pt idx="18">
                  <c:v>0.47826086956521746</c:v>
                </c:pt>
                <c:pt idx="19">
                  <c:v>0.5</c:v>
                </c:pt>
              </c:numCache>
            </c:numRef>
          </c:val>
          <c:extLst>
            <c:ext xmlns:c16="http://schemas.microsoft.com/office/drawing/2014/chart" uri="{C3380CC4-5D6E-409C-BE32-E72D297353CC}">
              <c16:uniqueId val="{00000002-5273-4A0F-987F-BC34BF0238D0}"/>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5273-4A0F-987F-BC34BF0238D0}"/>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63.418999999999997</c:v>
                </c:pt>
                <c:pt idx="1">
                  <c:v>63.418999999999997</c:v>
                </c:pt>
                <c:pt idx="2">
                  <c:v>63.418999999999997</c:v>
                </c:pt>
                <c:pt idx="3">
                  <c:v>63.418999999999997</c:v>
                </c:pt>
                <c:pt idx="4">
                  <c:v>63.418999999999997</c:v>
                </c:pt>
                <c:pt idx="5">
                  <c:v>63.418999999999997</c:v>
                </c:pt>
                <c:pt idx="6">
                  <c:v>63.418999999999997</c:v>
                </c:pt>
                <c:pt idx="7">
                  <c:v>63.418999999999997</c:v>
                </c:pt>
                <c:pt idx="8">
                  <c:v>63.418999999999997</c:v>
                </c:pt>
                <c:pt idx="9">
                  <c:v>63.418999999999997</c:v>
                </c:pt>
                <c:pt idx="10">
                  <c:v>63.418999999999997</c:v>
                </c:pt>
                <c:pt idx="11">
                  <c:v>63.418999999999997</c:v>
                </c:pt>
                <c:pt idx="12">
                  <c:v>63.418999999999997</c:v>
                </c:pt>
                <c:pt idx="13">
                  <c:v>63.418999999999997</c:v>
                </c:pt>
                <c:pt idx="14">
                  <c:v>63.418999999999997</c:v>
                </c:pt>
                <c:pt idx="15">
                  <c:v>63.418999999999997</c:v>
                </c:pt>
                <c:pt idx="16">
                  <c:v>63.418999999999997</c:v>
                </c:pt>
                <c:pt idx="17">
                  <c:v>63.418999999999997</c:v>
                </c:pt>
                <c:pt idx="18">
                  <c:v>63.418999999999997</c:v>
                </c:pt>
                <c:pt idx="19">
                  <c:v>63.418999999999997</c:v>
                </c:pt>
                <c:pt idx="20">
                  <c:v>63.418999999999997</c:v>
                </c:pt>
                <c:pt idx="21">
                  <c:v>63.418999999999997</c:v>
                </c:pt>
                <c:pt idx="22">
                  <c:v>63.418999999999997</c:v>
                </c:pt>
                <c:pt idx="23">
                  <c:v>63.418999999999997</c:v>
                </c:pt>
                <c:pt idx="24">
                  <c:v>63.418999999999997</c:v>
                </c:pt>
                <c:pt idx="25">
                  <c:v>63.418999999999997</c:v>
                </c:pt>
                <c:pt idx="26">
                  <c:v>63.418999999999997</c:v>
                </c:pt>
                <c:pt idx="27">
                  <c:v>63.418999999999997</c:v>
                </c:pt>
                <c:pt idx="28">
                  <c:v>63.418999999999997</c:v>
                </c:pt>
                <c:pt idx="29">
                  <c:v>63.418999999999997</c:v>
                </c:pt>
                <c:pt idx="30">
                  <c:v>63.418999999999997</c:v>
                </c:pt>
              </c:numCache>
            </c:numRef>
          </c:val>
          <c:smooth val="0"/>
          <c:extLst>
            <c:ext xmlns:c16="http://schemas.microsoft.com/office/drawing/2014/chart" uri="{C3380CC4-5D6E-409C-BE32-E72D297353CC}">
              <c16:uniqueId val="{00000003-5273-4A0F-987F-BC34BF0238D0}"/>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pt idx="15">
                  <c:v>48.837083333333332</c:v>
                </c:pt>
                <c:pt idx="16">
                  <c:v>51.250416666666666</c:v>
                </c:pt>
                <c:pt idx="17">
                  <c:v>51.98749999999999</c:v>
                </c:pt>
                <c:pt idx="18">
                  <c:v>48.707916666666669</c:v>
                </c:pt>
                <c:pt idx="19">
                  <c:v>44.662916666666661</c:v>
                </c:pt>
              </c:numCache>
            </c:numRef>
          </c:val>
          <c:smooth val="0"/>
          <c:extLst>
            <c:ext xmlns:c16="http://schemas.microsoft.com/office/drawing/2014/chart" uri="{C3380CC4-5D6E-409C-BE32-E72D297353CC}">
              <c16:uniqueId val="{00000004-5273-4A0F-987F-BC34BF0238D0}"/>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0.04</c:v>
                      </c:pt>
                      <c:pt idx="1">
                        <c:v>3.6999999999999998E-2</c:v>
                      </c:pt>
                      <c:pt idx="2">
                        <c:v>3.5000000000000003E-2</c:v>
                      </c:pt>
                      <c:pt idx="3">
                        <c:v>3.4000000000000002E-2</c:v>
                      </c:pt>
                      <c:pt idx="4">
                        <c:v>3.5999999999999997E-2</c:v>
                      </c:pt>
                      <c:pt idx="5">
                        <c:v>3.9E-2</c:v>
                      </c:pt>
                      <c:pt idx="6">
                        <c:v>4.2000000000000003E-2</c:v>
                      </c:pt>
                      <c:pt idx="7">
                        <c:v>4.4999999999999998E-2</c:v>
                      </c:pt>
                      <c:pt idx="8">
                        <c:v>4.9000000000000002E-2</c:v>
                      </c:pt>
                      <c:pt idx="9">
                        <c:v>5.2999999999999999E-2</c:v>
                      </c:pt>
                      <c:pt idx="10">
                        <c:v>4.2000000000000003E-2</c:v>
                      </c:pt>
                      <c:pt idx="11">
                        <c:v>3.2000000000000001E-2</c:v>
                      </c:pt>
                      <c:pt idx="12">
                        <c:v>3.5999999999999997E-2</c:v>
                      </c:pt>
                      <c:pt idx="13">
                        <c:v>3.5999999999999997E-2</c:v>
                      </c:pt>
                      <c:pt idx="14">
                        <c:v>1.4E-2</c:v>
                      </c:pt>
                      <c:pt idx="15">
                        <c:v>8.0000000000000002E-3</c:v>
                      </c:pt>
                      <c:pt idx="16">
                        <c:v>0.01</c:v>
                      </c:pt>
                      <c:pt idx="17">
                        <c:v>1.4E-2</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5273-4A0F-987F-BC34BF0238D0}"/>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0.41</c:v>
                      </c:pt>
                      <c:pt idx="1">
                        <c:v>0.40100000000000002</c:v>
                      </c:pt>
                      <c:pt idx="2">
                        <c:v>0.39800000000000002</c:v>
                      </c:pt>
                      <c:pt idx="3">
                        <c:v>0.39900000000000002</c:v>
                      </c:pt>
                      <c:pt idx="4">
                        <c:v>0.38800000000000001</c:v>
                      </c:pt>
                      <c:pt idx="5">
                        <c:v>0.38300000000000001</c:v>
                      </c:pt>
                      <c:pt idx="6">
                        <c:v>0.38</c:v>
                      </c:pt>
                      <c:pt idx="7">
                        <c:v>0.378</c:v>
                      </c:pt>
                      <c:pt idx="8">
                        <c:v>0.38800000000000001</c:v>
                      </c:pt>
                      <c:pt idx="9">
                        <c:v>0.39300000000000002</c:v>
                      </c:pt>
                      <c:pt idx="10">
                        <c:v>0.41199999999999998</c:v>
                      </c:pt>
                      <c:pt idx="11">
                        <c:v>0.40699999999999997</c:v>
                      </c:pt>
                      <c:pt idx="12">
                        <c:v>0.4</c:v>
                      </c:pt>
                      <c:pt idx="13">
                        <c:v>0.41599999999999998</c:v>
                      </c:pt>
                      <c:pt idx="14">
                        <c:v>0.40899999999999997</c:v>
                      </c:pt>
                      <c:pt idx="15">
                        <c:v>0.39</c:v>
                      </c:pt>
                      <c:pt idx="16">
                        <c:v>0.42499999999999999</c:v>
                      </c:pt>
                      <c:pt idx="17">
                        <c:v>0.45100000000000001</c:v>
                      </c:pt>
                      <c:pt idx="18">
                        <c:v>0.48899999999999999</c:v>
                      </c:pt>
                      <c:pt idx="19">
                        <c:v>0.5</c:v>
                      </c:pt>
                      <c:pt idx="20">
                        <c:v>0.5</c:v>
                      </c:pt>
                      <c:pt idx="21">
                        <c:v>0.5</c:v>
                      </c:pt>
                      <c:pt idx="22">
                        <c:v>0.5</c:v>
                      </c:pt>
                      <c:pt idx="23">
                        <c:v>0.5</c:v>
                      </c:pt>
                      <c:pt idx="24">
                        <c:v>0.5</c:v>
                      </c:pt>
                      <c:pt idx="25">
                        <c:v>0.5</c:v>
                      </c:pt>
                      <c:pt idx="26">
                        <c:v>0.5</c:v>
                      </c:pt>
                      <c:pt idx="27">
                        <c:v>0.5</c:v>
                      </c:pt>
                      <c:pt idx="28">
                        <c:v>0.5</c:v>
                      </c:pt>
                      <c:pt idx="29">
                        <c:v>0.5</c:v>
                      </c:pt>
                      <c:pt idx="30">
                        <c:v>0.5</c:v>
                      </c:pt>
                    </c:numCache>
                  </c:numRef>
                </c:val>
                <c:smooth val="0"/>
                <c:extLst xmlns:c15="http://schemas.microsoft.com/office/drawing/2012/chart">
                  <c:ext xmlns:c16="http://schemas.microsoft.com/office/drawing/2014/chart" uri="{C3380CC4-5D6E-409C-BE32-E72D297353CC}">
                    <c16:uniqueId val="{00000008-5273-4A0F-987F-BC34BF0238D0}"/>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numCache>
                  </c:numRef>
                </c:val>
                <c:smooth val="0"/>
                <c:extLst xmlns:c15="http://schemas.microsoft.com/office/drawing/2012/chart">
                  <c:ext xmlns:c16="http://schemas.microsoft.com/office/drawing/2014/chart" uri="{C3380CC4-5D6E-409C-BE32-E72D297353CC}">
                    <c16:uniqueId val="{00000009-5273-4A0F-987F-BC34BF0238D0}"/>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32.772666666666666</c:v>
                      </c:pt>
                      <c:pt idx="16">
                        <c:v>19.145999999999997</c:v>
                      </c:pt>
                      <c:pt idx="17">
                        <c:v>25.685833333333335</c:v>
                      </c:pt>
                      <c:pt idx="18">
                        <c:v>30.633636363636366</c:v>
                      </c:pt>
                      <c:pt idx="19">
                        <c:v>22.784545454545452</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5273-4A0F-987F-BC34BF0238D0}"/>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48.28</c:v>
                      </c:pt>
                      <c:pt idx="1">
                        <c:v>48.28</c:v>
                      </c:pt>
                      <c:pt idx="2">
                        <c:v>48.28</c:v>
                      </c:pt>
                      <c:pt idx="3">
                        <c:v>48.28</c:v>
                      </c:pt>
                      <c:pt idx="4">
                        <c:v>48.28</c:v>
                      </c:pt>
                      <c:pt idx="5">
                        <c:v>48.28</c:v>
                      </c:pt>
                      <c:pt idx="6">
                        <c:v>48.28</c:v>
                      </c:pt>
                      <c:pt idx="7">
                        <c:v>48.28</c:v>
                      </c:pt>
                      <c:pt idx="8">
                        <c:v>48.28</c:v>
                      </c:pt>
                      <c:pt idx="9">
                        <c:v>48.28</c:v>
                      </c:pt>
                      <c:pt idx="10">
                        <c:v>48.28</c:v>
                      </c:pt>
                      <c:pt idx="11">
                        <c:v>48.28</c:v>
                      </c:pt>
                      <c:pt idx="12">
                        <c:v>48.28</c:v>
                      </c:pt>
                      <c:pt idx="13">
                        <c:v>48.28</c:v>
                      </c:pt>
                      <c:pt idx="14">
                        <c:v>48.28</c:v>
                      </c:pt>
                      <c:pt idx="15">
                        <c:v>48.28</c:v>
                      </c:pt>
                      <c:pt idx="16">
                        <c:v>48.28</c:v>
                      </c:pt>
                      <c:pt idx="17">
                        <c:v>48.28</c:v>
                      </c:pt>
                      <c:pt idx="18">
                        <c:v>48.28</c:v>
                      </c:pt>
                      <c:pt idx="19">
                        <c:v>48.28</c:v>
                      </c:pt>
                      <c:pt idx="20">
                        <c:v>48.28</c:v>
                      </c:pt>
                      <c:pt idx="21">
                        <c:v>48.28</c:v>
                      </c:pt>
                      <c:pt idx="22">
                        <c:v>48.28</c:v>
                      </c:pt>
                      <c:pt idx="23">
                        <c:v>48.28</c:v>
                      </c:pt>
                      <c:pt idx="24">
                        <c:v>48.28</c:v>
                      </c:pt>
                      <c:pt idx="25">
                        <c:v>48.28</c:v>
                      </c:pt>
                      <c:pt idx="26">
                        <c:v>48.28</c:v>
                      </c:pt>
                      <c:pt idx="27">
                        <c:v>48.28</c:v>
                      </c:pt>
                      <c:pt idx="28">
                        <c:v>48.28</c:v>
                      </c:pt>
                      <c:pt idx="29">
                        <c:v>48.28</c:v>
                      </c:pt>
                      <c:pt idx="30">
                        <c:v>48.28</c:v>
                      </c:pt>
                    </c:numCache>
                  </c:numRef>
                </c:val>
                <c:smooth val="0"/>
                <c:extLst xmlns:c15="http://schemas.microsoft.com/office/drawing/2012/chart">
                  <c:ext xmlns:c16="http://schemas.microsoft.com/office/drawing/2014/chart" uri="{C3380CC4-5D6E-409C-BE32-E72D297353CC}">
                    <c16:uniqueId val="{0000000B-5273-4A0F-987F-BC34BF0238D0}"/>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109.56</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5273-4A0F-987F-BC34BF0238D0}"/>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54.177</c:v>
                      </c:pt>
                      <c:pt idx="1">
                        <c:v>54.177</c:v>
                      </c:pt>
                      <c:pt idx="2">
                        <c:v>54.177</c:v>
                      </c:pt>
                      <c:pt idx="3">
                        <c:v>54.177</c:v>
                      </c:pt>
                      <c:pt idx="4">
                        <c:v>54.177</c:v>
                      </c:pt>
                      <c:pt idx="5">
                        <c:v>54.177</c:v>
                      </c:pt>
                      <c:pt idx="6">
                        <c:v>54.177</c:v>
                      </c:pt>
                      <c:pt idx="7">
                        <c:v>54.177</c:v>
                      </c:pt>
                      <c:pt idx="8">
                        <c:v>54.177</c:v>
                      </c:pt>
                      <c:pt idx="9">
                        <c:v>54.177</c:v>
                      </c:pt>
                      <c:pt idx="10">
                        <c:v>54.177</c:v>
                      </c:pt>
                      <c:pt idx="11">
                        <c:v>54.177</c:v>
                      </c:pt>
                      <c:pt idx="12">
                        <c:v>54.177</c:v>
                      </c:pt>
                      <c:pt idx="13">
                        <c:v>54.177</c:v>
                      </c:pt>
                      <c:pt idx="14">
                        <c:v>54.177</c:v>
                      </c:pt>
                      <c:pt idx="15">
                        <c:v>54.177</c:v>
                      </c:pt>
                      <c:pt idx="16">
                        <c:v>54.177</c:v>
                      </c:pt>
                      <c:pt idx="17">
                        <c:v>54.177</c:v>
                      </c:pt>
                      <c:pt idx="18">
                        <c:v>54.177</c:v>
                      </c:pt>
                      <c:pt idx="19">
                        <c:v>54.177</c:v>
                      </c:pt>
                      <c:pt idx="20">
                        <c:v>54.177</c:v>
                      </c:pt>
                      <c:pt idx="21">
                        <c:v>54.177</c:v>
                      </c:pt>
                      <c:pt idx="22">
                        <c:v>54.177</c:v>
                      </c:pt>
                      <c:pt idx="23">
                        <c:v>54.177</c:v>
                      </c:pt>
                      <c:pt idx="24">
                        <c:v>54.177</c:v>
                      </c:pt>
                      <c:pt idx="25">
                        <c:v>54.177</c:v>
                      </c:pt>
                      <c:pt idx="26">
                        <c:v>54.177</c:v>
                      </c:pt>
                      <c:pt idx="27">
                        <c:v>54.177</c:v>
                      </c:pt>
                      <c:pt idx="28">
                        <c:v>54.177</c:v>
                      </c:pt>
                      <c:pt idx="29">
                        <c:v>54.177</c:v>
                      </c:pt>
                      <c:pt idx="30">
                        <c:v>54.177</c:v>
                      </c:pt>
                    </c:numCache>
                  </c:numRef>
                </c:val>
                <c:smooth val="0"/>
                <c:extLst xmlns:c15="http://schemas.microsoft.com/office/drawing/2012/chart">
                  <c:ext xmlns:c16="http://schemas.microsoft.com/office/drawing/2014/chart" uri="{C3380CC4-5D6E-409C-BE32-E72D297353CC}">
                    <c16:uniqueId val="{0000000D-5273-4A0F-987F-BC34BF0238D0}"/>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70.668333333333322</c:v>
                      </c:pt>
                      <c:pt idx="16">
                        <c:v>76.097499999999997</c:v>
                      </c:pt>
                      <c:pt idx="17">
                        <c:v>75.545555555555552</c:v>
                      </c:pt>
                      <c:pt idx="18">
                        <c:v>63.365454545454547</c:v>
                      </c:pt>
                      <c:pt idx="19">
                        <c:v>64.69</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5273-4A0F-987F-BC34BF0238D0}"/>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75.311000000000007</c:v>
                      </c:pt>
                      <c:pt idx="1">
                        <c:v>75.311000000000007</c:v>
                      </c:pt>
                      <c:pt idx="2">
                        <c:v>75.311000000000007</c:v>
                      </c:pt>
                      <c:pt idx="3">
                        <c:v>75.311000000000007</c:v>
                      </c:pt>
                      <c:pt idx="4">
                        <c:v>75.311000000000007</c:v>
                      </c:pt>
                      <c:pt idx="5">
                        <c:v>75.311000000000007</c:v>
                      </c:pt>
                      <c:pt idx="6">
                        <c:v>75.311000000000007</c:v>
                      </c:pt>
                      <c:pt idx="7">
                        <c:v>75.311000000000007</c:v>
                      </c:pt>
                      <c:pt idx="8">
                        <c:v>75.311000000000007</c:v>
                      </c:pt>
                      <c:pt idx="9">
                        <c:v>75.311000000000007</c:v>
                      </c:pt>
                      <c:pt idx="10">
                        <c:v>75.311000000000007</c:v>
                      </c:pt>
                      <c:pt idx="11">
                        <c:v>75.311000000000007</c:v>
                      </c:pt>
                      <c:pt idx="12">
                        <c:v>75.311000000000007</c:v>
                      </c:pt>
                      <c:pt idx="13">
                        <c:v>75.311000000000007</c:v>
                      </c:pt>
                      <c:pt idx="14">
                        <c:v>75.311000000000007</c:v>
                      </c:pt>
                      <c:pt idx="15">
                        <c:v>75.311000000000007</c:v>
                      </c:pt>
                      <c:pt idx="16">
                        <c:v>75.311000000000007</c:v>
                      </c:pt>
                      <c:pt idx="17">
                        <c:v>75.311000000000007</c:v>
                      </c:pt>
                      <c:pt idx="18">
                        <c:v>75.311000000000007</c:v>
                      </c:pt>
                      <c:pt idx="19">
                        <c:v>75.311000000000007</c:v>
                      </c:pt>
                      <c:pt idx="20">
                        <c:v>75.311000000000007</c:v>
                      </c:pt>
                      <c:pt idx="21">
                        <c:v>75.311000000000007</c:v>
                      </c:pt>
                      <c:pt idx="22">
                        <c:v>75.311000000000007</c:v>
                      </c:pt>
                      <c:pt idx="23">
                        <c:v>75.311000000000007</c:v>
                      </c:pt>
                      <c:pt idx="24">
                        <c:v>75.311000000000007</c:v>
                      </c:pt>
                      <c:pt idx="25">
                        <c:v>75.311000000000007</c:v>
                      </c:pt>
                      <c:pt idx="26">
                        <c:v>75.311000000000007</c:v>
                      </c:pt>
                      <c:pt idx="27">
                        <c:v>75.311000000000007</c:v>
                      </c:pt>
                      <c:pt idx="28">
                        <c:v>75.311000000000007</c:v>
                      </c:pt>
                      <c:pt idx="29">
                        <c:v>75.311000000000007</c:v>
                      </c:pt>
                      <c:pt idx="30">
                        <c:v>75.311000000000007</c:v>
                      </c:pt>
                    </c:numCache>
                  </c:numRef>
                </c:val>
                <c:smooth val="0"/>
                <c:extLst xmlns:c15="http://schemas.microsoft.com/office/drawing/2012/chart">
                  <c:ext xmlns:c16="http://schemas.microsoft.com/office/drawing/2014/chart" uri="{C3380CC4-5D6E-409C-BE32-E72D297353CC}">
                    <c16:uniqueId val="{0000000F-5273-4A0F-987F-BC34BF0238D0}"/>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pt idx="20">
                        <c:v>546.79999999999995</c:v>
                      </c:pt>
                      <c:pt idx="21">
                        <c:v>546.79999999999995</c:v>
                      </c:pt>
                      <c:pt idx="22">
                        <c:v>546.79999999999995</c:v>
                      </c:pt>
                      <c:pt idx="23">
                        <c:v>546.79999999999995</c:v>
                      </c:pt>
                      <c:pt idx="24">
                        <c:v>546.79999999999995</c:v>
                      </c:pt>
                      <c:pt idx="25">
                        <c:v>546.79999999999995</c:v>
                      </c:pt>
                      <c:pt idx="26">
                        <c:v>546.79999999999995</c:v>
                      </c:pt>
                      <c:pt idx="27">
                        <c:v>546.79999999999995</c:v>
                      </c:pt>
                      <c:pt idx="28">
                        <c:v>546.79999999999995</c:v>
                      </c:pt>
                      <c:pt idx="29">
                        <c:v>546.79999999999995</c:v>
                      </c:pt>
                      <c:pt idx="30">
                        <c:v>546.79999999999995</c:v>
                      </c:pt>
                    </c:numCache>
                  </c:numRef>
                </c:val>
                <c:smooth val="0"/>
                <c:extLst xmlns:c15="http://schemas.microsoft.com/office/drawing/2012/chart">
                  <c:ext xmlns:c16="http://schemas.microsoft.com/office/drawing/2014/chart" uri="{C3380CC4-5D6E-409C-BE32-E72D297353CC}">
                    <c16:uniqueId val="{00000010-5273-4A0F-987F-BC34BF0238D0}"/>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C5B2-4244-B2E0-F0E839859BF6}"/>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C5B2-4244-B2E0-F0E839859BF6}"/>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C5B2-4244-B2E0-F0E839859BF6}"/>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C5B2-4244-B2E0-F0E839859BF6}"/>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C5B2-4244-B2E0-F0E839859BF6}"/>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C5B2-4244-B2E0-F0E839859BF6}"/>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C5B2-4244-B2E0-F0E839859BF6}"/>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C5B2-4244-B2E0-F0E839859BF6}"/>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C5B2-4244-B2E0-F0E839859BF6}"/>
              </c:ext>
            </c:extLst>
          </c:dPt>
          <c:dPt>
            <c:idx val="9"/>
            <c:bubble3D val="0"/>
            <c:spPr>
              <a:noFill/>
              <a:ln w="19050">
                <a:noFill/>
              </a:ln>
              <a:effectLst/>
            </c:spPr>
            <c:extLst>
              <c:ext xmlns:c16="http://schemas.microsoft.com/office/drawing/2014/chart" uri="{C3380CC4-5D6E-409C-BE32-E72D297353CC}">
                <c16:uniqueId val="{00000013-C5B2-4244-B2E0-F0E839859BF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B2-4244-B2E0-F0E839859BF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C5B2-4244-B2E0-F0E839859BF6}"/>
              </c:ext>
            </c:extLst>
          </c:dPt>
          <c:xVal>
            <c:numRef>
              <c:f>[1]omie_dinamic_dia!$X$11:$X$12</c:f>
              <c:numCache>
                <c:formatCode>General</c:formatCode>
                <c:ptCount val="2"/>
                <c:pt idx="0">
                  <c:v>0</c:v>
                </c:pt>
                <c:pt idx="1">
                  <c:v>0.96202767158608593</c:v>
                </c:pt>
              </c:numCache>
            </c:numRef>
          </c:xVal>
          <c:yVal>
            <c:numRef>
              <c:f>[1]omie_dinamic_dia!$Y$11:$Y$12</c:f>
              <c:numCache>
                <c:formatCode>General</c:formatCode>
                <c:ptCount val="2"/>
                <c:pt idx="0">
                  <c:v>0</c:v>
                </c:pt>
                <c:pt idx="1">
                  <c:v>0.27295193551732505</c:v>
                </c:pt>
              </c:numCache>
            </c:numRef>
          </c:yVal>
          <c:smooth val="1"/>
          <c:extLst>
            <c:ext xmlns:c16="http://schemas.microsoft.com/office/drawing/2014/chart" uri="{C3380CC4-5D6E-409C-BE32-E72D297353CC}">
              <c16:uniqueId val="{00000017-C5B2-4244-B2E0-F0E839859BF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07F-47A7-AEDB-10B9E210EAB1}"/>
              </c:ext>
            </c:extLst>
          </c:dPt>
          <c:dPt>
            <c:idx val="1"/>
            <c:bubble3D val="0"/>
            <c:spPr>
              <a:solidFill>
                <a:schemeClr val="accent2">
                  <a:lumMod val="20000"/>
                  <a:lumOff val="80000"/>
                </a:schemeClr>
              </a:solidFill>
            </c:spPr>
            <c:extLst>
              <c:ext xmlns:c16="http://schemas.microsoft.com/office/drawing/2014/chart" uri="{C3380CC4-5D6E-409C-BE32-E72D297353CC}">
                <c16:uniqueId val="{00000003-407F-47A7-AEDB-10B9E210EAB1}"/>
              </c:ext>
            </c:extLst>
          </c:dPt>
          <c:dPt>
            <c:idx val="2"/>
            <c:bubble3D val="0"/>
            <c:spPr>
              <a:solidFill>
                <a:schemeClr val="accent2">
                  <a:lumMod val="40000"/>
                  <a:lumOff val="60000"/>
                </a:schemeClr>
              </a:solidFill>
            </c:spPr>
            <c:extLst>
              <c:ext xmlns:c16="http://schemas.microsoft.com/office/drawing/2014/chart" uri="{C3380CC4-5D6E-409C-BE32-E72D297353CC}">
                <c16:uniqueId val="{00000005-407F-47A7-AEDB-10B9E210EAB1}"/>
              </c:ext>
            </c:extLst>
          </c:dPt>
          <c:dPt>
            <c:idx val="3"/>
            <c:bubble3D val="0"/>
            <c:spPr>
              <a:solidFill>
                <a:schemeClr val="accent2">
                  <a:lumMod val="40000"/>
                  <a:lumOff val="60000"/>
                </a:schemeClr>
              </a:solidFill>
            </c:spPr>
            <c:extLst>
              <c:ext xmlns:c16="http://schemas.microsoft.com/office/drawing/2014/chart" uri="{C3380CC4-5D6E-409C-BE32-E72D297353CC}">
                <c16:uniqueId val="{00000007-407F-47A7-AEDB-10B9E210EAB1}"/>
              </c:ext>
            </c:extLst>
          </c:dPt>
          <c:dPt>
            <c:idx val="4"/>
            <c:bubble3D val="0"/>
            <c:spPr>
              <a:solidFill>
                <a:schemeClr val="accent2">
                  <a:lumMod val="60000"/>
                  <a:lumOff val="40000"/>
                </a:schemeClr>
              </a:solidFill>
            </c:spPr>
            <c:extLst>
              <c:ext xmlns:c16="http://schemas.microsoft.com/office/drawing/2014/chart" uri="{C3380CC4-5D6E-409C-BE32-E72D297353CC}">
                <c16:uniqueId val="{00000009-407F-47A7-AEDB-10B9E210EAB1}"/>
              </c:ext>
            </c:extLst>
          </c:dPt>
          <c:dPt>
            <c:idx val="5"/>
            <c:bubble3D val="0"/>
            <c:spPr>
              <a:solidFill>
                <a:schemeClr val="accent2">
                  <a:lumMod val="60000"/>
                  <a:lumOff val="40000"/>
                </a:schemeClr>
              </a:solidFill>
            </c:spPr>
            <c:extLst>
              <c:ext xmlns:c16="http://schemas.microsoft.com/office/drawing/2014/chart" uri="{C3380CC4-5D6E-409C-BE32-E72D297353CC}">
                <c16:uniqueId val="{0000000B-407F-47A7-AEDB-10B9E210EAB1}"/>
              </c:ext>
            </c:extLst>
          </c:dPt>
          <c:dPt>
            <c:idx val="6"/>
            <c:bubble3D val="0"/>
            <c:spPr>
              <a:solidFill>
                <a:schemeClr val="accent2">
                  <a:lumMod val="75000"/>
                </a:schemeClr>
              </a:solidFill>
            </c:spPr>
            <c:extLst>
              <c:ext xmlns:c16="http://schemas.microsoft.com/office/drawing/2014/chart" uri="{C3380CC4-5D6E-409C-BE32-E72D297353CC}">
                <c16:uniqueId val="{0000000D-407F-47A7-AEDB-10B9E210EAB1}"/>
              </c:ext>
            </c:extLst>
          </c:dPt>
          <c:dPt>
            <c:idx val="7"/>
            <c:bubble3D val="0"/>
            <c:spPr>
              <a:solidFill>
                <a:schemeClr val="accent2">
                  <a:lumMod val="75000"/>
                </a:schemeClr>
              </a:solidFill>
            </c:spPr>
            <c:extLst>
              <c:ext xmlns:c16="http://schemas.microsoft.com/office/drawing/2014/chart" uri="{C3380CC4-5D6E-409C-BE32-E72D297353CC}">
                <c16:uniqueId val="{0000000F-407F-47A7-AEDB-10B9E210EAB1}"/>
              </c:ext>
            </c:extLst>
          </c:dPt>
          <c:dPt>
            <c:idx val="8"/>
            <c:bubble3D val="0"/>
            <c:spPr>
              <a:solidFill>
                <a:schemeClr val="accent2">
                  <a:lumMod val="50000"/>
                </a:schemeClr>
              </a:solidFill>
            </c:spPr>
            <c:extLst>
              <c:ext xmlns:c16="http://schemas.microsoft.com/office/drawing/2014/chart" uri="{C3380CC4-5D6E-409C-BE32-E72D297353CC}">
                <c16:uniqueId val="{00000011-407F-47A7-AEDB-10B9E210EAB1}"/>
              </c:ext>
            </c:extLst>
          </c:dPt>
          <c:dPt>
            <c:idx val="9"/>
            <c:bubble3D val="0"/>
            <c:spPr>
              <a:noFill/>
            </c:spPr>
            <c:extLst>
              <c:ext xmlns:c16="http://schemas.microsoft.com/office/drawing/2014/chart" uri="{C3380CC4-5D6E-409C-BE32-E72D297353CC}">
                <c16:uniqueId val="{00000013-407F-47A7-AEDB-10B9E210EAB1}"/>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07F-47A7-AEDB-10B9E210EAB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-0.96858316112863108</c:v>
                </c:pt>
              </c:numCache>
            </c:numRef>
          </c:xVal>
          <c:yVal>
            <c:numRef>
              <c:f>[1]omie_dinamic_dia!$AC$20:$AC$21</c:f>
              <c:numCache>
                <c:formatCode>General</c:formatCode>
                <c:ptCount val="2"/>
                <c:pt idx="0">
                  <c:v>0</c:v>
                </c:pt>
                <c:pt idx="1">
                  <c:v>0.24868988716485479</c:v>
                </c:pt>
              </c:numCache>
            </c:numRef>
          </c:yVal>
          <c:smooth val="1"/>
          <c:extLst>
            <c:ext xmlns:c16="http://schemas.microsoft.com/office/drawing/2014/chart" uri="{C3380CC4-5D6E-409C-BE32-E72D297353CC}">
              <c16:uniqueId val="{00000015-407F-47A7-AEDB-10B9E210EAB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44F7-4119-BDC9-6F7645B1E807}"/>
              </c:ext>
            </c:extLst>
          </c:dPt>
          <c:dPt>
            <c:idx val="1"/>
            <c:bubble3D val="0"/>
            <c:spPr>
              <a:solidFill>
                <a:schemeClr val="accent1">
                  <a:lumMod val="20000"/>
                  <a:lumOff val="80000"/>
                </a:schemeClr>
              </a:solidFill>
            </c:spPr>
            <c:extLst>
              <c:ext xmlns:c16="http://schemas.microsoft.com/office/drawing/2014/chart" uri="{C3380CC4-5D6E-409C-BE32-E72D297353CC}">
                <c16:uniqueId val="{00000003-44F7-4119-BDC9-6F7645B1E807}"/>
              </c:ext>
            </c:extLst>
          </c:dPt>
          <c:dPt>
            <c:idx val="2"/>
            <c:bubble3D val="0"/>
            <c:spPr>
              <a:solidFill>
                <a:schemeClr val="accent1">
                  <a:lumMod val="40000"/>
                  <a:lumOff val="60000"/>
                </a:schemeClr>
              </a:solidFill>
            </c:spPr>
            <c:extLst>
              <c:ext xmlns:c16="http://schemas.microsoft.com/office/drawing/2014/chart" uri="{C3380CC4-5D6E-409C-BE32-E72D297353CC}">
                <c16:uniqueId val="{00000005-44F7-4119-BDC9-6F7645B1E807}"/>
              </c:ext>
            </c:extLst>
          </c:dPt>
          <c:dPt>
            <c:idx val="3"/>
            <c:bubble3D val="0"/>
            <c:spPr>
              <a:solidFill>
                <a:schemeClr val="accent1">
                  <a:lumMod val="40000"/>
                  <a:lumOff val="60000"/>
                </a:schemeClr>
              </a:solidFill>
            </c:spPr>
            <c:extLst>
              <c:ext xmlns:c16="http://schemas.microsoft.com/office/drawing/2014/chart" uri="{C3380CC4-5D6E-409C-BE32-E72D297353CC}">
                <c16:uniqueId val="{00000007-44F7-4119-BDC9-6F7645B1E807}"/>
              </c:ext>
            </c:extLst>
          </c:dPt>
          <c:dPt>
            <c:idx val="4"/>
            <c:bubble3D val="0"/>
            <c:spPr>
              <a:solidFill>
                <a:schemeClr val="accent1">
                  <a:lumMod val="60000"/>
                  <a:lumOff val="40000"/>
                </a:schemeClr>
              </a:solidFill>
            </c:spPr>
            <c:extLst>
              <c:ext xmlns:c16="http://schemas.microsoft.com/office/drawing/2014/chart" uri="{C3380CC4-5D6E-409C-BE32-E72D297353CC}">
                <c16:uniqueId val="{00000009-44F7-4119-BDC9-6F7645B1E807}"/>
              </c:ext>
            </c:extLst>
          </c:dPt>
          <c:dPt>
            <c:idx val="5"/>
            <c:bubble3D val="0"/>
            <c:spPr>
              <a:solidFill>
                <a:schemeClr val="accent1">
                  <a:lumMod val="60000"/>
                  <a:lumOff val="40000"/>
                </a:schemeClr>
              </a:solidFill>
            </c:spPr>
            <c:extLst>
              <c:ext xmlns:c16="http://schemas.microsoft.com/office/drawing/2014/chart" uri="{C3380CC4-5D6E-409C-BE32-E72D297353CC}">
                <c16:uniqueId val="{0000000B-44F7-4119-BDC9-6F7645B1E807}"/>
              </c:ext>
            </c:extLst>
          </c:dPt>
          <c:dPt>
            <c:idx val="6"/>
            <c:bubble3D val="0"/>
            <c:spPr>
              <a:solidFill>
                <a:schemeClr val="accent1">
                  <a:lumMod val="75000"/>
                </a:schemeClr>
              </a:solidFill>
            </c:spPr>
            <c:extLst>
              <c:ext xmlns:c16="http://schemas.microsoft.com/office/drawing/2014/chart" uri="{C3380CC4-5D6E-409C-BE32-E72D297353CC}">
                <c16:uniqueId val="{0000000D-44F7-4119-BDC9-6F7645B1E807}"/>
              </c:ext>
            </c:extLst>
          </c:dPt>
          <c:dPt>
            <c:idx val="7"/>
            <c:bubble3D val="0"/>
            <c:spPr>
              <a:solidFill>
                <a:schemeClr val="accent1">
                  <a:lumMod val="75000"/>
                </a:schemeClr>
              </a:solidFill>
            </c:spPr>
            <c:extLst>
              <c:ext xmlns:c16="http://schemas.microsoft.com/office/drawing/2014/chart" uri="{C3380CC4-5D6E-409C-BE32-E72D297353CC}">
                <c16:uniqueId val="{0000000F-44F7-4119-BDC9-6F7645B1E807}"/>
              </c:ext>
            </c:extLst>
          </c:dPt>
          <c:dPt>
            <c:idx val="8"/>
            <c:bubble3D val="0"/>
            <c:spPr>
              <a:solidFill>
                <a:schemeClr val="accent1">
                  <a:lumMod val="50000"/>
                </a:schemeClr>
              </a:solidFill>
            </c:spPr>
            <c:extLst>
              <c:ext xmlns:c16="http://schemas.microsoft.com/office/drawing/2014/chart" uri="{C3380CC4-5D6E-409C-BE32-E72D297353CC}">
                <c16:uniqueId val="{00000011-44F7-4119-BDC9-6F7645B1E807}"/>
              </c:ext>
            </c:extLst>
          </c:dPt>
          <c:dPt>
            <c:idx val="9"/>
            <c:bubble3D val="0"/>
            <c:spPr>
              <a:noFill/>
            </c:spPr>
            <c:extLst>
              <c:ext xmlns:c16="http://schemas.microsoft.com/office/drawing/2014/chart" uri="{C3380CC4-5D6E-409C-BE32-E72D297353CC}">
                <c16:uniqueId val="{00000013-44F7-4119-BDC9-6F7645B1E807}"/>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4F7-4119-BDC9-6F7645B1E807}"/>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0.84432792550201485</c:v>
                </c:pt>
              </c:numCache>
            </c:numRef>
          </c:xVal>
          <c:yVal>
            <c:numRef>
              <c:f>[1]omie_dinamic_dia!$Y$37:$Y$38</c:f>
              <c:numCache>
                <c:formatCode>General</c:formatCode>
                <c:ptCount val="2"/>
                <c:pt idx="0">
                  <c:v>0</c:v>
                </c:pt>
                <c:pt idx="1">
                  <c:v>0.53582679497899699</c:v>
                </c:pt>
              </c:numCache>
            </c:numRef>
          </c:yVal>
          <c:smooth val="1"/>
          <c:extLst>
            <c:ext xmlns:c16="http://schemas.microsoft.com/office/drawing/2014/chart" uri="{C3380CC4-5D6E-409C-BE32-E72D297353CC}">
              <c16:uniqueId val="{00000015-44F7-4119-BDC9-6F7645B1E807}"/>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511</c:v>
                </c:pt>
                <c:pt idx="13">
                  <c:v>626</c:v>
                </c:pt>
                <c:pt idx="14">
                  <c:v>647</c:v>
                </c:pt>
                <c:pt idx="15">
                  <c:v>648</c:v>
                </c:pt>
                <c:pt idx="16">
                  <c:v>638</c:v>
                </c:pt>
                <c:pt idx="17">
                  <c:v>459</c:v>
                </c:pt>
                <c:pt idx="18">
                  <c:v>0</c:v>
                </c:pt>
                <c:pt idx="19">
                  <c:v>0</c:v>
                </c:pt>
              </c:numCache>
            </c:numRef>
          </c:val>
          <c:extLst>
            <c:ext xmlns:c16="http://schemas.microsoft.com/office/drawing/2014/chart" uri="{C3380CC4-5D6E-409C-BE32-E72D297353CC}">
              <c16:uniqueId val="{00000000-58BA-4AAE-93D4-04A1D1F579A5}"/>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gauss!$B$3:$B$41</c:f>
              <c:numCache>
                <c:formatCode>0.00</c:formatCode>
                <c:ptCount val="39"/>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gauss!$C$3:$C$41</c:f>
              <c:numCache>
                <c:formatCode>General</c:formatCode>
                <c:ptCount val="39"/>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E1C3-4449-85E1-E88AD64C2797}"/>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E1C3-4449-85E1-E88AD64C2797}"/>
              </c:ext>
            </c:extLst>
          </c:dPt>
          <c:xVal>
            <c:numRef>
              <c:f>gauss!$L$49:$L$50</c:f>
              <c:numCache>
                <c:formatCode>0.00</c:formatCode>
                <c:ptCount val="2"/>
                <c:pt idx="0">
                  <c:v>63.42</c:v>
                </c:pt>
                <c:pt idx="1">
                  <c:v>63.42</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E1C3-4449-85E1-E88AD64C2797}"/>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E1C3-4449-85E1-E88AD64C2797}"/>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E1C3-4449-85E1-E88AD64C2797}"/>
                  </c:ext>
                </c:extLst>
              </c15:ser>
            </c15:filteredScatterSeries>
          </c:ext>
        </c:extLst>
      </c:scatterChart>
      <c:valAx>
        <c:axId val="123170559"/>
        <c:scaling>
          <c:orientation val="minMax"/>
          <c:min val="4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r>
              <a:rPr lang="es-ES" sz="1800">
                <a:latin typeface="Arial Narrow" panose="020B0606020202030204" pitchFamily="34" charset="0"/>
              </a:rPr>
              <a:t>Distribución de las</a:t>
            </a:r>
            <a:r>
              <a:rPr lang="es-ES" sz="1800" baseline="0">
                <a:latin typeface="Arial Narrow" panose="020B0606020202030204" pitchFamily="34" charset="0"/>
              </a:rPr>
              <a:t> apuestas. </a:t>
            </a:r>
            <a:r>
              <a:rPr lang="es-ES" sz="1800" b="1" baseline="0">
                <a:latin typeface="Arial Narrow" panose="020B0606020202030204" pitchFamily="34" charset="0"/>
              </a:rPr>
              <a:t>#miniporraagosto2024</a:t>
            </a:r>
            <a:endParaRPr lang="es-ES" sz="1800" b="1">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gauss!$B$3:$B$41</c:f>
              <c:numCache>
                <c:formatCode>0.00</c:formatCode>
                <c:ptCount val="39"/>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gauss!$C$3:$C$41</c:f>
              <c:numCache>
                <c:formatCode>General</c:formatCode>
                <c:ptCount val="39"/>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AA46-4E77-A1D3-DA9F8A562001}"/>
            </c:ext>
          </c:extLst>
        </c:ser>
        <c:ser>
          <c:idx val="2"/>
          <c:order val="2"/>
          <c:tx>
            <c:v>a</c:v>
          </c:tx>
          <c:spPr>
            <a:ln w="19050" cap="rnd">
              <a:solidFill>
                <a:schemeClr val="accent2"/>
              </a:solidFill>
              <a:round/>
            </a:ln>
            <a:effectLst/>
          </c:spPr>
          <c:marker>
            <c:symbol val="circle"/>
            <c:size val="5"/>
            <c:spPr>
              <a:solidFill>
                <a:schemeClr val="accent3"/>
              </a:solidFill>
              <a:ln w="9525">
                <a:solidFill>
                  <a:schemeClr val="accent3"/>
                </a:solidFill>
              </a:ln>
              <a:effectLst/>
            </c:spPr>
          </c:marker>
          <c:dLbls>
            <c:dLbl>
              <c:idx val="0"/>
              <c:layout>
                <c:manualLayout>
                  <c:x val="7.3891625615763554E-2"/>
                  <c:y val="-4.7782538212135246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46-4E77-A1D3-DA9F8A562001}"/>
                </c:ext>
              </c:extLst>
            </c:dLbl>
            <c:dLbl>
              <c:idx val="1"/>
              <c:delete val="1"/>
              <c:extLst>
                <c:ext xmlns:c15="http://schemas.microsoft.com/office/drawing/2012/chart" uri="{CE6537A1-D6FC-4f65-9D91-7224C49458BB}"/>
                <c:ext xmlns:c16="http://schemas.microsoft.com/office/drawing/2014/chart" uri="{C3380CC4-5D6E-409C-BE32-E72D297353CC}">
                  <c16:uniqueId val="{00000003-AA46-4E77-A1D3-DA9F8A562001}"/>
                </c:ext>
              </c:extLst>
            </c:dLbl>
            <c:spPr>
              <a:solidFill>
                <a:srgbClr val="ED7D31">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ES"/>
              </a:p>
            </c:txPr>
            <c:showLegendKey val="0"/>
            <c:showVal val="0"/>
            <c:showCatName val="1"/>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gauss!$L$45:$L$46</c:f>
              <c:numCache>
                <c:formatCode>General</c:formatCode>
                <c:ptCount val="2"/>
                <c:pt idx="0" formatCode="0.00">
                  <c:v>81.599999999999994</c:v>
                </c:pt>
                <c:pt idx="1">
                  <c:v>81.599999999999994</c:v>
                </c:pt>
              </c:numCache>
            </c:numRef>
          </c:xVal>
          <c:yVal>
            <c:numRef>
              <c:f>gauss!$M$45:$M$46</c:f>
              <c:numCache>
                <c:formatCode>General</c:formatCode>
                <c:ptCount val="2"/>
                <c:pt idx="0">
                  <c:v>0</c:v>
                </c:pt>
                <c:pt idx="1">
                  <c:v>#N/A</c:v>
                </c:pt>
              </c:numCache>
            </c:numRef>
          </c:yVal>
          <c:smooth val="1"/>
          <c:extLst>
            <c:ext xmlns:c16="http://schemas.microsoft.com/office/drawing/2014/chart" uri="{C3380CC4-5D6E-409C-BE32-E72D297353CC}">
              <c16:uniqueId val="{00000002-AA46-4E77-A1D3-DA9F8A562001}"/>
            </c:ext>
          </c:extLst>
        </c:ser>
        <c:dLbls>
          <c:showLegendKey val="0"/>
          <c:showVal val="0"/>
          <c:showCatName val="0"/>
          <c:showSerName val="0"/>
          <c:showPercent val="0"/>
          <c:showBubbleSize val="0"/>
        </c:dLbls>
        <c:axId val="123170559"/>
        <c:axId val="123171039"/>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1-AA46-4E77-A1D3-DA9F8A562001}"/>
                  </c:ext>
                </c:extLst>
              </c15:ser>
            </c15:filteredScatterSeries>
          </c:ext>
        </c:extLst>
      </c:scatterChart>
      <c:valAx>
        <c:axId val="1231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Valor de la</a:t>
                </a:r>
                <a:r>
                  <a:rPr lang="es-ES" sz="1200" baseline="0">
                    <a:latin typeface="Arial Narrow" panose="020B0606020202030204" pitchFamily="34" charset="0"/>
                  </a:rPr>
                  <a:t> apuesta €/MWh</a:t>
                </a:r>
                <a:endParaRPr lang="es-ES" sz="1200">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10"/>
      </c:valAx>
      <c:valAx>
        <c:axId val="12317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0559"/>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0"/>
          <c:order val="0"/>
          <c:tx>
            <c:strRef>
              <c:f>acum_porc!#REF!</c:f>
              <c:strCache>
                <c:ptCount val="1"/>
                <c:pt idx="0">
                  <c:v>#REF!</c:v>
                </c:pt>
              </c:strCache>
              <c:extLst xmlns:c15="http://schemas.microsoft.com/office/drawing/2012/chart"/>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2-630F-4C85-9C73-FB7089ED1FDF}"/>
            </c:ext>
          </c:extLst>
        </c:ser>
        <c:ser>
          <c:idx val="1"/>
          <c:order val="1"/>
          <c:tx>
            <c:strRef>
              <c:f>acum_porc!#REF!</c:f>
              <c:strCache>
                <c:ptCount val="1"/>
                <c:pt idx="0">
                  <c:v>#REF!</c:v>
                </c:pt>
              </c:strCache>
              <c:extLst xmlns:c15="http://schemas.microsoft.com/office/drawing/2012/chart"/>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3-630F-4C85-9C73-FB7089ED1FDF}"/>
            </c:ext>
          </c:extLst>
        </c:ser>
        <c:ser>
          <c:idx val="2"/>
          <c:order val="2"/>
          <c:tx>
            <c:strRef>
              <c:f>acum_porc!#REF!</c:f>
              <c:strCache>
                <c:ptCount val="1"/>
                <c:pt idx="0">
                  <c:v>#REF!</c:v>
                </c:pt>
              </c:strCache>
              <c:extLst xmlns:c15="http://schemas.microsoft.com/office/drawing/2012/chart"/>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4-630F-4C85-9C73-FB7089ED1FDF}"/>
            </c:ext>
          </c:extLst>
        </c:ser>
        <c:ser>
          <c:idx val="3"/>
          <c:order val="3"/>
          <c:tx>
            <c:strRef>
              <c:f>acum_porc!#REF!</c:f>
              <c:strCache>
                <c:ptCount val="1"/>
                <c:pt idx="0">
                  <c:v>#REF!</c:v>
                </c:pt>
              </c:strCache>
              <c:extLst xmlns:c15="http://schemas.microsoft.com/office/drawing/2012/chart"/>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5-630F-4C85-9C73-FB7089ED1FDF}"/>
            </c:ext>
          </c:extLst>
        </c:ser>
        <c:ser>
          <c:idx val="5"/>
          <c:order val="5"/>
          <c:tx>
            <c:strRef>
              <c:f>acum_porc!$M$1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acum_porc!$M$2:$M$22</c:f>
              <c:numCache>
                <c:formatCode>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4"/>
                <c:order val="4"/>
                <c:tx>
                  <c:strRef>
                    <c:extLst>
                      <c:ext uri="{02D57815-91ED-43cb-92C2-25804820EDAC}">
                        <c15:formulaRef>
                          <c15:sqref>acum_porc!$L$1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acum_porc!$N$2:$N$24</c15:sqref>
                        </c15:formulaRef>
                      </c:ext>
                    </c:extLst>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extLst>
                      <c:ext uri="{02D57815-91ED-43cb-92C2-25804820EDAC}">
                        <c15:formulaRef>
                          <c15:sqref>acum_porc!$L$2:$L$100</c15:sqref>
                        </c15:formulaRef>
                      </c:ext>
                    </c:extLst>
                    <c:numCache>
                      <c:formatCode>0</c:formatCode>
                      <c:ptCount val="99"/>
                      <c:pt idx="0">
                        <c:v>10</c:v>
                      </c:pt>
                      <c:pt idx="1">
                        <c:v>10</c:v>
                      </c:pt>
                      <c:pt idx="2">
                        <c:v>10</c:v>
                      </c:pt>
                      <c:pt idx="3">
                        <c:v>10</c:v>
                      </c:pt>
                      <c:pt idx="4">
                        <c:v>10</c:v>
                      </c:pt>
                      <c:pt idx="5">
                        <c:v>10</c:v>
                      </c:pt>
                      <c:pt idx="6">
                        <c:v>10</c:v>
                      </c:pt>
                      <c:pt idx="7">
                        <c:v>10</c:v>
                      </c:pt>
                      <c:pt idx="8">
                        <c:v>10</c:v>
                      </c:pt>
                      <c:pt idx="9">
                        <c:v>10</c:v>
                      </c:pt>
                      <c:pt idx="10">
                        <c:v>10</c:v>
                      </c:pt>
                      <c:pt idx="11">
                        <c:v>10</c:v>
                      </c:pt>
                      <c:pt idx="12">
                        <c:v>9</c:v>
                      </c:pt>
                      <c:pt idx="13">
                        <c:v>9</c:v>
                      </c:pt>
                      <c:pt idx="14">
                        <c:v>9</c:v>
                      </c:pt>
                      <c:pt idx="15">
                        <c:v>9</c:v>
                      </c:pt>
                      <c:pt idx="16">
                        <c:v>8</c:v>
                      </c:pt>
                      <c:pt idx="17">
                        <c:v>8</c:v>
                      </c:pt>
                      <c:pt idx="18">
                        <c:v>8</c:v>
                      </c:pt>
                      <c:pt idx="19">
                        <c:v>8</c:v>
                      </c:pt>
                      <c:pt idx="20">
                        <c:v>8</c:v>
                      </c:pt>
                      <c:pt idx="21">
                        <c:v>7</c:v>
                      </c:pt>
                      <c:pt idx="22">
                        <c:v>7</c:v>
                      </c:pt>
                      <c:pt idx="23">
                        <c:v>7</c:v>
                      </c:pt>
                      <c:pt idx="24">
                        <c:v>6</c:v>
                      </c:pt>
                      <c:pt idx="25">
                        <c:v>6</c:v>
                      </c:pt>
                      <c:pt idx="26">
                        <c:v>6</c:v>
                      </c:pt>
                      <c:pt idx="27">
                        <c:v>6</c:v>
                      </c:pt>
                      <c:pt idx="28">
                        <c:v>5</c:v>
                      </c:pt>
                      <c:pt idx="29">
                        <c:v>5</c:v>
                      </c:pt>
                      <c:pt idx="30">
                        <c:v>5</c:v>
                      </c:pt>
                      <c:pt idx="31">
                        <c:v>5</c:v>
                      </c:pt>
                      <c:pt idx="32">
                        <c:v>5</c:v>
                      </c:pt>
                      <c:pt idx="33">
                        <c:v>5</c:v>
                      </c:pt>
                      <c:pt idx="34">
                        <c:v>5</c:v>
                      </c:pt>
                      <c:pt idx="35">
                        <c:v>5</c:v>
                      </c:pt>
                      <c:pt idx="36">
                        <c:v>5</c:v>
                      </c:pt>
                      <c:pt idx="37">
                        <c:v>4</c:v>
                      </c:pt>
                      <c:pt idx="38">
                        <c:v>4</c:v>
                      </c:pt>
                      <c:pt idx="39">
                        <c:v>4</c:v>
                      </c:pt>
                      <c:pt idx="40">
                        <c:v>4</c:v>
                      </c:pt>
                      <c:pt idx="41">
                        <c:v>4</c:v>
                      </c:pt>
                      <c:pt idx="42">
                        <c:v>4</c:v>
                      </c:pt>
                      <c:pt idx="43">
                        <c:v>4</c:v>
                      </c:pt>
                      <c:pt idx="44">
                        <c:v>3</c:v>
                      </c:pt>
                      <c:pt idx="45">
                        <c:v>3</c:v>
                      </c:pt>
                      <c:pt idx="46">
                        <c:v>3</c:v>
                      </c:pt>
                      <c:pt idx="47">
                        <c:v>3</c:v>
                      </c:pt>
                      <c:pt idx="48">
                        <c:v>3</c:v>
                      </c:pt>
                      <c:pt idx="49">
                        <c:v>3</c:v>
                      </c:pt>
                      <c:pt idx="50">
                        <c:v>2</c:v>
                      </c:pt>
                      <c:pt idx="51">
                        <c:v>2</c:v>
                      </c:pt>
                      <c:pt idx="52">
                        <c:v>2</c:v>
                      </c:pt>
                      <c:pt idx="53">
                        <c:v>2</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numCache>
                  </c:numRef>
                </c:val>
                <c:extLs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acum_porc!$N$1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acum_porc!$N$2:$N$24</c15:sqref>
                        </c15:formulaRef>
                      </c:ext>
                    </c:extLst>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extLst xmlns:c15="http://schemas.microsoft.com/office/drawing/2012/chart">
                      <c:ext xmlns:c15="http://schemas.microsoft.com/office/drawing/2012/chart" uri="{02D57815-91ED-43cb-92C2-25804820EDAC}">
                        <c15:formulaRef>
                          <c15:sqref>acum_porc!$N$2:$N$100</c15:sqref>
                        </c15:formulaRef>
                      </c:ext>
                    </c:extLst>
                    <c:numCache>
                      <c:formatCode>General</c:formatCode>
                      <c:ptCount val="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acum_abs!$L$1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acum_abs!$A$2:$A$96</c:f>
              <c:strCache>
                <c:ptCount val="95"/>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pt idx="33">
                  <c:v>Carlos Callejón</c:v>
                </c:pt>
                <c:pt idx="34">
                  <c:v>Carlos Martin</c:v>
                </c:pt>
                <c:pt idx="35">
                  <c:v>Carlos Martínez García</c:v>
                </c:pt>
                <c:pt idx="36">
                  <c:v>Cristian Trapero</c:v>
                </c:pt>
                <c:pt idx="37">
                  <c:v>Daniel Pérez Carrasco</c:v>
                </c:pt>
                <c:pt idx="38">
                  <c:v>Daniel Reganon</c:v>
                </c:pt>
                <c:pt idx="39">
                  <c:v>Eduardo Caro Eduardo Caro</c:v>
                </c:pt>
                <c:pt idx="40">
                  <c:v>Francisco Valverde Sánchez</c:v>
                </c:pt>
                <c:pt idx="41">
                  <c:v>Gabino Jiménez-Castillo</c:v>
                </c:pt>
                <c:pt idx="42">
                  <c:v>Gonzalo Cruz Ortega</c:v>
                </c:pt>
                <c:pt idx="43">
                  <c:v>Gorka Arratibel Pastor</c:v>
                </c:pt>
                <c:pt idx="44">
                  <c:v>Hugo Pimiento</c:v>
                </c:pt>
                <c:pt idx="45">
                  <c:v>Ignacio Irigoyen</c:v>
                </c:pt>
                <c:pt idx="46">
                  <c:v>Iñaki Moriana García</c:v>
                </c:pt>
                <c:pt idx="47">
                  <c:v>Jagoba Riveiro Zafra</c:v>
                </c:pt>
                <c:pt idx="48">
                  <c:v>Javier Cervera</c:v>
                </c:pt>
                <c:pt idx="49">
                  <c:v>Javier Fernandez Maza</c:v>
                </c:pt>
                <c:pt idx="50">
                  <c:v>Javier Lazaro</c:v>
                </c:pt>
                <c:pt idx="51">
                  <c:v>Javier Perez De Eulate</c:v>
                </c:pt>
                <c:pt idx="52">
                  <c:v>Jesús Aceituno López</c:v>
                </c:pt>
                <c:pt idx="53">
                  <c:v>Jesús López</c:v>
                </c:pt>
                <c:pt idx="54">
                  <c:v>Jonathan Pazmiño Espinoza</c:v>
                </c:pt>
                <c:pt idx="55">
                  <c:v>Jorge Gonzalez Onieva Johansson</c:v>
                </c:pt>
                <c:pt idx="56">
                  <c:v>Jorge González Arconada</c:v>
                </c:pt>
                <c:pt idx="57">
                  <c:v>Jose Antonio Quidiello Antuña</c:v>
                </c:pt>
                <c:pt idx="58">
                  <c:v>Jose Carlos Perez</c:v>
                </c:pt>
                <c:pt idx="59">
                  <c:v>Josep Vidal</c:v>
                </c:pt>
                <c:pt idx="60">
                  <c:v>José Valle</c:v>
                </c:pt>
                <c:pt idx="61">
                  <c:v>Juan José Cuervo Arias</c:v>
                </c:pt>
                <c:pt idx="62">
                  <c:v>Juan Luis Jarillo Gómez</c:v>
                </c:pt>
                <c:pt idx="63">
                  <c:v>Juan Redondo Ferrara</c:v>
                </c:pt>
                <c:pt idx="64">
                  <c:v>Juan Sanjorge Sanjorge Grandal</c:v>
                </c:pt>
                <c:pt idx="65">
                  <c:v>Lucia Garin</c:v>
                </c:pt>
                <c:pt idx="66">
                  <c:v>Manuel Bueno Pérez</c:v>
                </c:pt>
                <c:pt idx="67">
                  <c:v>Manuel Nogales Guillén</c:v>
                </c:pt>
                <c:pt idx="68">
                  <c:v>Marc Soler Collell</c:v>
                </c:pt>
                <c:pt idx="69">
                  <c:v>Miguel Roa Prieto</c:v>
                </c:pt>
                <c:pt idx="70">
                  <c:v>Moisés Labarquilla</c:v>
                </c:pt>
                <c:pt idx="71">
                  <c:v>Nelson Hernandez Hernandez</c:v>
                </c:pt>
                <c:pt idx="72">
                  <c:v>Olivia Infantes</c:v>
                </c:pt>
                <c:pt idx="73">
                  <c:v>Omip 28-06-2024</c:v>
                </c:pt>
                <c:pt idx="74">
                  <c:v>Pablo Baigorria Kobylinski</c:v>
                </c:pt>
                <c:pt idx="75">
                  <c:v>Pablo Herrero Del Barrio</c:v>
                </c:pt>
                <c:pt idx="76">
                  <c:v>Paco Cuadrado</c:v>
                </c:pt>
                <c:pt idx="77">
                  <c:v>Paco Luis Pérez Zarco</c:v>
                </c:pt>
                <c:pt idx="78">
                  <c:v>Rafael Leiva</c:v>
                </c:pt>
                <c:pt idx="79">
                  <c:v>Rafael Tejada Bonilla</c:v>
                </c:pt>
                <c:pt idx="80">
                  <c:v>Ricardo Estévez Solís</c:v>
                </c:pt>
                <c:pt idx="81">
                  <c:v>Roberto De Dios García</c:v>
                </c:pt>
                <c:pt idx="82">
                  <c:v>Ruben Sanjuan Escribano</c:v>
                </c:pt>
                <c:pt idx="83">
                  <c:v>Sergio Alfonso</c:v>
                </c:pt>
                <c:pt idx="84">
                  <c:v>Sergio Gallego Bolaños</c:v>
                </c:pt>
                <c:pt idx="85">
                  <c:v>Sergio García Sanz</c:v>
                </c:pt>
                <c:pt idx="86">
                  <c:v>Sergio Lopez Oliver</c:v>
                </c:pt>
                <c:pt idx="87">
                  <c:v>Sergio Nistal Prieto</c:v>
                </c:pt>
                <c:pt idx="88">
                  <c:v>Sergio Ortega Celares</c:v>
                </c:pt>
                <c:pt idx="89">
                  <c:v>Vicente Fayos Gavila</c:v>
                </c:pt>
                <c:pt idx="90">
                  <c:v>Vitor Costa Costa</c:v>
                </c:pt>
                <c:pt idx="91">
                  <c:v>Víctor Baeschlin Sánchez</c:v>
                </c:pt>
                <c:pt idx="92">
                  <c:v>Álvaro Barahona San Marcos</c:v>
                </c:pt>
                <c:pt idx="93">
                  <c:v>Marcos Fortea Escolano</c:v>
                </c:pt>
                <c:pt idx="94">
                  <c:v>Roberto Parro Cortés</c:v>
                </c:pt>
              </c:strCache>
            </c:strRef>
          </c:cat>
          <c:val>
            <c:numRef>
              <c:f>acum_abs!$L$2:$L$24</c:f>
              <c:numCache>
                <c:formatCode>General</c:formatCode>
                <c:ptCount val="23"/>
                <c:pt idx="0">
                  <c:v>24.519999999999982</c:v>
                </c:pt>
                <c:pt idx="1">
                  <c:v>39.969999999999992</c:v>
                </c:pt>
                <c:pt idx="2">
                  <c:v>44.87</c:v>
                </c:pt>
                <c:pt idx="3">
                  <c:v>49.97999999999999</c:v>
                </c:pt>
                <c:pt idx="4">
                  <c:v>56.050000000000004</c:v>
                </c:pt>
                <c:pt idx="5">
                  <c:v>56.359999999999992</c:v>
                </c:pt>
                <c:pt idx="6">
                  <c:v>61.539999999999992</c:v>
                </c:pt>
                <c:pt idx="7">
                  <c:v>61.6</c:v>
                </c:pt>
                <c:pt idx="8">
                  <c:v>63.23</c:v>
                </c:pt>
                <c:pt idx="9">
                  <c:v>64.330000000000013</c:v>
                </c:pt>
                <c:pt idx="10">
                  <c:v>65.62</c:v>
                </c:pt>
                <c:pt idx="11">
                  <c:v>70.699999999999989</c:v>
                </c:pt>
                <c:pt idx="12">
                  <c:v>74.819999999999993</c:v>
                </c:pt>
                <c:pt idx="13">
                  <c:v>75.41</c:v>
                </c:pt>
                <c:pt idx="14">
                  <c:v>76.430000000000007</c:v>
                </c:pt>
                <c:pt idx="15">
                  <c:v>76.720000000000013</c:v>
                </c:pt>
                <c:pt idx="16">
                  <c:v>80.050000000000011</c:v>
                </c:pt>
                <c:pt idx="17">
                  <c:v>82.049999999999983</c:v>
                </c:pt>
                <c:pt idx="18">
                  <c:v>84.31</c:v>
                </c:pt>
                <c:pt idx="19">
                  <c:v>90.53</c:v>
                </c:pt>
                <c:pt idx="20">
                  <c:v>93.679999999999978</c:v>
                </c:pt>
                <c:pt idx="21">
                  <c:v>100.35</c:v>
                </c:pt>
                <c:pt idx="22">
                  <c:v>109.53000000000002</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c:ext uri="{02D57815-91ED-43cb-92C2-25804820EDAC}">
                        <c15:formulaRef>
                          <c15:sqref>acum_abs!$B$2:$B$96</c15:sqref>
                        </c15:formulaRef>
                      </c:ext>
                    </c:extLst>
                    <c:numCache>
                      <c:formatCode>General</c:formatCode>
                      <c:ptCount val="95"/>
                      <c:pt idx="0">
                        <c:v>2.3999999999999915</c:v>
                      </c:pt>
                      <c:pt idx="1">
                        <c:v>0.64999999999999147</c:v>
                      </c:pt>
                      <c:pt idx="2">
                        <c:v>0.90000000000000568</c:v>
                      </c:pt>
                      <c:pt idx="3">
                        <c:v>2.8699999999999903</c:v>
                      </c:pt>
                      <c:pt idx="4">
                        <c:v>3.2999999999999972</c:v>
                      </c:pt>
                      <c:pt idx="5">
                        <c:v>2.4000000000000057</c:v>
                      </c:pt>
                      <c:pt idx="8">
                        <c:v>0.20000000000000284</c:v>
                      </c:pt>
                      <c:pt idx="9">
                        <c:v>13.980000000000004</c:v>
                      </c:pt>
                      <c:pt idx="10">
                        <c:v>7.5900000000000034</c:v>
                      </c:pt>
                      <c:pt idx="11">
                        <c:v>11.300000000000011</c:v>
                      </c:pt>
                      <c:pt idx="13">
                        <c:v>11.219999999999999</c:v>
                      </c:pt>
                      <c:pt idx="14">
                        <c:v>4.1800000000000068</c:v>
                      </c:pt>
                      <c:pt idx="15">
                        <c:v>14.400000000000006</c:v>
                      </c:pt>
                      <c:pt idx="16">
                        <c:v>3.6000000000000085</c:v>
                      </c:pt>
                      <c:pt idx="18">
                        <c:v>14.599999999999994</c:v>
                      </c:pt>
                      <c:pt idx="19">
                        <c:v>6.980000000000004</c:v>
                      </c:pt>
                      <c:pt idx="20">
                        <c:v>13.599999999999994</c:v>
                      </c:pt>
                      <c:pt idx="21">
                        <c:v>13</c:v>
                      </c:pt>
                      <c:pt idx="22">
                        <c:v>5.9000000000000057</c:v>
                      </c:pt>
                      <c:pt idx="23">
                        <c:v>1.25</c:v>
                      </c:pt>
                      <c:pt idx="26">
                        <c:v>1.9400000000000119</c:v>
                      </c:pt>
                      <c:pt idx="31">
                        <c:v>1.0500000000000114</c:v>
                      </c:pt>
                      <c:pt idx="33">
                        <c:v>5.2000000000000028</c:v>
                      </c:pt>
                      <c:pt idx="48">
                        <c:v>0.79999999999999716</c:v>
                      </c:pt>
                      <c:pt idx="53">
                        <c:v>7.539999999999992</c:v>
                      </c:pt>
                      <c:pt idx="54">
                        <c:v>28.680000000000007</c:v>
                      </c:pt>
                      <c:pt idx="62">
                        <c:v>0.18000000000000682</c:v>
                      </c:pt>
                      <c:pt idx="64">
                        <c:v>11.100000000000009</c:v>
                      </c:pt>
                      <c:pt idx="66">
                        <c:v>17.100000000000009</c:v>
                      </c:pt>
                      <c:pt idx="67">
                        <c:v>15.600000000000009</c:v>
                      </c:pt>
                      <c:pt idx="68">
                        <c:v>8.2299999999999898</c:v>
                      </c:pt>
                      <c:pt idx="72">
                        <c:v>13.350000000000009</c:v>
                      </c:pt>
                      <c:pt idx="86">
                        <c:v>0.46000000000000796</c:v>
                      </c:pt>
                      <c:pt idx="89">
                        <c:v>1.5500000000000114</c:v>
                      </c:pt>
                      <c:pt idx="90">
                        <c:v>16</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acum_abs!$C$2:$C$96</c15:sqref>
                        </c15:formulaRef>
                      </c:ext>
                    </c:extLst>
                    <c:numCache>
                      <c:formatCode>General</c:formatCode>
                      <c:ptCount val="95"/>
                      <c:pt idx="0">
                        <c:v>29.200000000000003</c:v>
                      </c:pt>
                      <c:pt idx="1">
                        <c:v>33.879999999999995</c:v>
                      </c:pt>
                      <c:pt idx="2">
                        <c:v>25</c:v>
                      </c:pt>
                      <c:pt idx="3">
                        <c:v>35.730000000000004</c:v>
                      </c:pt>
                      <c:pt idx="4">
                        <c:v>25.400000000000006</c:v>
                      </c:pt>
                      <c:pt idx="5">
                        <c:v>20.020000000000003</c:v>
                      </c:pt>
                      <c:pt idx="6">
                        <c:v>24.349999999999994</c:v>
                      </c:pt>
                      <c:pt idx="8">
                        <c:v>29.849999999999994</c:v>
                      </c:pt>
                      <c:pt idx="9">
                        <c:v>29.689999999999998</c:v>
                      </c:pt>
                      <c:pt idx="10">
                        <c:v>29.620000000000005</c:v>
                      </c:pt>
                      <c:pt idx="11">
                        <c:v>24.459999999999994</c:v>
                      </c:pt>
                      <c:pt idx="12">
                        <c:v>25.200000000000003</c:v>
                      </c:pt>
                      <c:pt idx="13">
                        <c:v>32.25</c:v>
                      </c:pt>
                      <c:pt idx="14">
                        <c:v>19.299999999999997</c:v>
                      </c:pt>
                      <c:pt idx="16">
                        <c:v>28.950000000000003</c:v>
                      </c:pt>
                      <c:pt idx="17">
                        <c:v>20.100000000000001</c:v>
                      </c:pt>
                      <c:pt idx="18">
                        <c:v>29.959999999999994</c:v>
                      </c:pt>
                      <c:pt idx="19">
                        <c:v>39.799999999999997</c:v>
                      </c:pt>
                      <c:pt idx="21">
                        <c:v>35</c:v>
                      </c:pt>
                      <c:pt idx="22">
                        <c:v>28</c:v>
                      </c:pt>
                      <c:pt idx="23">
                        <c:v>22.5</c:v>
                      </c:pt>
                      <c:pt idx="24">
                        <c:v>49.239999999999995</c:v>
                      </c:pt>
                      <c:pt idx="29">
                        <c:v>30.099999999999994</c:v>
                      </c:pt>
                      <c:pt idx="30">
                        <c:v>32.200000000000003</c:v>
                      </c:pt>
                      <c:pt idx="33">
                        <c:v>28.099999999999994</c:v>
                      </c:pt>
                      <c:pt idx="36">
                        <c:v>21.53</c:v>
                      </c:pt>
                      <c:pt idx="40">
                        <c:v>20.060000000000002</c:v>
                      </c:pt>
                      <c:pt idx="53">
                        <c:v>32.36</c:v>
                      </c:pt>
                      <c:pt idx="62">
                        <c:v>13.54</c:v>
                      </c:pt>
                      <c:pt idx="81">
                        <c:v>47.55</c:v>
                      </c:pt>
                      <c:pt idx="86">
                        <c:v>25.86</c:v>
                      </c:pt>
                      <c:pt idx="88">
                        <c:v>46.2</c:v>
                      </c:pt>
                      <c:pt idx="89">
                        <c:v>30.22</c:v>
                      </c:pt>
                      <c:pt idx="93">
                        <c:v>31.010000000000005</c:v>
                      </c:pt>
                      <c:pt idx="94">
                        <c:v>27.200000000000003</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acum_abs!$D$2:$D$96</c15:sqref>
                        </c15:formulaRef>
                      </c:ext>
                    </c:extLst>
                    <c:numCache>
                      <c:formatCode>General</c:formatCode>
                      <c:ptCount val="95"/>
                      <c:pt idx="0">
                        <c:v>3.4199999999999982</c:v>
                      </c:pt>
                      <c:pt idx="1">
                        <c:v>10.219999999999999</c:v>
                      </c:pt>
                      <c:pt idx="2">
                        <c:v>11.719999999999999</c:v>
                      </c:pt>
                      <c:pt idx="3">
                        <c:v>13.030000000000001</c:v>
                      </c:pt>
                      <c:pt idx="4">
                        <c:v>9.52</c:v>
                      </c:pt>
                      <c:pt idx="6">
                        <c:v>15.049999999999997</c:v>
                      </c:pt>
                      <c:pt idx="7">
                        <c:v>0.11999999999999744</c:v>
                      </c:pt>
                      <c:pt idx="8">
                        <c:v>15.32</c:v>
                      </c:pt>
                      <c:pt idx="9">
                        <c:v>16.379999999999995</c:v>
                      </c:pt>
                      <c:pt idx="10">
                        <c:v>35.409999999999997</c:v>
                      </c:pt>
                      <c:pt idx="11">
                        <c:v>6.2199999999999989</c:v>
                      </c:pt>
                      <c:pt idx="13">
                        <c:v>25.949999999999996</c:v>
                      </c:pt>
                      <c:pt idx="14">
                        <c:v>3.2099999999999973</c:v>
                      </c:pt>
                      <c:pt idx="17">
                        <c:v>9.1199999999999974</c:v>
                      </c:pt>
                      <c:pt idx="18">
                        <c:v>24.729999999999997</c:v>
                      </c:pt>
                      <c:pt idx="19">
                        <c:v>41.4</c:v>
                      </c:pt>
                      <c:pt idx="21">
                        <c:v>34.72</c:v>
                      </c:pt>
                      <c:pt idx="22">
                        <c:v>24.72</c:v>
                      </c:pt>
                      <c:pt idx="23">
                        <c:v>4.5199999999999996</c:v>
                      </c:pt>
                      <c:pt idx="32">
                        <c:v>15.079999999999998</c:v>
                      </c:pt>
                      <c:pt idx="39">
                        <c:v>12.29</c:v>
                      </c:pt>
                      <c:pt idx="74">
                        <c:v>45.019999999999996</c:v>
                      </c:pt>
                      <c:pt idx="89">
                        <c:v>27.439999999999998</c:v>
                      </c:pt>
                      <c:pt idx="93">
                        <c:v>27.39</c:v>
                      </c:pt>
                      <c:pt idx="94">
                        <c:v>6.9599999999999973</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acum_abs!$E$2:$E$96</c15:sqref>
                        </c15:formulaRef>
                      </c:ext>
                    </c:extLst>
                    <c:numCache>
                      <c:formatCode>General</c:formatCode>
                      <c:ptCount val="95"/>
                      <c:pt idx="0">
                        <c:v>6.83</c:v>
                      </c:pt>
                      <c:pt idx="1">
                        <c:v>4.83</c:v>
                      </c:pt>
                      <c:pt idx="2">
                        <c:v>14.83</c:v>
                      </c:pt>
                      <c:pt idx="3">
                        <c:v>10.56</c:v>
                      </c:pt>
                      <c:pt idx="4">
                        <c:v>9.1300000000000008</c:v>
                      </c:pt>
                      <c:pt idx="6">
                        <c:v>9.8400000000000016</c:v>
                      </c:pt>
                      <c:pt idx="7">
                        <c:v>8.83</c:v>
                      </c:pt>
                      <c:pt idx="8">
                        <c:v>10.53</c:v>
                      </c:pt>
                      <c:pt idx="10">
                        <c:v>23.879999999999995</c:v>
                      </c:pt>
                      <c:pt idx="11">
                        <c:v>12.229999999999999</c:v>
                      </c:pt>
                      <c:pt idx="12">
                        <c:v>13.930000000000001</c:v>
                      </c:pt>
                      <c:pt idx="13">
                        <c:v>9.65</c:v>
                      </c:pt>
                      <c:pt idx="14">
                        <c:v>5.83</c:v>
                      </c:pt>
                      <c:pt idx="15">
                        <c:v>26.58</c:v>
                      </c:pt>
                      <c:pt idx="16">
                        <c:v>30.83</c:v>
                      </c:pt>
                      <c:pt idx="17">
                        <c:v>10.229999999999999</c:v>
                      </c:pt>
                      <c:pt idx="18">
                        <c:v>19.659999999999997</c:v>
                      </c:pt>
                      <c:pt idx="19">
                        <c:v>75.23</c:v>
                      </c:pt>
                      <c:pt idx="20">
                        <c:v>8.33</c:v>
                      </c:pt>
                      <c:pt idx="21">
                        <c:v>33.78</c:v>
                      </c:pt>
                      <c:pt idx="22">
                        <c:v>26.33</c:v>
                      </c:pt>
                      <c:pt idx="23">
                        <c:v>8.8400000000000016</c:v>
                      </c:pt>
                      <c:pt idx="38">
                        <c:v>3.6599999999999984</c:v>
                      </c:pt>
                      <c:pt idx="40">
                        <c:v>19.670000000000002</c:v>
                      </c:pt>
                      <c:pt idx="54">
                        <c:v>10.220000000000001</c:v>
                      </c:pt>
                      <c:pt idx="83">
                        <c:v>6.24</c:v>
                      </c:pt>
                      <c:pt idx="92">
                        <c:v>9.83</c:v>
                      </c:pt>
                      <c:pt idx="93">
                        <c:v>11.040000000000001</c:v>
                      </c:pt>
                      <c:pt idx="94">
                        <c:v>5.4</c:v>
                      </c:pt>
                    </c:numCache>
                  </c:numRef>
                </c:val>
                <c:extLst xmlns:c15="http://schemas.microsoft.com/office/drawing/2012/chart">
                  <c:ext xmlns:c16="http://schemas.microsoft.com/office/drawing/2014/chart" uri="{C3380CC4-5D6E-409C-BE32-E72D297353CC}">
                    <c16:uniqueId val="{00000005-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General"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rich>
          <a:bodyPr spcFirstLastPara="1" vertOverflow="ellipsis" horzOverflow="overflow" wrap="square" lIns="0" tIns="0" rIns="0" bIns="0" anchor="ctr" anchorCtr="1"/>
          <a:lstStyle/>
          <a:p>
            <a:pPr algn="ctr" rtl="0">
              <a:defRPr sz="1800"/>
            </a:pPr>
            <a:r>
              <a:rPr lang="es-ES" sz="1800" b="0" i="0" u="none" strike="noStrike" baseline="0">
                <a:solidFill>
                  <a:sysClr val="windowText" lastClr="000000">
                    <a:lumMod val="65000"/>
                    <a:lumOff val="35000"/>
                  </a:sysClr>
                </a:solidFill>
                <a:latin typeface="Arial Narrow" panose="020B0606020202030204" pitchFamily="34" charset="0"/>
              </a:rPr>
              <a:t>Análisis apuestas </a:t>
            </a:r>
            <a:r>
              <a:rPr lang="es-ES" sz="1800" b="1" i="0" u="none" strike="noStrike" baseline="0">
                <a:solidFill>
                  <a:sysClr val="windowText" lastClr="000000">
                    <a:lumMod val="65000"/>
                    <a:lumOff val="35000"/>
                  </a:sysClr>
                </a:solidFill>
                <a:latin typeface="Arial Narrow" panose="020B0606020202030204" pitchFamily="34" charset="0"/>
              </a:rPr>
              <a:t>#miniporraagosto2024</a:t>
            </a:r>
          </a:p>
        </cx:rich>
      </cx:tx>
    </cx:title>
    <cx:plotArea>
      <cx:plotAreaRegion>
        <cx:series layoutId="boxWhisker" uniqueId="{5AF82949-9E7C-42DE-AEC4-9EF477CA0A0E}">
          <cx:spPr>
            <a:solidFill>
              <a:schemeClr val="accent1">
                <a:lumMod val="60000"/>
                <a:lumOff val="40000"/>
                <a:alpha val="72000"/>
              </a:schemeClr>
            </a:solidFill>
          </cx:spPr>
          <cx:dataLabels pos="r">
            <cx:txPr>
              <a:bodyPr spcFirstLastPara="1" vertOverflow="ellipsis" horzOverflow="overflow" wrap="square" lIns="0" tIns="0" rIns="0" bIns="0" anchor="ctr" anchorCtr="1"/>
              <a:lstStyle/>
              <a:p>
                <a:pPr algn="ctr" rtl="0">
                  <a:defRPr sz="1050">
                    <a:latin typeface="Arial Narrow" panose="020B0606020202030204" pitchFamily="34" charset="0"/>
                    <a:ea typeface="Arial Narrow" panose="020B0606020202030204" pitchFamily="34" charset="0"/>
                    <a:cs typeface="Arial Narrow" panose="020B0606020202030204" pitchFamily="34" charset="0"/>
                  </a:defRPr>
                </a:pPr>
                <a:endParaRPr lang="es-ES" sz="1050" b="0" i="0" u="none" strike="noStrike" baseline="0">
                  <a:solidFill>
                    <a:sysClr val="windowText" lastClr="000000">
                      <a:lumMod val="65000"/>
                      <a:lumOff val="35000"/>
                    </a:sysClr>
                  </a:solidFill>
                  <a:latin typeface="Arial Narrow" panose="020B0606020202030204" pitchFamily="34" charset="0"/>
                </a:endParaRPr>
              </a:p>
            </cx:txPr>
            <cx:visibility seriesName="0" categoryName="0" value="1"/>
            <cx:separator>, </cx:separator>
          </cx:dataLabels>
          <cx:dataId val="0"/>
          <cx:layoutPr>
            <cx:visibility meanLine="0" meanMarker="1" nonoutliers="0" outliers="1"/>
            <cx:statistics quartileMethod="exclusive"/>
          </cx:layoutPr>
        </cx:series>
      </cx:plotAreaRegion>
      <cx:axis id="0" hidden="1">
        <cx:catScaling gapWidth="1"/>
        <cx:tickLabels/>
      </cx:axis>
      <cx:axis id="1">
        <cx:valScaling min="30"/>
        <cx:title>
          <cx:tx>
            <cx:txData>
              <cx:v>Valor de la apuesta €/MWh</cx:v>
            </cx:txData>
          </cx:tx>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r>
                <a:rPr lang="es-ES" sz="1100" b="0" i="0" u="none" strike="noStrike" baseline="0">
                  <a:solidFill>
                    <a:sysClr val="windowText" lastClr="000000">
                      <a:lumMod val="65000"/>
                      <a:lumOff val="35000"/>
                    </a:sysClr>
                  </a:solidFill>
                  <a:latin typeface="Arial Narrow" panose="020B0606020202030204" pitchFamily="34" charset="0"/>
                </a:rPr>
                <a:t>Valor de la apuesta €/MWh</a:t>
              </a:r>
            </a:p>
          </cx:txPr>
        </cx:title>
        <cx:majorGridlines/>
        <cx:tickLabels/>
        <cx:numFmt formatCode="0" sourceLinked="0"/>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endParaRPr lang="es-ES" sz="1100" b="0" i="0" u="none" strike="noStrike" baseline="0">
              <a:solidFill>
                <a:sysClr val="windowText" lastClr="000000">
                  <a:lumMod val="65000"/>
                  <a:lumOff val="35000"/>
                </a:sysClr>
              </a:solidFill>
              <a:latin typeface="Arial Narrow" panose="020B0606020202030204" pitchFamily="34" charset="0"/>
            </a:endParaRPr>
          </a:p>
        </cx:txPr>
      </cx:axis>
    </cx:plotArea>
  </cx:chart>
  <cx:spPr>
    <a:ln w="25400">
      <a:solidFill>
        <a:schemeClr val="tx1">
          <a:lumMod val="50000"/>
          <a:lumOff val="50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3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Spin" dx="22" fmlaLink="$H$1" max="31" min="1" page="10" val="3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Spin" dx="22" fmlaLink="$H$1" max="31" min="1" page="10" val="3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H$1" max="31" min="1" page="10" val="30"/>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H$1" max="31" min="1" page="10" val="20"/>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6.xml"/><Relationship Id="rId3" Type="http://schemas.openxmlformats.org/officeDocument/2006/relationships/image" Target="../media/image2.png"/><Relationship Id="rId7" Type="http://schemas.openxmlformats.org/officeDocument/2006/relationships/chart" Target="../charts/chart41.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38.xml"/><Relationship Id="rId6" Type="http://schemas.openxmlformats.org/officeDocument/2006/relationships/image" Target="../media/image6.png"/><Relationship Id="rId11" Type="http://schemas.openxmlformats.org/officeDocument/2006/relationships/chart" Target="../charts/chart45.xml"/><Relationship Id="rId5" Type="http://schemas.openxmlformats.org/officeDocument/2006/relationships/chart" Target="../charts/chart40.xml"/><Relationship Id="rId10" Type="http://schemas.openxmlformats.org/officeDocument/2006/relationships/chart" Target="../charts/chart44.xml"/><Relationship Id="rId4" Type="http://schemas.openxmlformats.org/officeDocument/2006/relationships/chart" Target="../charts/chart39.xml"/><Relationship Id="rId9" Type="http://schemas.openxmlformats.org/officeDocument/2006/relationships/chart" Target="../charts/chart43.xml"/><Relationship Id="rId14"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8" Type="http://schemas.openxmlformats.org/officeDocument/2006/relationships/chart" Target="../charts/chart51.xml"/><Relationship Id="rId13" Type="http://schemas.openxmlformats.org/officeDocument/2006/relationships/chart" Target="../charts/chart55.xml"/><Relationship Id="rId3" Type="http://schemas.openxmlformats.org/officeDocument/2006/relationships/image" Target="../media/image2.png"/><Relationship Id="rId7" Type="http://schemas.openxmlformats.org/officeDocument/2006/relationships/chart" Target="../charts/chart50.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47.xml"/><Relationship Id="rId6" Type="http://schemas.openxmlformats.org/officeDocument/2006/relationships/image" Target="../media/image6.png"/><Relationship Id="rId11" Type="http://schemas.openxmlformats.org/officeDocument/2006/relationships/chart" Target="../charts/chart54.xml"/><Relationship Id="rId5" Type="http://schemas.openxmlformats.org/officeDocument/2006/relationships/chart" Target="../charts/chart49.xml"/><Relationship Id="rId15" Type="http://schemas.openxmlformats.org/officeDocument/2006/relationships/image" Target="../media/image16.png"/><Relationship Id="rId10" Type="http://schemas.openxmlformats.org/officeDocument/2006/relationships/chart" Target="../charts/chart53.xml"/><Relationship Id="rId4" Type="http://schemas.openxmlformats.org/officeDocument/2006/relationships/chart" Target="../charts/chart48.xml"/><Relationship Id="rId9" Type="http://schemas.openxmlformats.org/officeDocument/2006/relationships/chart" Target="../charts/chart52.xml"/><Relationship Id="rId1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chart" Target="../charts/chart60.xml"/><Relationship Id="rId13" Type="http://schemas.openxmlformats.org/officeDocument/2006/relationships/chart" Target="../charts/chart64.xml"/><Relationship Id="rId3" Type="http://schemas.openxmlformats.org/officeDocument/2006/relationships/image" Target="../media/image2.png"/><Relationship Id="rId7" Type="http://schemas.openxmlformats.org/officeDocument/2006/relationships/chart" Target="../charts/chart59.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56.xml"/><Relationship Id="rId6" Type="http://schemas.openxmlformats.org/officeDocument/2006/relationships/image" Target="../media/image6.png"/><Relationship Id="rId11" Type="http://schemas.openxmlformats.org/officeDocument/2006/relationships/chart" Target="../charts/chart63.xml"/><Relationship Id="rId5" Type="http://schemas.openxmlformats.org/officeDocument/2006/relationships/chart" Target="../charts/chart58.xml"/><Relationship Id="rId15" Type="http://schemas.openxmlformats.org/officeDocument/2006/relationships/image" Target="../media/image17.png"/><Relationship Id="rId10" Type="http://schemas.openxmlformats.org/officeDocument/2006/relationships/chart" Target="../charts/chart62.xml"/><Relationship Id="rId4" Type="http://schemas.openxmlformats.org/officeDocument/2006/relationships/chart" Target="../charts/chart57.xml"/><Relationship Id="rId9" Type="http://schemas.openxmlformats.org/officeDocument/2006/relationships/chart" Target="../charts/chart61.xml"/><Relationship Id="rId14" Type="http://schemas.openxmlformats.org/officeDocument/2006/relationships/image" Target="../media/image15.png"/></Relationships>
</file>

<file path=xl/drawings/_rels/drawing17.xml.rels><?xml version="1.0" encoding="UTF-8" standalone="yes"?>
<Relationships xmlns="http://schemas.openxmlformats.org/package/2006/relationships"><Relationship Id="rId8" Type="http://schemas.openxmlformats.org/officeDocument/2006/relationships/chart" Target="../charts/chart69.xml"/><Relationship Id="rId13" Type="http://schemas.openxmlformats.org/officeDocument/2006/relationships/chart" Target="../charts/chart73.xml"/><Relationship Id="rId3" Type="http://schemas.openxmlformats.org/officeDocument/2006/relationships/image" Target="../media/image2.png"/><Relationship Id="rId7" Type="http://schemas.openxmlformats.org/officeDocument/2006/relationships/chart" Target="../charts/chart68.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65.xml"/><Relationship Id="rId6" Type="http://schemas.openxmlformats.org/officeDocument/2006/relationships/image" Target="../media/image6.png"/><Relationship Id="rId11" Type="http://schemas.openxmlformats.org/officeDocument/2006/relationships/chart" Target="../charts/chart72.xml"/><Relationship Id="rId5" Type="http://schemas.openxmlformats.org/officeDocument/2006/relationships/chart" Target="../charts/chart67.xml"/><Relationship Id="rId15" Type="http://schemas.openxmlformats.org/officeDocument/2006/relationships/image" Target="../media/image18.png"/><Relationship Id="rId10" Type="http://schemas.openxmlformats.org/officeDocument/2006/relationships/chart" Target="../charts/chart71.xml"/><Relationship Id="rId4" Type="http://schemas.openxmlformats.org/officeDocument/2006/relationships/chart" Target="../charts/chart66.xml"/><Relationship Id="rId9" Type="http://schemas.openxmlformats.org/officeDocument/2006/relationships/chart" Target="../charts/chart70.xml"/><Relationship Id="rId14" Type="http://schemas.openxmlformats.org/officeDocument/2006/relationships/image" Target="../media/image15.png"/></Relationships>
</file>

<file path=xl/drawings/_rels/drawing20.xml.rels><?xml version="1.0" encoding="UTF-8" standalone="yes"?>
<Relationships xmlns="http://schemas.openxmlformats.org/package/2006/relationships"><Relationship Id="rId8" Type="http://schemas.openxmlformats.org/officeDocument/2006/relationships/chart" Target="../charts/chart78.xml"/><Relationship Id="rId13" Type="http://schemas.openxmlformats.org/officeDocument/2006/relationships/chart" Target="../charts/chart82.xml"/><Relationship Id="rId3" Type="http://schemas.openxmlformats.org/officeDocument/2006/relationships/image" Target="../media/image2.png"/><Relationship Id="rId7" Type="http://schemas.openxmlformats.org/officeDocument/2006/relationships/chart" Target="../charts/chart77.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74.xml"/><Relationship Id="rId6" Type="http://schemas.openxmlformats.org/officeDocument/2006/relationships/image" Target="../media/image6.png"/><Relationship Id="rId11" Type="http://schemas.openxmlformats.org/officeDocument/2006/relationships/chart" Target="../charts/chart81.xml"/><Relationship Id="rId5" Type="http://schemas.openxmlformats.org/officeDocument/2006/relationships/chart" Target="../charts/chart76.xml"/><Relationship Id="rId15" Type="http://schemas.openxmlformats.org/officeDocument/2006/relationships/image" Target="../media/image18.png"/><Relationship Id="rId10" Type="http://schemas.openxmlformats.org/officeDocument/2006/relationships/chart" Target="../charts/chart80.xml"/><Relationship Id="rId4" Type="http://schemas.openxmlformats.org/officeDocument/2006/relationships/chart" Target="../charts/chart75.xml"/><Relationship Id="rId9" Type="http://schemas.openxmlformats.org/officeDocument/2006/relationships/chart" Target="../charts/chart79.xml"/><Relationship Id="rId14" Type="http://schemas.openxmlformats.org/officeDocument/2006/relationships/image" Target="../media/image15.png"/></Relationships>
</file>

<file path=xl/drawings/_rels/drawing24.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83.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84.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8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38100</xdr:colOff>
          <xdr:row>10</xdr:row>
          <xdr:rowOff>9525</xdr:rowOff>
        </xdr:from>
        <xdr:to>
          <xdr:col>35</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33</xdr:col>
      <xdr:colOff>80597</xdr:colOff>
      <xdr:row>14</xdr:row>
      <xdr:rowOff>43962</xdr:rowOff>
    </xdr:from>
    <xdr:to>
      <xdr:col>37</xdr:col>
      <xdr:colOff>586155</xdr:colOff>
      <xdr:row>22</xdr:row>
      <xdr:rowOff>102577</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1745059" y="2344616"/>
          <a:ext cx="3553558" cy="1289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5" name="CuadroTexto 1">
          <a:extLst>
            <a:ext uri="{FF2B5EF4-FFF2-40B4-BE49-F238E27FC236}">
              <a16:creationId xmlns:a16="http://schemas.microsoft.com/office/drawing/2014/main" id="{00000000-0008-0000-0200-000019000000}"/>
            </a:ext>
          </a:extLst>
        </xdr:cNvPr>
        <xdr:cNvSpPr txBox="1"/>
      </xdr:nvSpPr>
      <xdr:spPr>
        <a:xfrm>
          <a:off x="14068259" y="280052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34" name="CuadroTexto 1">
          <a:extLst>
            <a:ext uri="{FF2B5EF4-FFF2-40B4-BE49-F238E27FC236}">
              <a16:creationId xmlns:a16="http://schemas.microsoft.com/office/drawing/2014/main" id="{00000000-0008-0000-0200-000022000000}"/>
            </a:ext>
          </a:extLst>
        </xdr:cNvPr>
        <xdr:cNvSpPr txBox="1"/>
      </xdr:nvSpPr>
      <xdr:spPr>
        <a:xfrm>
          <a:off x="14682368" y="280638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35" name="CuadroTexto 1">
          <a:extLst>
            <a:ext uri="{FF2B5EF4-FFF2-40B4-BE49-F238E27FC236}">
              <a16:creationId xmlns:a16="http://schemas.microsoft.com/office/drawing/2014/main" id="{00000000-0008-0000-0200-000023000000}"/>
            </a:ext>
          </a:extLst>
        </xdr:cNvPr>
        <xdr:cNvSpPr txBox="1"/>
      </xdr:nvSpPr>
      <xdr:spPr>
        <a:xfrm>
          <a:off x="15570084" y="279906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39,51</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62,64</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4,0%</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45,6%</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41,0%</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1" name="CuadroTexto 1">
          <a:extLst>
            <a:ext uri="{FF2B5EF4-FFF2-40B4-BE49-F238E27FC236}">
              <a16:creationId xmlns:a16="http://schemas.microsoft.com/office/drawing/2014/main" id="{00000000-0008-0000-0300-000015000000}"/>
            </a:ext>
          </a:extLst>
        </xdr:cNvPr>
        <xdr:cNvSpPr txBox="1"/>
      </xdr:nvSpPr>
      <xdr:spPr>
        <a:xfrm>
          <a:off x="13984126" y="2762122"/>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22" name="CuadroTexto 1">
          <a:extLst>
            <a:ext uri="{FF2B5EF4-FFF2-40B4-BE49-F238E27FC236}">
              <a16:creationId xmlns:a16="http://schemas.microsoft.com/office/drawing/2014/main" id="{00000000-0008-0000-0300-000016000000}"/>
            </a:ext>
          </a:extLst>
        </xdr:cNvPr>
        <xdr:cNvSpPr txBox="1"/>
      </xdr:nvSpPr>
      <xdr:spPr>
        <a:xfrm>
          <a:off x="14598235" y="2767983"/>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3" name="CuadroTexto 1">
          <a:extLst>
            <a:ext uri="{FF2B5EF4-FFF2-40B4-BE49-F238E27FC236}">
              <a16:creationId xmlns:a16="http://schemas.microsoft.com/office/drawing/2014/main" id="{00000000-0008-0000-0300-000017000000}"/>
            </a:ext>
          </a:extLst>
        </xdr:cNvPr>
        <xdr:cNvSpPr txBox="1"/>
      </xdr:nvSpPr>
      <xdr:spPr>
        <a:xfrm>
          <a:off x="15488730" y="2760657"/>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39,51</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62,64</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1266825</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4,0%</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45,6%</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41,0%</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18" name="CuadroTexto 1">
          <a:extLst>
            <a:ext uri="{FF2B5EF4-FFF2-40B4-BE49-F238E27FC236}">
              <a16:creationId xmlns:a16="http://schemas.microsoft.com/office/drawing/2014/main" id="{00000000-0008-0000-0400-000012000000}"/>
            </a:ext>
          </a:extLst>
        </xdr:cNvPr>
        <xdr:cNvSpPr txBox="1"/>
      </xdr:nvSpPr>
      <xdr:spPr>
        <a:xfrm>
          <a:off x="12749413" y="2646659"/>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19" name="CuadroTexto 1">
          <a:extLst>
            <a:ext uri="{FF2B5EF4-FFF2-40B4-BE49-F238E27FC236}">
              <a16:creationId xmlns:a16="http://schemas.microsoft.com/office/drawing/2014/main" id="{00000000-0008-0000-0400-000013000000}"/>
            </a:ext>
          </a:extLst>
        </xdr:cNvPr>
        <xdr:cNvSpPr txBox="1"/>
      </xdr:nvSpPr>
      <xdr:spPr>
        <a:xfrm>
          <a:off x="13363522" y="2652520"/>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0" name="CuadroTexto 1">
          <a:extLst>
            <a:ext uri="{FF2B5EF4-FFF2-40B4-BE49-F238E27FC236}">
              <a16:creationId xmlns:a16="http://schemas.microsoft.com/office/drawing/2014/main" id="{00000000-0008-0000-0400-000014000000}"/>
            </a:ext>
          </a:extLst>
        </xdr:cNvPr>
        <xdr:cNvSpPr txBox="1"/>
      </xdr:nvSpPr>
      <xdr:spPr>
        <a:xfrm>
          <a:off x="14251238" y="2645194"/>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39,51</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62,64</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10.937</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4,0%</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45,6%</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41,0%</a:t>
          </a:fld>
          <a:endParaRPr lang="es-ES" sz="1200" b="1" i="0" u="none" strike="noStrike">
            <a:solidFill>
              <a:schemeClr val="accent1"/>
            </a:solidFill>
            <a:latin typeface="Arial"/>
            <a:ea typeface="+mn-ea"/>
            <a:cs typeface="Arial"/>
          </a:endParaRPr>
        </a:p>
      </xdr:txBody>
    </xdr:sp>
    <xdr:clientData/>
  </xdr:twoCellAnchor>
  <xdr:oneCellAnchor>
    <xdr:from>
      <xdr:col>17</xdr:col>
      <xdr:colOff>271663</xdr:colOff>
      <xdr:row>19</xdr:row>
      <xdr:rowOff>16293</xdr:rowOff>
    </xdr:from>
    <xdr:ext cx="398442" cy="269369"/>
    <xdr:sp macro="" textlink="#REF!">
      <xdr:nvSpPr>
        <xdr:cNvPr id="18" name="CuadroTexto 1">
          <a:extLst>
            <a:ext uri="{FF2B5EF4-FFF2-40B4-BE49-F238E27FC236}">
              <a16:creationId xmlns:a16="http://schemas.microsoft.com/office/drawing/2014/main" id="{00000000-0008-0000-0500-000012000000}"/>
            </a:ext>
          </a:extLst>
        </xdr:cNvPr>
        <xdr:cNvSpPr txBox="1"/>
      </xdr:nvSpPr>
      <xdr:spPr>
        <a:xfrm>
          <a:off x="13474778" y="310825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123772</xdr:colOff>
      <xdr:row>19</xdr:row>
      <xdr:rowOff>22154</xdr:rowOff>
    </xdr:from>
    <xdr:ext cx="500906" cy="269369"/>
    <xdr:sp macro="" textlink="#REF!">
      <xdr:nvSpPr>
        <xdr:cNvPr id="19" name="CuadroTexto 1">
          <a:extLst>
            <a:ext uri="{FF2B5EF4-FFF2-40B4-BE49-F238E27FC236}">
              <a16:creationId xmlns:a16="http://schemas.microsoft.com/office/drawing/2014/main" id="{00000000-0008-0000-0500-000013000000}"/>
            </a:ext>
          </a:extLst>
        </xdr:cNvPr>
        <xdr:cNvSpPr txBox="1"/>
      </xdr:nvSpPr>
      <xdr:spPr>
        <a:xfrm>
          <a:off x="14088887" y="311411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249488</xdr:colOff>
      <xdr:row>19</xdr:row>
      <xdr:rowOff>14828</xdr:rowOff>
    </xdr:from>
    <xdr:ext cx="338554" cy="269369"/>
    <xdr:sp macro="" textlink="#REF!">
      <xdr:nvSpPr>
        <xdr:cNvPr id="20" name="CuadroTexto 1">
          <a:extLst>
            <a:ext uri="{FF2B5EF4-FFF2-40B4-BE49-F238E27FC236}">
              <a16:creationId xmlns:a16="http://schemas.microsoft.com/office/drawing/2014/main" id="{00000000-0008-0000-0500-000014000000}"/>
            </a:ext>
          </a:extLst>
        </xdr:cNvPr>
        <xdr:cNvSpPr txBox="1"/>
      </xdr:nvSpPr>
      <xdr:spPr>
        <a:xfrm>
          <a:off x="14976603" y="310679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39,51</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62,64</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10.937</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39,51</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62,64</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4,0%</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45,6%</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41,0%</a:t>
          </a:fld>
          <a:endParaRPr lang="es-ES" sz="1200" b="1" i="0" u="none" strike="noStrike">
            <a:solidFill>
              <a:schemeClr val="accent1"/>
            </a:solidFill>
            <a:latin typeface="Arial"/>
            <a:ea typeface="+mn-ea"/>
            <a:cs typeface="Arial"/>
          </a:endParaRPr>
        </a:p>
      </xdr:txBody>
    </xdr:sp>
    <xdr:clientData/>
  </xdr:twoCellAnchor>
  <xdr:oneCellAnchor>
    <xdr:from>
      <xdr:col>17</xdr:col>
      <xdr:colOff>330279</xdr:colOff>
      <xdr:row>14</xdr:row>
      <xdr:rowOff>118870</xdr:rowOff>
    </xdr:from>
    <xdr:ext cx="398442" cy="269369"/>
    <xdr:sp macro="" textlink="#REF!">
      <xdr:nvSpPr>
        <xdr:cNvPr id="17" name="CuadroTexto 1">
          <a:extLst>
            <a:ext uri="{FF2B5EF4-FFF2-40B4-BE49-F238E27FC236}">
              <a16:creationId xmlns:a16="http://schemas.microsoft.com/office/drawing/2014/main" id="{00000000-0008-0000-0600-000011000000}"/>
            </a:ext>
          </a:extLst>
        </xdr:cNvPr>
        <xdr:cNvSpPr txBox="1"/>
      </xdr:nvSpPr>
      <xdr:spPr>
        <a:xfrm>
          <a:off x="13907067" y="244150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182388</xdr:colOff>
      <xdr:row>14</xdr:row>
      <xdr:rowOff>124731</xdr:rowOff>
    </xdr:from>
    <xdr:ext cx="500906" cy="269369"/>
    <xdr:sp macro="" textlink="#REF!">
      <xdr:nvSpPr>
        <xdr:cNvPr id="18" name="CuadroTexto 1">
          <a:extLst>
            <a:ext uri="{FF2B5EF4-FFF2-40B4-BE49-F238E27FC236}">
              <a16:creationId xmlns:a16="http://schemas.microsoft.com/office/drawing/2014/main" id="{00000000-0008-0000-0600-000012000000}"/>
            </a:ext>
          </a:extLst>
        </xdr:cNvPr>
        <xdr:cNvSpPr txBox="1"/>
      </xdr:nvSpPr>
      <xdr:spPr>
        <a:xfrm>
          <a:off x="14521176" y="244736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308104</xdr:colOff>
      <xdr:row>14</xdr:row>
      <xdr:rowOff>117405</xdr:rowOff>
    </xdr:from>
    <xdr:ext cx="338554" cy="269369"/>
    <xdr:sp macro="" textlink="#REF!">
      <xdr:nvSpPr>
        <xdr:cNvPr id="19" name="CuadroTexto 1">
          <a:extLst>
            <a:ext uri="{FF2B5EF4-FFF2-40B4-BE49-F238E27FC236}">
              <a16:creationId xmlns:a16="http://schemas.microsoft.com/office/drawing/2014/main" id="{00000000-0008-0000-0600-000013000000}"/>
            </a:ext>
          </a:extLst>
        </xdr:cNvPr>
        <xdr:cNvSpPr txBox="1"/>
      </xdr:nvSpPr>
      <xdr:spPr>
        <a:xfrm>
          <a:off x="15408892" y="244004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39,51</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62,64</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10.937</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39,51</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62,64</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3889935" y="1971261"/>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7" name="Rectángulo 6">
          <a:extLst>
            <a:ext uri="{FF2B5EF4-FFF2-40B4-BE49-F238E27FC236}">
              <a16:creationId xmlns:a16="http://schemas.microsoft.com/office/drawing/2014/main" id="{00000000-0008-0000-0700-000007000000}"/>
            </a:ext>
          </a:extLst>
        </xdr:cNvPr>
        <xdr:cNvSpPr/>
      </xdr:nvSpPr>
      <xdr:spPr>
        <a:xfrm>
          <a:off x="13749130" y="0"/>
          <a:ext cx="2103783"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00000000-0008-0000-0700-000008000000}"/>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00000000-0008-0000-0700-000009000000}"/>
            </a:ext>
          </a:extLst>
        </xdr:cNvPr>
        <xdr:cNvSpPr/>
      </xdr:nvSpPr>
      <xdr:spPr>
        <a:xfrm>
          <a:off x="10154479" y="0"/>
          <a:ext cx="2286000"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0000000-0008-0000-0700-00000A000000}"/>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11" name="Conector recto 10">
          <a:extLst>
            <a:ext uri="{FF2B5EF4-FFF2-40B4-BE49-F238E27FC236}">
              <a16:creationId xmlns:a16="http://schemas.microsoft.com/office/drawing/2014/main" id="{00000000-0008-0000-0700-00000B000000}"/>
            </a:ext>
          </a:extLst>
        </xdr:cNvPr>
        <xdr:cNvCxnSpPr/>
      </xdr:nvCxnSpPr>
      <xdr:spPr>
        <a:xfrm flipV="1">
          <a:off x="13927889" y="2252870"/>
          <a:ext cx="2380568"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3" name="Conector recto 12">
          <a:extLst>
            <a:ext uri="{FF2B5EF4-FFF2-40B4-BE49-F238E27FC236}">
              <a16:creationId xmlns:a16="http://schemas.microsoft.com/office/drawing/2014/main" id="{00000000-0008-0000-0700-00000D000000}"/>
            </a:ext>
          </a:extLst>
        </xdr:cNvPr>
        <xdr:cNvCxnSpPr/>
      </xdr:nvCxnSpPr>
      <xdr:spPr>
        <a:xfrm flipV="1">
          <a:off x="14045887" y="4356652"/>
          <a:ext cx="2154896"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4" name="CuadroTexto 1">
          <a:extLst>
            <a:ext uri="{FF2B5EF4-FFF2-40B4-BE49-F238E27FC236}">
              <a16:creationId xmlns:a16="http://schemas.microsoft.com/office/drawing/2014/main" id="{00000000-0008-0000-0700-00000E000000}"/>
            </a:ext>
          </a:extLst>
        </xdr:cNvPr>
        <xdr:cNvSpPr txBox="1"/>
      </xdr:nvSpPr>
      <xdr:spPr>
        <a:xfrm>
          <a:off x="14914747" y="1267046"/>
          <a:ext cx="52021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4,0%</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712305</xdr:colOff>
      <xdr:row>7</xdr:row>
      <xdr:rowOff>72618</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13817941" y="1112418"/>
          <a:ext cx="2333146" cy="186026"/>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6" name="CuadroTexto 1">
          <a:extLst>
            <a:ext uri="{FF2B5EF4-FFF2-40B4-BE49-F238E27FC236}">
              <a16:creationId xmlns:a16="http://schemas.microsoft.com/office/drawing/2014/main" id="{00000000-0008-0000-0700-000010000000}"/>
            </a:ext>
          </a:extLst>
        </xdr:cNvPr>
        <xdr:cNvSpPr txBox="1"/>
      </xdr:nvSpPr>
      <xdr:spPr>
        <a:xfrm>
          <a:off x="14142044" y="1267046"/>
          <a:ext cx="49310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45,6%</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7" name="CuadroTexto 1">
          <a:extLst>
            <a:ext uri="{FF2B5EF4-FFF2-40B4-BE49-F238E27FC236}">
              <a16:creationId xmlns:a16="http://schemas.microsoft.com/office/drawing/2014/main" id="{00000000-0008-0000-0700-000011000000}"/>
            </a:ext>
          </a:extLst>
        </xdr:cNvPr>
        <xdr:cNvSpPr txBox="1"/>
      </xdr:nvSpPr>
      <xdr:spPr>
        <a:xfrm>
          <a:off x="15604435" y="1272366"/>
          <a:ext cx="749258" cy="277659"/>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41,0%</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8" name="CuadroTexto 1">
          <a:extLst>
            <a:ext uri="{FF2B5EF4-FFF2-40B4-BE49-F238E27FC236}">
              <a16:creationId xmlns:a16="http://schemas.microsoft.com/office/drawing/2014/main" id="{00000000-0008-0000-0700-000012000000}"/>
            </a:ext>
          </a:extLst>
        </xdr:cNvPr>
        <xdr:cNvSpPr txBox="1"/>
      </xdr:nvSpPr>
      <xdr:spPr>
        <a:xfrm>
          <a:off x="13989327" y="2458522"/>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41,93</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9" name="CuadroTexto 1">
          <a:extLst>
            <a:ext uri="{FF2B5EF4-FFF2-40B4-BE49-F238E27FC236}">
              <a16:creationId xmlns:a16="http://schemas.microsoft.com/office/drawing/2014/main" id="{00000000-0008-0000-0700-000013000000}"/>
            </a:ext>
          </a:extLst>
        </xdr:cNvPr>
        <xdr:cNvSpPr txBox="1"/>
      </xdr:nvSpPr>
      <xdr:spPr>
        <a:xfrm>
          <a:off x="14759608" y="2456100"/>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124,62</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20" name="CuadroTexto 1">
          <a:extLst>
            <a:ext uri="{FF2B5EF4-FFF2-40B4-BE49-F238E27FC236}">
              <a16:creationId xmlns:a16="http://schemas.microsoft.com/office/drawing/2014/main" id="{00000000-0008-0000-0700-000014000000}"/>
            </a:ext>
          </a:extLst>
        </xdr:cNvPr>
        <xdr:cNvSpPr txBox="1"/>
      </xdr:nvSpPr>
      <xdr:spPr>
        <a:xfrm>
          <a:off x="15670696" y="2440491"/>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76,94</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824398</xdr:colOff>
      <xdr:row>15</xdr:row>
      <xdr:rowOff>91106</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stretch>
          <a:fillRect/>
        </a:stretch>
      </xdr:blipFill>
      <xdr:spPr>
        <a:xfrm>
          <a:off x="13926890" y="2337285"/>
          <a:ext cx="2477095" cy="172343"/>
        </a:xfrm>
        <a:prstGeom prst="rect">
          <a:avLst/>
        </a:prstGeom>
      </xdr:spPr>
    </xdr:pic>
    <xdr:clientData/>
  </xdr:twoCellAnchor>
  <xdr:twoCellAnchor>
    <xdr:from>
      <xdr:col>17</xdr:col>
      <xdr:colOff>1</xdr:colOff>
      <xdr:row>16</xdr:row>
      <xdr:rowOff>140804</xdr:rowOff>
    </xdr:from>
    <xdr:to>
      <xdr:col>19</xdr:col>
      <xdr:colOff>836543</xdr:colOff>
      <xdr:row>25</xdr:row>
      <xdr:rowOff>124239</xdr:rowOff>
    </xdr:to>
    <xdr:graphicFrame macro="">
      <xdr:nvGraphicFramePr>
        <xdr:cNvPr id="22" name="Gráfico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3" name="CuadroTexto 22">
          <a:extLst>
            <a:ext uri="{FF2B5EF4-FFF2-40B4-BE49-F238E27FC236}">
              <a16:creationId xmlns:a16="http://schemas.microsoft.com/office/drawing/2014/main" id="{00000000-0008-0000-0700-000017000000}"/>
            </a:ext>
          </a:extLst>
        </xdr:cNvPr>
        <xdr:cNvSpPr txBox="1"/>
      </xdr:nvSpPr>
      <xdr:spPr>
        <a:xfrm>
          <a:off x="16283609" y="745435"/>
          <a:ext cx="2534478" cy="31473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7" name="Conector recto 26">
          <a:extLst>
            <a:ext uri="{FF2B5EF4-FFF2-40B4-BE49-F238E27FC236}">
              <a16:creationId xmlns:a16="http://schemas.microsoft.com/office/drawing/2014/main" id="{00000000-0008-0000-0700-00001B000000}"/>
            </a:ext>
          </a:extLst>
        </xdr:cNvPr>
        <xdr:cNvCxnSpPr/>
      </xdr:nvCxnSpPr>
      <xdr:spPr>
        <a:xfrm flipV="1">
          <a:off x="16482707" y="1060174"/>
          <a:ext cx="2211141"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8" name="CuadroTexto 27">
          <a:extLst>
            <a:ext uri="{FF2B5EF4-FFF2-40B4-BE49-F238E27FC236}">
              <a16:creationId xmlns:a16="http://schemas.microsoft.com/office/drawing/2014/main" id="{00000000-0008-0000-0700-00001C000000}"/>
            </a:ext>
          </a:extLst>
        </xdr:cNvPr>
        <xdr:cNvSpPr txBox="1"/>
      </xdr:nvSpPr>
      <xdr:spPr>
        <a:xfrm>
          <a:off x="16383000" y="2269435"/>
          <a:ext cx="2534478" cy="29817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31" name="Rectángulo 30">
          <a:extLst>
            <a:ext uri="{FF2B5EF4-FFF2-40B4-BE49-F238E27FC236}">
              <a16:creationId xmlns:a16="http://schemas.microsoft.com/office/drawing/2014/main" id="{00000000-0008-0000-0700-00001F000000}"/>
            </a:ext>
          </a:extLst>
        </xdr:cNvPr>
        <xdr:cNvSpPr/>
      </xdr:nvSpPr>
      <xdr:spPr>
        <a:xfrm>
          <a:off x="16283609" y="0"/>
          <a:ext cx="2534478"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32" name="CuadroTexto 31">
          <a:extLst>
            <a:ext uri="{FF2B5EF4-FFF2-40B4-BE49-F238E27FC236}">
              <a16:creationId xmlns:a16="http://schemas.microsoft.com/office/drawing/2014/main" id="{00000000-0008-0000-0700-000020000000}"/>
            </a:ext>
          </a:extLst>
        </xdr:cNvPr>
        <xdr:cNvSpPr txBox="1"/>
      </xdr:nvSpPr>
      <xdr:spPr>
        <a:xfrm>
          <a:off x="16359223" y="56231"/>
          <a:ext cx="2168973"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33" name="CuadroTexto 32">
          <a:extLst>
            <a:ext uri="{FF2B5EF4-FFF2-40B4-BE49-F238E27FC236}">
              <a16:creationId xmlns:a16="http://schemas.microsoft.com/office/drawing/2014/main" id="{00000000-0008-0000-0700-000021000000}"/>
            </a:ext>
          </a:extLst>
        </xdr:cNvPr>
        <xdr:cNvSpPr txBox="1"/>
      </xdr:nvSpPr>
      <xdr:spPr>
        <a:xfrm>
          <a:off x="16364148" y="386543"/>
          <a:ext cx="2164047"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34" name="Gráfico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1242345</xdr:colOff>
      <xdr:row>18</xdr:row>
      <xdr:rowOff>41586</xdr:rowOff>
    </xdr:from>
    <xdr:to>
      <xdr:col>23</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700-000023000000}"/>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62,64</a:t>
          </a:fld>
          <a:endParaRPr lang="es-ES" sz="1200" b="1" i="0" u="none" strike="noStrike">
            <a:solidFill>
              <a:srgbClr val="7030A0"/>
            </a:solidFill>
            <a:latin typeface="Arial"/>
            <a:ea typeface="+mn-ea"/>
            <a:cs typeface="Arial"/>
          </a:endParaRPr>
        </a:p>
      </xdr:txBody>
    </xdr:sp>
    <xdr:clientData/>
  </xdr:twoCellAnchor>
  <xdr:twoCellAnchor editAs="oneCell">
    <xdr:from>
      <xdr:col>19</xdr:col>
      <xdr:colOff>123603</xdr:colOff>
      <xdr:row>28</xdr:row>
      <xdr:rowOff>113727</xdr:rowOff>
    </xdr:from>
    <xdr:to>
      <xdr:col>19</xdr:col>
      <xdr:colOff>697917</xdr:colOff>
      <xdr:row>35</xdr:row>
      <xdr:rowOff>77094</xdr:rowOff>
    </xdr:to>
    <xdr:pic>
      <xdr:nvPicPr>
        <xdr:cNvPr id="39" name="Imagen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stretch>
          <a:fillRect/>
        </a:stretch>
      </xdr:blipFill>
      <xdr:spPr>
        <a:xfrm>
          <a:off x="15703190" y="4470379"/>
          <a:ext cx="574314" cy="1006976"/>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40" name="Gráfico 39">
          <a:extLst>
            <a:ext uri="{FF2B5EF4-FFF2-40B4-BE49-F238E27FC236}">
              <a16:creationId xmlns:a16="http://schemas.microsoft.com/office/drawing/2014/main" id="{00000000-0008-0000-0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41" name="Gráfico 40">
          <a:extLst>
            <a:ext uri="{FF2B5EF4-FFF2-40B4-BE49-F238E27FC236}">
              <a16:creationId xmlns:a16="http://schemas.microsoft.com/office/drawing/2014/main" id="{00000000-0008-0000-0700-00002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42" name="Gráfico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43" name="Gráfico 42">
          <a:extLst>
            <a:ext uri="{FF2B5EF4-FFF2-40B4-BE49-F238E27FC236}">
              <a16:creationId xmlns:a16="http://schemas.microsoft.com/office/drawing/2014/main" id="{00000000-0008-0000-0700-00002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44" name="Gráfico 43">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46" name="CuadroTexto 1">
          <a:extLst>
            <a:ext uri="{FF2B5EF4-FFF2-40B4-BE49-F238E27FC236}">
              <a16:creationId xmlns:a16="http://schemas.microsoft.com/office/drawing/2014/main" id="{00000000-0008-0000-0700-00002E000000}"/>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10.937</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47" name="CuadroTexto 46">
          <a:extLst>
            <a:ext uri="{FF2B5EF4-FFF2-40B4-BE49-F238E27FC236}">
              <a16:creationId xmlns:a16="http://schemas.microsoft.com/office/drawing/2014/main" id="{00000000-0008-0000-0700-00002F000000}"/>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49" name="CuadroTexto 3">
          <a:extLst>
            <a:ext uri="{FF2B5EF4-FFF2-40B4-BE49-F238E27FC236}">
              <a16:creationId xmlns:a16="http://schemas.microsoft.com/office/drawing/2014/main" id="{00000000-0008-0000-0700-000031000000}"/>
            </a:ext>
          </a:extLst>
        </xdr:cNvPr>
        <xdr:cNvSpPr txBox="1"/>
      </xdr:nvSpPr>
      <xdr:spPr>
        <a:xfrm>
          <a:off x="18047803" y="1208622"/>
          <a:ext cx="687457" cy="30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39,51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50" name="CuadroTexto 3">
          <a:extLst>
            <a:ext uri="{FF2B5EF4-FFF2-40B4-BE49-F238E27FC236}">
              <a16:creationId xmlns:a16="http://schemas.microsoft.com/office/drawing/2014/main" id="{00000000-0008-0000-0700-000032000000}"/>
            </a:ext>
          </a:extLst>
        </xdr:cNvPr>
        <xdr:cNvSpPr txBox="1"/>
      </xdr:nvSpPr>
      <xdr:spPr>
        <a:xfrm>
          <a:off x="17998109" y="2710135"/>
          <a:ext cx="698638" cy="29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62,64</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51" name="CuadroTexto 50">
          <a:extLst>
            <a:ext uri="{FF2B5EF4-FFF2-40B4-BE49-F238E27FC236}">
              <a16:creationId xmlns:a16="http://schemas.microsoft.com/office/drawing/2014/main" id="{00000000-0008-0000-0700-000033000000}"/>
            </a:ext>
          </a:extLst>
        </xdr:cNvPr>
        <xdr:cNvSpPr txBox="1"/>
      </xdr:nvSpPr>
      <xdr:spPr>
        <a:xfrm>
          <a:off x="13947913" y="8249479"/>
          <a:ext cx="5010978" cy="72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57" name="CuadroTexto 56">
          <a:extLst>
            <a:ext uri="{FF2B5EF4-FFF2-40B4-BE49-F238E27FC236}">
              <a16:creationId xmlns:a16="http://schemas.microsoft.com/office/drawing/2014/main" id="{00000000-0008-0000-0700-000039000000}"/>
            </a:ext>
          </a:extLst>
        </xdr:cNvPr>
        <xdr:cNvSpPr txBox="1"/>
      </xdr:nvSpPr>
      <xdr:spPr>
        <a:xfrm>
          <a:off x="13889935" y="5996609"/>
          <a:ext cx="5052392"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58" name="CuadroTexto 57">
          <a:extLst>
            <a:ext uri="{FF2B5EF4-FFF2-40B4-BE49-F238E27FC236}">
              <a16:creationId xmlns:a16="http://schemas.microsoft.com/office/drawing/2014/main" id="{00000000-0008-0000-0700-00003A000000}"/>
            </a:ext>
          </a:extLst>
        </xdr:cNvPr>
        <xdr:cNvSpPr txBox="1"/>
      </xdr:nvSpPr>
      <xdr:spPr>
        <a:xfrm>
          <a:off x="13889935" y="4069468"/>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59" name="CuadroTexto 58">
          <a:extLst>
            <a:ext uri="{FF2B5EF4-FFF2-40B4-BE49-F238E27FC236}">
              <a16:creationId xmlns:a16="http://schemas.microsoft.com/office/drawing/2014/main" id="{00000000-0008-0000-0700-00003B000000}"/>
            </a:ext>
          </a:extLst>
        </xdr:cNvPr>
        <xdr:cNvSpPr txBox="1"/>
      </xdr:nvSpPr>
      <xdr:spPr>
        <a:xfrm>
          <a:off x="16424413" y="4063256"/>
          <a:ext cx="2534478"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38" name="Conector recto 37">
          <a:extLst>
            <a:ext uri="{FF2B5EF4-FFF2-40B4-BE49-F238E27FC236}">
              <a16:creationId xmlns:a16="http://schemas.microsoft.com/office/drawing/2014/main" id="{00000000-0008-0000-0700-000026000000}"/>
            </a:ext>
          </a:extLst>
        </xdr:cNvPr>
        <xdr:cNvCxnSpPr/>
      </xdr:nvCxnSpPr>
      <xdr:spPr>
        <a:xfrm>
          <a:off x="16610835" y="4353146"/>
          <a:ext cx="2124426" cy="3506"/>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37" name="Rectángulo 36">
          <a:extLst>
            <a:ext uri="{FF2B5EF4-FFF2-40B4-BE49-F238E27FC236}">
              <a16:creationId xmlns:a16="http://schemas.microsoft.com/office/drawing/2014/main" id="{00000000-0008-0000-0700-000025000000}"/>
            </a:ext>
          </a:extLst>
        </xdr:cNvPr>
        <xdr:cNvSpPr/>
      </xdr:nvSpPr>
      <xdr:spPr>
        <a:xfrm>
          <a:off x="16424413" y="4058478"/>
          <a:ext cx="2534478" cy="193813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53</xdr:row>
      <xdr:rowOff>0</xdr:rowOff>
    </xdr:to>
    <xdr:sp macro="" textlink="">
      <xdr:nvSpPr>
        <xdr:cNvPr id="45" name="Rectángulo 44">
          <a:extLst>
            <a:ext uri="{FF2B5EF4-FFF2-40B4-BE49-F238E27FC236}">
              <a16:creationId xmlns:a16="http://schemas.microsoft.com/office/drawing/2014/main" id="{00000000-0008-0000-0700-00002D000000}"/>
            </a:ext>
          </a:extLst>
        </xdr:cNvPr>
        <xdr:cNvSpPr/>
      </xdr:nvSpPr>
      <xdr:spPr>
        <a:xfrm>
          <a:off x="13889935" y="5996609"/>
          <a:ext cx="5068956"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29" name="Rectángulo 28">
          <a:extLst>
            <a:ext uri="{FF2B5EF4-FFF2-40B4-BE49-F238E27FC236}">
              <a16:creationId xmlns:a16="http://schemas.microsoft.com/office/drawing/2014/main" id="{00000000-0008-0000-0700-00001D000000}"/>
            </a:ext>
          </a:extLst>
        </xdr:cNvPr>
        <xdr:cNvSpPr/>
      </xdr:nvSpPr>
      <xdr:spPr>
        <a:xfrm>
          <a:off x="16424413" y="2269435"/>
          <a:ext cx="2534478" cy="178904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6" name="Rectángulo 5">
          <a:extLst>
            <a:ext uri="{FF2B5EF4-FFF2-40B4-BE49-F238E27FC236}">
              <a16:creationId xmlns:a16="http://schemas.microsoft.com/office/drawing/2014/main" id="{00000000-0008-0000-0700-000006000000}"/>
            </a:ext>
          </a:extLst>
        </xdr:cNvPr>
        <xdr:cNvSpPr/>
      </xdr:nvSpPr>
      <xdr:spPr>
        <a:xfrm>
          <a:off x="13889935" y="1971261"/>
          <a:ext cx="2534478"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24" name="Rectángulo 23">
          <a:extLst>
            <a:ext uri="{FF2B5EF4-FFF2-40B4-BE49-F238E27FC236}">
              <a16:creationId xmlns:a16="http://schemas.microsoft.com/office/drawing/2014/main" id="{00000000-0008-0000-0700-000018000000}"/>
            </a:ext>
          </a:extLst>
        </xdr:cNvPr>
        <xdr:cNvSpPr/>
      </xdr:nvSpPr>
      <xdr:spPr>
        <a:xfrm>
          <a:off x="13749130" y="745435"/>
          <a:ext cx="2103783" cy="122582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55" name="Rectángulo 54">
          <a:extLst>
            <a:ext uri="{FF2B5EF4-FFF2-40B4-BE49-F238E27FC236}">
              <a16:creationId xmlns:a16="http://schemas.microsoft.com/office/drawing/2014/main" id="{00000000-0008-0000-0700-000037000000}"/>
            </a:ext>
          </a:extLst>
        </xdr:cNvPr>
        <xdr:cNvSpPr/>
      </xdr:nvSpPr>
      <xdr:spPr>
        <a:xfrm>
          <a:off x="16383001" y="745435"/>
          <a:ext cx="2534478" cy="1524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30" name="Conector recto 29">
          <a:extLst>
            <a:ext uri="{FF2B5EF4-FFF2-40B4-BE49-F238E27FC236}">
              <a16:creationId xmlns:a16="http://schemas.microsoft.com/office/drawing/2014/main" id="{00000000-0008-0000-0700-00001E000000}"/>
            </a:ext>
          </a:extLst>
        </xdr:cNvPr>
        <xdr:cNvCxnSpPr/>
      </xdr:nvCxnSpPr>
      <xdr:spPr>
        <a:xfrm>
          <a:off x="16484618" y="2566017"/>
          <a:ext cx="2432860" cy="159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25" name="Conector recto 24">
          <a:extLst>
            <a:ext uri="{FF2B5EF4-FFF2-40B4-BE49-F238E27FC236}">
              <a16:creationId xmlns:a16="http://schemas.microsoft.com/office/drawing/2014/main" id="{00000000-0008-0000-0700-000019000000}"/>
            </a:ext>
          </a:extLst>
        </xdr:cNvPr>
        <xdr:cNvCxnSpPr/>
      </xdr:nvCxnSpPr>
      <xdr:spPr>
        <a:xfrm flipV="1">
          <a:off x="13972760" y="6269935"/>
          <a:ext cx="4679675"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53</xdr:row>
      <xdr:rowOff>1</xdr:rowOff>
    </xdr:from>
    <xdr:to>
      <xdr:col>23</xdr:col>
      <xdr:colOff>0</xdr:colOff>
      <xdr:row>59</xdr:row>
      <xdr:rowOff>1</xdr:rowOff>
    </xdr:to>
    <xdr:sp macro="" textlink="">
      <xdr:nvSpPr>
        <xdr:cNvPr id="60" name="Rectángulo 59">
          <a:extLst>
            <a:ext uri="{FF2B5EF4-FFF2-40B4-BE49-F238E27FC236}">
              <a16:creationId xmlns:a16="http://schemas.microsoft.com/office/drawing/2014/main" id="{00000000-0008-0000-0700-00003C000000}"/>
            </a:ext>
          </a:extLst>
        </xdr:cNvPr>
        <xdr:cNvSpPr/>
      </xdr:nvSpPr>
      <xdr:spPr>
        <a:xfrm>
          <a:off x="12440478"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53</xdr:row>
      <xdr:rowOff>0</xdr:rowOff>
    </xdr:from>
    <xdr:to>
      <xdr:col>24</xdr:col>
      <xdr:colOff>0</xdr:colOff>
      <xdr:row>59</xdr:row>
      <xdr:rowOff>0</xdr:rowOff>
    </xdr:to>
    <xdr:pic>
      <xdr:nvPicPr>
        <xdr:cNvPr id="62" name="Imagen 61">
          <a:extLst>
            <a:ext uri="{FF2B5EF4-FFF2-40B4-BE49-F238E27FC236}">
              <a16:creationId xmlns:a16="http://schemas.microsoft.com/office/drawing/2014/main" id="{00000000-0008-0000-0700-00003E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083826"/>
          <a:ext cx="7321826" cy="894522"/>
        </a:xfrm>
        <a:prstGeom prst="rect">
          <a:avLst/>
        </a:prstGeom>
      </xdr:spPr>
    </xdr:pic>
    <xdr:clientData/>
  </xdr:twoCellAnchor>
  <xdr:twoCellAnchor>
    <xdr:from>
      <xdr:col>14</xdr:col>
      <xdr:colOff>761999</xdr:colOff>
      <xdr:row>53</xdr:row>
      <xdr:rowOff>1</xdr:rowOff>
    </xdr:from>
    <xdr:to>
      <xdr:col>22</xdr:col>
      <xdr:colOff>844825</xdr:colOff>
      <xdr:row>59</xdr:row>
      <xdr:rowOff>1</xdr:rowOff>
    </xdr:to>
    <xdr:sp macro="" textlink="">
      <xdr:nvSpPr>
        <xdr:cNvPr id="63" name="Rectángulo 62">
          <a:extLst>
            <a:ext uri="{FF2B5EF4-FFF2-40B4-BE49-F238E27FC236}">
              <a16:creationId xmlns:a16="http://schemas.microsoft.com/office/drawing/2014/main" id="{00000000-0008-0000-0700-00003F000000}"/>
            </a:ext>
          </a:extLst>
        </xdr:cNvPr>
        <xdr:cNvSpPr/>
      </xdr:nvSpPr>
      <xdr:spPr>
        <a:xfrm>
          <a:off x="12440477"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0</xdr:rowOff>
    </xdr:from>
    <xdr:to>
      <xdr:col>17</xdr:col>
      <xdr:colOff>0</xdr:colOff>
      <xdr:row>53</xdr:row>
      <xdr:rowOff>1</xdr:rowOff>
    </xdr:to>
    <xdr:graphicFrame macro="">
      <xdr:nvGraphicFramePr>
        <xdr:cNvPr id="56" name="Gráfico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33798" name="CuadroTexto 33797">
          <a:extLst>
            <a:ext uri="{FF2B5EF4-FFF2-40B4-BE49-F238E27FC236}">
              <a16:creationId xmlns:a16="http://schemas.microsoft.com/office/drawing/2014/main" id="{00000000-0008-0000-0700-000006840000}"/>
            </a:ext>
          </a:extLst>
        </xdr:cNvPr>
        <xdr:cNvSpPr txBox="1"/>
      </xdr:nvSpPr>
      <xdr:spPr>
        <a:xfrm>
          <a:off x="12440478" y="5554126"/>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8089</xdr:rowOff>
    </xdr:from>
    <xdr:to>
      <xdr:col>16</xdr:col>
      <xdr:colOff>737152</xdr:colOff>
      <xdr:row>38</xdr:row>
      <xdr:rowOff>8282</xdr:rowOff>
    </xdr:to>
    <xdr:cxnSp macro="">
      <xdr:nvCxnSpPr>
        <xdr:cNvPr id="33799" name="Conector recto 33798">
          <a:extLst>
            <a:ext uri="{FF2B5EF4-FFF2-40B4-BE49-F238E27FC236}">
              <a16:creationId xmlns:a16="http://schemas.microsoft.com/office/drawing/2014/main" id="{00000000-0008-0000-0700-000007840000}"/>
            </a:ext>
          </a:extLst>
        </xdr:cNvPr>
        <xdr:cNvCxnSpPr/>
      </xdr:nvCxnSpPr>
      <xdr:spPr>
        <a:xfrm>
          <a:off x="12481127" y="5855611"/>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2" name="Rectángulo 51">
          <a:extLst>
            <a:ext uri="{FF2B5EF4-FFF2-40B4-BE49-F238E27FC236}">
              <a16:creationId xmlns:a16="http://schemas.microsoft.com/office/drawing/2014/main" id="{00000000-0008-0000-0700-000034000000}"/>
            </a:ext>
          </a:extLst>
        </xdr:cNvPr>
        <xdr:cNvSpPr/>
      </xdr:nvSpPr>
      <xdr:spPr>
        <a:xfrm>
          <a:off x="13889935" y="4058479"/>
          <a:ext cx="2534478" cy="193813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59</xdr:row>
      <xdr:rowOff>0</xdr:rowOff>
    </xdr:to>
    <xdr:sp macro="" textlink="">
      <xdr:nvSpPr>
        <xdr:cNvPr id="48" name="Rectángulo 47">
          <a:extLst>
            <a:ext uri="{FF2B5EF4-FFF2-40B4-BE49-F238E27FC236}">
              <a16:creationId xmlns:a16="http://schemas.microsoft.com/office/drawing/2014/main" id="{00000000-0008-0000-0700-000030000000}"/>
            </a:ext>
          </a:extLst>
        </xdr:cNvPr>
        <xdr:cNvSpPr/>
      </xdr:nvSpPr>
      <xdr:spPr>
        <a:xfrm>
          <a:off x="7636565" y="0"/>
          <a:ext cx="4803913" cy="897834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66261</xdr:colOff>
      <xdr:row>28</xdr:row>
      <xdr:rowOff>41414</xdr:rowOff>
    </xdr:from>
    <xdr:to>
      <xdr:col>18</xdr:col>
      <xdr:colOff>803414</xdr:colOff>
      <xdr:row>38</xdr:row>
      <xdr:rowOff>104474</xdr:rowOff>
    </xdr:to>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4"/>
        <a:stretch>
          <a:fillRect/>
        </a:stretch>
      </xdr:blipFill>
      <xdr:spPr>
        <a:xfrm>
          <a:off x="13956196" y="4398066"/>
          <a:ext cx="1581979" cy="1553930"/>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56,08</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0.5662</cdr:x>
      <cdr:y>0.03424</cdr:y>
    </cdr:from>
    <cdr:to>
      <cdr:x>0.90211</cdr:x>
      <cdr:y>0.13726</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731509" y="72313"/>
          <a:ext cx="1620530" cy="21757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0.019</cdr:y>
    </cdr:from>
    <cdr:to>
      <cdr:x>0.53156</cdr:x>
      <cdr:y>0.18834</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35095"/>
          <a:ext cx="2612845" cy="31277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48,41</a:t>
          </a:r>
          <a:endParaRPr lang="es-ES" sz="1000" b="1">
            <a:solidFill>
              <a:srgbClr val="C00000"/>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138874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8914" name="Spinner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800-000004000000}"/>
            </a:ext>
          </a:extLst>
        </xdr:cNvPr>
        <xdr:cNvSpPr txBox="1"/>
      </xdr:nvSpPr>
      <xdr:spPr>
        <a:xfrm>
          <a:off x="138874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00000000-0008-0000-0800-000005000000}"/>
            </a:ext>
          </a:extLst>
        </xdr:cNvPr>
        <xdr:cNvSpPr/>
      </xdr:nvSpPr>
      <xdr:spPr>
        <a:xfrm>
          <a:off x="138874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00000000-0008-0000-0800-000006000000}"/>
            </a:ext>
          </a:extLst>
        </xdr:cNvPr>
        <xdr:cNvSpPr/>
      </xdr:nvSpPr>
      <xdr:spPr>
        <a:xfrm>
          <a:off x="7639050" y="0"/>
          <a:ext cx="25146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00000000-0008-0000-0800-000007000000}"/>
            </a:ext>
          </a:extLst>
        </xdr:cNvPr>
        <xdr:cNvSpPr/>
      </xdr:nvSpPr>
      <xdr:spPr>
        <a:xfrm>
          <a:off x="101536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00000000-0008-0000-0800-000008000000}"/>
            </a:ext>
          </a:extLst>
        </xdr:cNvPr>
        <xdr:cNvCxnSpPr/>
      </xdr:nvCxnSpPr>
      <xdr:spPr>
        <a:xfrm>
          <a:off x="139872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00000000-0008-0000-0800-000009000000}"/>
            </a:ext>
          </a:extLst>
        </xdr:cNvPr>
        <xdr:cNvCxnSpPr/>
      </xdr:nvCxnSpPr>
      <xdr:spPr>
        <a:xfrm flipV="1">
          <a:off x="139254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00000000-0008-0000-0800-00000A000000}"/>
            </a:ext>
          </a:extLst>
        </xdr:cNvPr>
        <xdr:cNvCxnSpPr/>
      </xdr:nvCxnSpPr>
      <xdr:spPr>
        <a:xfrm flipV="1">
          <a:off x="140434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00000000-0008-0000-0800-00000B000000}"/>
            </a:ext>
          </a:extLst>
        </xdr:cNvPr>
        <xdr:cNvSpPr txBox="1"/>
      </xdr:nvSpPr>
      <xdr:spPr>
        <a:xfrm>
          <a:off x="149151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4,0%</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704685</xdr:colOff>
      <xdr:row>7</xdr:row>
      <xdr:rowOff>72618</xdr:rowOff>
    </xdr:to>
    <xdr:pic>
      <xdr:nvPicPr>
        <xdr:cNvPr id="12" name="Imagen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2"/>
        <a:stretch>
          <a:fillRect/>
        </a:stretch>
      </xdr:blipFill>
      <xdr:spPr>
        <a:xfrm>
          <a:off x="13956261" y="1128569"/>
          <a:ext cx="233894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00000000-0008-0000-0800-00000D000000}"/>
            </a:ext>
          </a:extLst>
        </xdr:cNvPr>
        <xdr:cNvSpPr txBox="1"/>
      </xdr:nvSpPr>
      <xdr:spPr>
        <a:xfrm>
          <a:off x="141395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45,6%</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00000000-0008-0000-0800-00000E000000}"/>
            </a:ext>
          </a:extLst>
        </xdr:cNvPr>
        <xdr:cNvSpPr txBox="1"/>
      </xdr:nvSpPr>
      <xdr:spPr>
        <a:xfrm>
          <a:off x="156077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41,0%</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00000000-0008-0000-0800-00000F000000}"/>
            </a:ext>
          </a:extLst>
        </xdr:cNvPr>
        <xdr:cNvSpPr txBox="1"/>
      </xdr:nvSpPr>
      <xdr:spPr>
        <a:xfrm>
          <a:off x="139868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41,93</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00000000-0008-0000-0800-000010000000}"/>
            </a:ext>
          </a:extLst>
        </xdr:cNvPr>
        <xdr:cNvSpPr txBox="1"/>
      </xdr:nvSpPr>
      <xdr:spPr>
        <a:xfrm>
          <a:off x="147600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124,62</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00000000-0008-0000-0800-000011000000}"/>
            </a:ext>
          </a:extLst>
        </xdr:cNvPr>
        <xdr:cNvSpPr txBox="1"/>
      </xdr:nvSpPr>
      <xdr:spPr>
        <a:xfrm>
          <a:off x="156740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76,94</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778678</xdr:colOff>
      <xdr:row>15</xdr:row>
      <xdr:rowOff>98726</xdr:rowOff>
    </xdr:to>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3"/>
        <a:stretch>
          <a:fillRect/>
        </a:stretch>
      </xdr:blipFill>
      <xdr:spPr>
        <a:xfrm>
          <a:off x="13924405" y="2372900"/>
          <a:ext cx="2482893" cy="17565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00000000-0008-0000-0800-000014000000}"/>
            </a:ext>
          </a:extLst>
        </xdr:cNvPr>
        <xdr:cNvSpPr txBox="1"/>
      </xdr:nvSpPr>
      <xdr:spPr>
        <a:xfrm>
          <a:off x="164306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00000000-0008-0000-0800-000015000000}"/>
            </a:ext>
          </a:extLst>
        </xdr:cNvPr>
        <xdr:cNvCxnSpPr/>
      </xdr:nvCxnSpPr>
      <xdr:spPr>
        <a:xfrm flipV="1">
          <a:off x="165303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00000000-0008-0000-0800-000016000000}"/>
            </a:ext>
          </a:extLst>
        </xdr:cNvPr>
        <xdr:cNvSpPr txBox="1"/>
      </xdr:nvSpPr>
      <xdr:spPr>
        <a:xfrm>
          <a:off x="164306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00000000-0008-0000-0800-000017000000}"/>
            </a:ext>
          </a:extLst>
        </xdr:cNvPr>
        <xdr:cNvSpPr/>
      </xdr:nvSpPr>
      <xdr:spPr>
        <a:xfrm>
          <a:off x="164306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00000000-0008-0000-0800-000018000000}"/>
            </a:ext>
          </a:extLst>
        </xdr:cNvPr>
        <xdr:cNvSpPr txBox="1"/>
      </xdr:nvSpPr>
      <xdr:spPr>
        <a:xfrm>
          <a:off x="165062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00000000-0008-0000-0800-000019000000}"/>
            </a:ext>
          </a:extLst>
        </xdr:cNvPr>
        <xdr:cNvSpPr txBox="1"/>
      </xdr:nvSpPr>
      <xdr:spPr>
        <a:xfrm>
          <a:off x="16511164"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#miniporrajuLio2024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77094</xdr:rowOff>
    </xdr:to>
    <xdr:pic>
      <xdr:nvPicPr>
        <xdr:cNvPr id="28" name="Imagen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6"/>
        <a:stretch>
          <a:fillRect/>
        </a:stretch>
      </xdr:blipFill>
      <xdr:spPr>
        <a:xfrm>
          <a:off x="15706503" y="4552377"/>
          <a:ext cx="574314" cy="1030167"/>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29" name="Gráfico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3" name="Gráfico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800-00000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4" name="CuadroTexto 1">
          <a:extLst>
            <a:ext uri="{FF2B5EF4-FFF2-40B4-BE49-F238E27FC236}">
              <a16:creationId xmlns:a16="http://schemas.microsoft.com/office/drawing/2014/main" id="{00000000-0008-0000-0800-000022000000}"/>
            </a:ext>
          </a:extLst>
        </xdr:cNvPr>
        <xdr:cNvSpPr txBox="1"/>
      </xdr:nvSpPr>
      <xdr:spPr>
        <a:xfrm>
          <a:off x="197702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10.937</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197768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6" name="CuadroTexto 3">
          <a:extLst>
            <a:ext uri="{FF2B5EF4-FFF2-40B4-BE49-F238E27FC236}">
              <a16:creationId xmlns:a16="http://schemas.microsoft.com/office/drawing/2014/main" id="{00000000-0008-0000-0800-000024000000}"/>
            </a:ext>
          </a:extLst>
        </xdr:cNvPr>
        <xdr:cNvSpPr txBox="1"/>
      </xdr:nvSpPr>
      <xdr:spPr>
        <a:xfrm>
          <a:off x="180569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39,51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7" name="CuadroTexto 3">
          <a:extLst>
            <a:ext uri="{FF2B5EF4-FFF2-40B4-BE49-F238E27FC236}">
              <a16:creationId xmlns:a16="http://schemas.microsoft.com/office/drawing/2014/main" id="{00000000-0008-0000-0800-000025000000}"/>
            </a:ext>
          </a:extLst>
        </xdr:cNvPr>
        <xdr:cNvSpPr txBox="1"/>
      </xdr:nvSpPr>
      <xdr:spPr>
        <a:xfrm>
          <a:off x="180072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62,64</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38" name="CuadroTexto 37">
          <a:extLst>
            <a:ext uri="{FF2B5EF4-FFF2-40B4-BE49-F238E27FC236}">
              <a16:creationId xmlns:a16="http://schemas.microsoft.com/office/drawing/2014/main" id="{00000000-0008-0000-0800-000026000000}"/>
            </a:ext>
          </a:extLst>
        </xdr:cNvPr>
        <xdr:cNvSpPr txBox="1"/>
      </xdr:nvSpPr>
      <xdr:spPr>
        <a:xfrm>
          <a:off x="13945428" y="8417616"/>
          <a:ext cx="5028372" cy="74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9" name="CuadroTexto 38">
          <a:extLst>
            <a:ext uri="{FF2B5EF4-FFF2-40B4-BE49-F238E27FC236}">
              <a16:creationId xmlns:a16="http://schemas.microsoft.com/office/drawing/2014/main" id="{00000000-0008-0000-0800-000027000000}"/>
            </a:ext>
          </a:extLst>
        </xdr:cNvPr>
        <xdr:cNvSpPr txBox="1"/>
      </xdr:nvSpPr>
      <xdr:spPr>
        <a:xfrm>
          <a:off x="138874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40" name="CuadroTexto 39">
          <a:extLst>
            <a:ext uri="{FF2B5EF4-FFF2-40B4-BE49-F238E27FC236}">
              <a16:creationId xmlns:a16="http://schemas.microsoft.com/office/drawing/2014/main" id="{00000000-0008-0000-0800-000028000000}"/>
            </a:ext>
          </a:extLst>
        </xdr:cNvPr>
        <xdr:cNvSpPr txBox="1"/>
      </xdr:nvSpPr>
      <xdr:spPr>
        <a:xfrm>
          <a:off x="138874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1" name="CuadroTexto 40">
          <a:extLst>
            <a:ext uri="{FF2B5EF4-FFF2-40B4-BE49-F238E27FC236}">
              <a16:creationId xmlns:a16="http://schemas.microsoft.com/office/drawing/2014/main" id="{00000000-0008-0000-0800-000029000000}"/>
            </a:ext>
          </a:extLst>
        </xdr:cNvPr>
        <xdr:cNvSpPr txBox="1"/>
      </xdr:nvSpPr>
      <xdr:spPr>
        <a:xfrm>
          <a:off x="164306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2" name="Conector recto 41">
          <a:extLst>
            <a:ext uri="{FF2B5EF4-FFF2-40B4-BE49-F238E27FC236}">
              <a16:creationId xmlns:a16="http://schemas.microsoft.com/office/drawing/2014/main" id="{00000000-0008-0000-0800-00002A000000}"/>
            </a:ext>
          </a:extLst>
        </xdr:cNvPr>
        <xdr:cNvCxnSpPr/>
      </xdr:nvCxnSpPr>
      <xdr:spPr>
        <a:xfrm>
          <a:off x="166170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3" name="Rectángulo 42">
          <a:extLst>
            <a:ext uri="{FF2B5EF4-FFF2-40B4-BE49-F238E27FC236}">
              <a16:creationId xmlns:a16="http://schemas.microsoft.com/office/drawing/2014/main" id="{00000000-0008-0000-0800-00002B000000}"/>
            </a:ext>
          </a:extLst>
        </xdr:cNvPr>
        <xdr:cNvSpPr/>
      </xdr:nvSpPr>
      <xdr:spPr>
        <a:xfrm>
          <a:off x="164306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4" name="Rectángulo 43">
          <a:extLst>
            <a:ext uri="{FF2B5EF4-FFF2-40B4-BE49-F238E27FC236}">
              <a16:creationId xmlns:a16="http://schemas.microsoft.com/office/drawing/2014/main" id="{00000000-0008-0000-0800-00002C000000}"/>
            </a:ext>
          </a:extLst>
        </xdr:cNvPr>
        <xdr:cNvSpPr/>
      </xdr:nvSpPr>
      <xdr:spPr>
        <a:xfrm>
          <a:off x="13889935" y="5996609"/>
          <a:ext cx="5068956" cy="22363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5" name="Rectángulo 44">
          <a:extLst>
            <a:ext uri="{FF2B5EF4-FFF2-40B4-BE49-F238E27FC236}">
              <a16:creationId xmlns:a16="http://schemas.microsoft.com/office/drawing/2014/main" id="{00000000-0008-0000-0800-00002D000000}"/>
            </a:ext>
          </a:extLst>
        </xdr:cNvPr>
        <xdr:cNvSpPr/>
      </xdr:nvSpPr>
      <xdr:spPr>
        <a:xfrm>
          <a:off x="164306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6" name="Rectángulo 45">
          <a:extLst>
            <a:ext uri="{FF2B5EF4-FFF2-40B4-BE49-F238E27FC236}">
              <a16:creationId xmlns:a16="http://schemas.microsoft.com/office/drawing/2014/main" id="{00000000-0008-0000-0800-00002E000000}"/>
            </a:ext>
          </a:extLst>
        </xdr:cNvPr>
        <xdr:cNvSpPr/>
      </xdr:nvSpPr>
      <xdr:spPr>
        <a:xfrm>
          <a:off x="138874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7" name="Rectángulo 46">
          <a:extLst>
            <a:ext uri="{FF2B5EF4-FFF2-40B4-BE49-F238E27FC236}">
              <a16:creationId xmlns:a16="http://schemas.microsoft.com/office/drawing/2014/main" id="{00000000-0008-0000-0800-00002F000000}"/>
            </a:ext>
          </a:extLst>
        </xdr:cNvPr>
        <xdr:cNvSpPr/>
      </xdr:nvSpPr>
      <xdr:spPr>
        <a:xfrm>
          <a:off x="138874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8" name="Rectángulo 47">
          <a:extLst>
            <a:ext uri="{FF2B5EF4-FFF2-40B4-BE49-F238E27FC236}">
              <a16:creationId xmlns:a16="http://schemas.microsoft.com/office/drawing/2014/main" id="{00000000-0008-0000-0800-000030000000}"/>
            </a:ext>
          </a:extLst>
        </xdr:cNvPr>
        <xdr:cNvSpPr/>
      </xdr:nvSpPr>
      <xdr:spPr>
        <a:xfrm>
          <a:off x="164306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9" name="Conector recto 48">
          <a:extLst>
            <a:ext uri="{FF2B5EF4-FFF2-40B4-BE49-F238E27FC236}">
              <a16:creationId xmlns:a16="http://schemas.microsoft.com/office/drawing/2014/main" id="{00000000-0008-0000-0800-000031000000}"/>
            </a:ext>
          </a:extLst>
        </xdr:cNvPr>
        <xdr:cNvCxnSpPr/>
      </xdr:nvCxnSpPr>
      <xdr:spPr>
        <a:xfrm>
          <a:off x="165322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50" name="Conector recto 49">
          <a:extLst>
            <a:ext uri="{FF2B5EF4-FFF2-40B4-BE49-F238E27FC236}">
              <a16:creationId xmlns:a16="http://schemas.microsoft.com/office/drawing/2014/main" id="{00000000-0008-0000-0800-000032000000}"/>
            </a:ext>
          </a:extLst>
        </xdr:cNvPr>
        <xdr:cNvCxnSpPr/>
      </xdr:nvCxnSpPr>
      <xdr:spPr>
        <a:xfrm flipV="1">
          <a:off x="139702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54</xdr:row>
      <xdr:rowOff>0</xdr:rowOff>
    </xdr:from>
    <xdr:to>
      <xdr:col>23</xdr:col>
      <xdr:colOff>0</xdr:colOff>
      <xdr:row>60</xdr:row>
      <xdr:rowOff>0</xdr:rowOff>
    </xdr:to>
    <xdr:sp macro="" textlink="">
      <xdr:nvSpPr>
        <xdr:cNvPr id="51" name="Rectángulo 50">
          <a:extLst>
            <a:ext uri="{FF2B5EF4-FFF2-40B4-BE49-F238E27FC236}">
              <a16:creationId xmlns:a16="http://schemas.microsoft.com/office/drawing/2014/main" id="{00000000-0008-0000-0800-000033000000}"/>
            </a:ext>
          </a:extLst>
        </xdr:cNvPr>
        <xdr:cNvSpPr/>
      </xdr:nvSpPr>
      <xdr:spPr>
        <a:xfrm>
          <a:off x="12440478"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54</xdr:row>
      <xdr:rowOff>0</xdr:rowOff>
    </xdr:from>
    <xdr:to>
      <xdr:col>23</xdr:col>
      <xdr:colOff>701039</xdr:colOff>
      <xdr:row>60</xdr:row>
      <xdr:rowOff>0</xdr:rowOff>
    </xdr:to>
    <xdr:pic>
      <xdr:nvPicPr>
        <xdr:cNvPr id="52" name="Imagen 51">
          <a:extLst>
            <a:ext uri="{FF2B5EF4-FFF2-40B4-BE49-F238E27FC236}">
              <a16:creationId xmlns:a16="http://schemas.microsoft.com/office/drawing/2014/main" id="{00000000-0008-0000-0800-000034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232913"/>
          <a:ext cx="7321826" cy="894522"/>
        </a:xfrm>
        <a:prstGeom prst="rect">
          <a:avLst/>
        </a:prstGeom>
      </xdr:spPr>
    </xdr:pic>
    <xdr:clientData/>
  </xdr:twoCellAnchor>
  <xdr:twoCellAnchor>
    <xdr:from>
      <xdr:col>14</xdr:col>
      <xdr:colOff>761999</xdr:colOff>
      <xdr:row>54</xdr:row>
      <xdr:rowOff>0</xdr:rowOff>
    </xdr:from>
    <xdr:to>
      <xdr:col>22</xdr:col>
      <xdr:colOff>844825</xdr:colOff>
      <xdr:row>60</xdr:row>
      <xdr:rowOff>0</xdr:rowOff>
    </xdr:to>
    <xdr:sp macro="" textlink="">
      <xdr:nvSpPr>
        <xdr:cNvPr id="53" name="Rectángulo 52">
          <a:extLst>
            <a:ext uri="{FF2B5EF4-FFF2-40B4-BE49-F238E27FC236}">
              <a16:creationId xmlns:a16="http://schemas.microsoft.com/office/drawing/2014/main" id="{00000000-0008-0000-0800-000035000000}"/>
            </a:ext>
          </a:extLst>
        </xdr:cNvPr>
        <xdr:cNvSpPr/>
      </xdr:nvSpPr>
      <xdr:spPr>
        <a:xfrm>
          <a:off x="12440477"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37</xdr:row>
      <xdr:rowOff>0</xdr:rowOff>
    </xdr:from>
    <xdr:to>
      <xdr:col>17</xdr:col>
      <xdr:colOff>0</xdr:colOff>
      <xdr:row>54</xdr:row>
      <xdr:rowOff>1</xdr:rowOff>
    </xdr:to>
    <xdr:graphicFrame macro="">
      <xdr:nvGraphicFramePr>
        <xdr:cNvPr id="54" name="Gráfico 53">
          <a:extLst>
            <a:ext uri="{FF2B5EF4-FFF2-40B4-BE49-F238E27FC236}">
              <a16:creationId xmlns:a16="http://schemas.microsoft.com/office/drawing/2014/main" id="{00000000-0008-0000-08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5" name="CuadroTexto 54">
          <a:extLst>
            <a:ext uri="{FF2B5EF4-FFF2-40B4-BE49-F238E27FC236}">
              <a16:creationId xmlns:a16="http://schemas.microsoft.com/office/drawing/2014/main" id="{00000000-0008-0000-0800-000037000000}"/>
            </a:ext>
          </a:extLst>
        </xdr:cNvPr>
        <xdr:cNvSpPr txBox="1"/>
      </xdr:nvSpPr>
      <xdr:spPr>
        <a:xfrm>
          <a:off x="12440478" y="5703213"/>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6" name="Conector recto 55">
          <a:extLst>
            <a:ext uri="{FF2B5EF4-FFF2-40B4-BE49-F238E27FC236}">
              <a16:creationId xmlns:a16="http://schemas.microsoft.com/office/drawing/2014/main" id="{00000000-0008-0000-0800-000038000000}"/>
            </a:ext>
          </a:extLst>
        </xdr:cNvPr>
        <xdr:cNvCxnSpPr/>
      </xdr:nvCxnSpPr>
      <xdr:spPr>
        <a:xfrm>
          <a:off x="12481127" y="5988134"/>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7" name="Rectángulo 56">
          <a:extLst>
            <a:ext uri="{FF2B5EF4-FFF2-40B4-BE49-F238E27FC236}">
              <a16:creationId xmlns:a16="http://schemas.microsoft.com/office/drawing/2014/main" id="{00000000-0008-0000-0800-000039000000}"/>
            </a:ext>
          </a:extLst>
        </xdr:cNvPr>
        <xdr:cNvSpPr/>
      </xdr:nvSpPr>
      <xdr:spPr>
        <a:xfrm>
          <a:off x="13887450" y="4133851"/>
          <a:ext cx="2543175" cy="19811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60</xdr:row>
      <xdr:rowOff>0</xdr:rowOff>
    </xdr:to>
    <xdr:sp macro="" textlink="">
      <xdr:nvSpPr>
        <xdr:cNvPr id="58" name="Rectángulo 57">
          <a:extLst>
            <a:ext uri="{FF2B5EF4-FFF2-40B4-BE49-F238E27FC236}">
              <a16:creationId xmlns:a16="http://schemas.microsoft.com/office/drawing/2014/main" id="{00000000-0008-0000-0800-00003A000000}"/>
            </a:ext>
          </a:extLst>
        </xdr:cNvPr>
        <xdr:cNvSpPr/>
      </xdr:nvSpPr>
      <xdr:spPr>
        <a:xfrm>
          <a:off x="7636565" y="0"/>
          <a:ext cx="4803913" cy="9127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41413</xdr:colOff>
      <xdr:row>58</xdr:row>
      <xdr:rowOff>16563</xdr:rowOff>
    </xdr:from>
    <xdr:to>
      <xdr:col>15</xdr:col>
      <xdr:colOff>149087</xdr:colOff>
      <xdr:row>59</xdr:row>
      <xdr:rowOff>149085</xdr:rowOff>
    </xdr:to>
    <xdr:sp macro="" textlink="">
      <xdr:nvSpPr>
        <xdr:cNvPr id="60" name="CuadroTexto 59">
          <a:extLst>
            <a:ext uri="{FF2B5EF4-FFF2-40B4-BE49-F238E27FC236}">
              <a16:creationId xmlns:a16="http://schemas.microsoft.com/office/drawing/2014/main" id="{00000000-0008-0000-0800-00003C000000}"/>
            </a:ext>
          </a:extLst>
        </xdr:cNvPr>
        <xdr:cNvSpPr txBox="1"/>
      </xdr:nvSpPr>
      <xdr:spPr>
        <a:xfrm>
          <a:off x="7056783" y="8845824"/>
          <a:ext cx="5532782" cy="281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1">
              <a:latin typeface="Arial Narrow" panose="020B0606020202030204" pitchFamily="34" charset="0"/>
            </a:rPr>
            <a:t>Visita</a:t>
          </a:r>
          <a:r>
            <a:rPr lang="es-ES" sz="1100" b="1" baseline="0">
              <a:latin typeface="Arial Narrow" panose="020B0606020202030204" pitchFamily="34" charset="0"/>
            </a:rPr>
            <a:t> mis PowerAPPs en https://powerappspy-josevidal.streamlit.app/</a:t>
          </a:r>
          <a:endParaRPr lang="es-ES" sz="1100" b="1">
            <a:latin typeface="Arial Narrow" panose="020B0606020202030204" pitchFamily="34" charset="0"/>
          </a:endParaRPr>
        </a:p>
      </xdr:txBody>
    </xdr:sp>
    <xdr:clientData/>
  </xdr:twoCellAnchor>
  <xdr:twoCellAnchor editAs="oneCell">
    <xdr:from>
      <xdr:col>14</xdr:col>
      <xdr:colOff>270695</xdr:colOff>
      <xdr:row>58</xdr:row>
      <xdr:rowOff>12065</xdr:rowOff>
    </xdr:from>
    <xdr:to>
      <xdr:col>14</xdr:col>
      <xdr:colOff>539548</xdr:colOff>
      <xdr:row>59</xdr:row>
      <xdr:rowOff>129926</xdr:rowOff>
    </xdr:to>
    <xdr:pic>
      <xdr:nvPicPr>
        <xdr:cNvPr id="62" name="Imagen 61">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011964" y="8753084"/>
          <a:ext cx="268853" cy="264400"/>
        </a:xfrm>
        <a:prstGeom prst="rect">
          <a:avLst/>
        </a:prstGeom>
      </xdr:spPr>
    </xdr:pic>
    <xdr:clientData/>
  </xdr:twoCellAnchor>
  <xdr:twoCellAnchor editAs="oneCell">
    <xdr:from>
      <xdr:col>17</xdr:col>
      <xdr:colOff>51581</xdr:colOff>
      <xdr:row>28</xdr:row>
      <xdr:rowOff>21982</xdr:rowOff>
    </xdr:from>
    <xdr:to>
      <xdr:col>19</xdr:col>
      <xdr:colOff>7326</xdr:colOff>
      <xdr:row>38</xdr:row>
      <xdr:rowOff>142467</xdr:rowOff>
    </xdr:to>
    <xdr:pic>
      <xdr:nvPicPr>
        <xdr:cNvPr id="59" name="Imagen 58">
          <a:extLst>
            <a:ext uri="{FF2B5EF4-FFF2-40B4-BE49-F238E27FC236}">
              <a16:creationId xmlns:a16="http://schemas.microsoft.com/office/drawing/2014/main" id="{2D8EC2E6-2B82-2562-2A00-89567B8BB991}"/>
            </a:ext>
          </a:extLst>
        </xdr:cNvPr>
        <xdr:cNvPicPr>
          <a:picLocks noChangeAspect="1"/>
        </xdr:cNvPicPr>
      </xdr:nvPicPr>
      <xdr:blipFill>
        <a:blip xmlns:r="http://schemas.openxmlformats.org/officeDocument/2006/relationships" r:embed="rId15"/>
        <a:stretch>
          <a:fillRect/>
        </a:stretch>
      </xdr:blipFill>
      <xdr:spPr>
        <a:xfrm>
          <a:off x="12807754" y="4366847"/>
          <a:ext cx="1523707" cy="1585870"/>
        </a:xfrm>
        <a:prstGeom prst="rect">
          <a:avLst/>
        </a:prstGeom>
      </xdr:spPr>
    </xdr:pic>
    <xdr:clientData/>
  </xdr:twoCellAnchor>
</xdr:wsDr>
</file>

<file path=xl/drawings/drawing13.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l!$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72,31</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0.54851</cdr:x>
      <cdr:y>0.02848</cdr:y>
    </cdr:from>
    <cdr:to>
      <cdr:x>0.88442</cdr:x>
      <cdr:y>0.18272</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520556" y="50269"/>
          <a:ext cx="1543594" cy="272200"/>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cdr:y>
    </cdr:from>
    <cdr:to>
      <cdr:x>0.57395</cdr:x>
      <cdr:y>0.19423</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0"/>
          <a:ext cx="2637472" cy="34278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75,23</a:t>
          </a:r>
          <a:endParaRPr lang="es-ES" sz="1000" b="1">
            <a:solidFill>
              <a:srgbClr val="C00000"/>
            </a:solidFill>
            <a:latin typeface="Arial Narrow" panose="020B0606020202030204" pitchFamily="34" charset="0"/>
          </a:endParaRPr>
        </a:p>
      </cdr:txBody>
    </cdr:sp>
  </cdr:relSizeAnchor>
</c:userShapes>
</file>

<file path=xl/drawings/drawing14.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93CD3852-0DBC-4F8C-809D-17110569D0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11429CFA-86B6-4171-B218-FF381F17D326}"/>
            </a:ext>
          </a:extLst>
        </xdr:cNvPr>
        <xdr:cNvSpPr txBox="1"/>
      </xdr:nvSpPr>
      <xdr:spPr>
        <a:xfrm>
          <a:off x="14049375"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49154" name="Spinner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43FBD4C5-33CF-4E42-A8A7-9CBCD2FBB1C6}"/>
            </a:ext>
          </a:extLst>
        </xdr:cNvPr>
        <xdr:cNvSpPr txBox="1"/>
      </xdr:nvSpPr>
      <xdr:spPr>
        <a:xfrm>
          <a:off x="14049375"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7DDD389B-6335-43D3-A43B-41C138D983E2}"/>
            </a:ext>
          </a:extLst>
        </xdr:cNvPr>
        <xdr:cNvSpPr/>
      </xdr:nvSpPr>
      <xdr:spPr>
        <a:xfrm>
          <a:off x="1404937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484B5DBC-FEA2-4BC5-AB6F-BD4B7C91E88E}"/>
            </a:ext>
          </a:extLst>
        </xdr:cNvPr>
        <xdr:cNvSpPr/>
      </xdr:nvSpPr>
      <xdr:spPr>
        <a:xfrm>
          <a:off x="7715250" y="0"/>
          <a:ext cx="25812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EC261E39-5010-4A8A-BCBB-DEEFA79621B4}"/>
            </a:ext>
          </a:extLst>
        </xdr:cNvPr>
        <xdr:cNvSpPr/>
      </xdr:nvSpPr>
      <xdr:spPr>
        <a:xfrm>
          <a:off x="102965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57B069A9-065C-4A8D-8C30-EF1629072A87}"/>
            </a:ext>
          </a:extLst>
        </xdr:cNvPr>
        <xdr:cNvCxnSpPr/>
      </xdr:nvCxnSpPr>
      <xdr:spPr>
        <a:xfrm>
          <a:off x="14149203"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6C25C1F4-25DF-44D2-B8A3-FDECB830F8A9}"/>
            </a:ext>
          </a:extLst>
        </xdr:cNvPr>
        <xdr:cNvCxnSpPr/>
      </xdr:nvCxnSpPr>
      <xdr:spPr>
        <a:xfrm flipV="1">
          <a:off x="14087329"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191773E7-B414-4771-A606-88CC90A6CA8E}"/>
            </a:ext>
          </a:extLst>
        </xdr:cNvPr>
        <xdr:cNvCxnSpPr/>
      </xdr:nvCxnSpPr>
      <xdr:spPr>
        <a:xfrm flipV="1">
          <a:off x="14205327"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A3CB82B5-E73E-48E4-BB0E-37DB8CEE9015}"/>
            </a:ext>
          </a:extLst>
        </xdr:cNvPr>
        <xdr:cNvSpPr txBox="1"/>
      </xdr:nvSpPr>
      <xdr:spPr>
        <a:xfrm>
          <a:off x="15077086"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4,0%</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704686</xdr:colOff>
      <xdr:row>7</xdr:row>
      <xdr:rowOff>72618</xdr:rowOff>
    </xdr:to>
    <xdr:pic>
      <xdr:nvPicPr>
        <xdr:cNvPr id="12" name="Imagen 11">
          <a:extLst>
            <a:ext uri="{FF2B5EF4-FFF2-40B4-BE49-F238E27FC236}">
              <a16:creationId xmlns:a16="http://schemas.microsoft.com/office/drawing/2014/main" id="{6C8202CD-9E7A-4C2E-88F2-2D38057454BD}"/>
            </a:ext>
          </a:extLst>
        </xdr:cNvPr>
        <xdr:cNvPicPr>
          <a:picLocks noChangeAspect="1"/>
        </xdr:cNvPicPr>
      </xdr:nvPicPr>
      <xdr:blipFill>
        <a:blip xmlns:r="http://schemas.openxmlformats.org/officeDocument/2006/relationships" r:embed="rId2"/>
        <a:stretch>
          <a:fillRect/>
        </a:stretch>
      </xdr:blipFill>
      <xdr:spPr>
        <a:xfrm>
          <a:off x="14118186" y="1128569"/>
          <a:ext cx="233132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81093F08-D15C-44E5-B1E3-FE2A0303B2D7}"/>
            </a:ext>
          </a:extLst>
        </xdr:cNvPr>
        <xdr:cNvSpPr txBox="1"/>
      </xdr:nvSpPr>
      <xdr:spPr>
        <a:xfrm>
          <a:off x="14301484"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45,6%</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597D8898-8097-4409-881C-665E97407428}"/>
            </a:ext>
          </a:extLst>
        </xdr:cNvPr>
        <xdr:cNvSpPr txBox="1"/>
      </xdr:nvSpPr>
      <xdr:spPr>
        <a:xfrm>
          <a:off x="15769673"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41,0%</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8880A471-07B5-46E5-8D7E-E15B7B9A5CC3}"/>
            </a:ext>
          </a:extLst>
        </xdr:cNvPr>
        <xdr:cNvSpPr txBox="1"/>
      </xdr:nvSpPr>
      <xdr:spPr>
        <a:xfrm>
          <a:off x="14148767"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41,93</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E94DADF2-94FC-4E85-8685-5252D8D13719}"/>
            </a:ext>
          </a:extLst>
        </xdr:cNvPr>
        <xdr:cNvSpPr txBox="1"/>
      </xdr:nvSpPr>
      <xdr:spPr>
        <a:xfrm>
          <a:off x="14921947"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124,62</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8D4FC7F4-C35A-45CF-AE1B-8D4AB331097B}"/>
            </a:ext>
          </a:extLst>
        </xdr:cNvPr>
        <xdr:cNvSpPr txBox="1"/>
      </xdr:nvSpPr>
      <xdr:spPr>
        <a:xfrm>
          <a:off x="15835934"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76,94</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778679</xdr:colOff>
      <xdr:row>15</xdr:row>
      <xdr:rowOff>98726</xdr:rowOff>
    </xdr:to>
    <xdr:pic>
      <xdr:nvPicPr>
        <xdr:cNvPr id="18" name="Imagen 17">
          <a:extLst>
            <a:ext uri="{FF2B5EF4-FFF2-40B4-BE49-F238E27FC236}">
              <a16:creationId xmlns:a16="http://schemas.microsoft.com/office/drawing/2014/main" id="{8A4F688B-E968-4952-9339-7603928D813D}"/>
            </a:ext>
          </a:extLst>
        </xdr:cNvPr>
        <xdr:cNvPicPr>
          <a:picLocks noChangeAspect="1"/>
        </xdr:cNvPicPr>
      </xdr:nvPicPr>
      <xdr:blipFill>
        <a:blip xmlns:r="http://schemas.openxmlformats.org/officeDocument/2006/relationships" r:embed="rId3"/>
        <a:stretch>
          <a:fillRect/>
        </a:stretch>
      </xdr:blipFill>
      <xdr:spPr>
        <a:xfrm>
          <a:off x="14086330" y="2372900"/>
          <a:ext cx="2437173"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B39EC4DC-13D2-4C29-9B6D-54499FDDF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5AD64E22-83F8-4959-8967-7A1F01D696F8}"/>
            </a:ext>
          </a:extLst>
        </xdr:cNvPr>
        <xdr:cNvSpPr txBox="1"/>
      </xdr:nvSpPr>
      <xdr:spPr>
        <a:xfrm>
          <a:off x="16592550"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F1B16FA7-EE4F-4368-A266-B7E9F775507B}"/>
            </a:ext>
          </a:extLst>
        </xdr:cNvPr>
        <xdr:cNvCxnSpPr/>
      </xdr:nvCxnSpPr>
      <xdr:spPr>
        <a:xfrm flipV="1">
          <a:off x="16692257"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32D4EA05-1254-441D-BB40-83345A03E136}"/>
            </a:ext>
          </a:extLst>
        </xdr:cNvPr>
        <xdr:cNvSpPr txBox="1"/>
      </xdr:nvSpPr>
      <xdr:spPr>
        <a:xfrm>
          <a:off x="16592550"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D8633CC-F18E-4640-8C9C-4C66C1948F61}"/>
            </a:ext>
          </a:extLst>
        </xdr:cNvPr>
        <xdr:cNvSpPr/>
      </xdr:nvSpPr>
      <xdr:spPr>
        <a:xfrm>
          <a:off x="165925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F8C19012-4A65-4CE8-A784-94181751585E}"/>
            </a:ext>
          </a:extLst>
        </xdr:cNvPr>
        <xdr:cNvSpPr txBox="1"/>
      </xdr:nvSpPr>
      <xdr:spPr>
        <a:xfrm>
          <a:off x="16668164"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5C9FA224-D3B2-44DF-8654-A53DC90FA7F8}"/>
            </a:ext>
          </a:extLst>
        </xdr:cNvPr>
        <xdr:cNvSpPr txBox="1"/>
      </xdr:nvSpPr>
      <xdr:spPr>
        <a:xfrm>
          <a:off x="16673089"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#miniporraagosto2024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BA2F79C-FF5F-418E-BA57-9BFCACCE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84A1423A-2EFC-408E-8F12-27F6EA2745D4}"/>
            </a:ext>
          </a:extLst>
        </xdr:cNvPr>
        <xdr:cNvPicPr>
          <a:picLocks noChangeAspect="1"/>
        </xdr:cNvPicPr>
      </xdr:nvPicPr>
      <xdr:blipFill>
        <a:blip xmlns:r="http://schemas.openxmlformats.org/officeDocument/2006/relationships" r:embed="rId6"/>
        <a:stretch>
          <a:fillRect/>
        </a:stretch>
      </xdr:blipFill>
      <xdr:spPr>
        <a:xfrm>
          <a:off x="15868428" y="4552377"/>
          <a:ext cx="581934" cy="1020642"/>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2F42DA59-DC8E-42CA-9152-C9D930746B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56BAE928-6787-4F5B-8C5A-B6D8DBD57F4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39DB69B8-B80E-46A3-A803-780B3FFED2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FE594116-3C0E-4168-9292-4EA7AAE404C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F20F21C2-846A-46E1-AC6C-F7F9FB1650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900-000003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B97B4BD8-F89F-4E35-87EB-9309BD97C035}"/>
            </a:ext>
          </a:extLst>
        </xdr:cNvPr>
        <xdr:cNvSpPr txBox="1"/>
      </xdr:nvSpPr>
      <xdr:spPr>
        <a:xfrm>
          <a:off x="19932161" y="4785213"/>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10.937</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96B5A0B3-C5B8-4C56-992C-A36C65427A27}"/>
            </a:ext>
          </a:extLst>
        </xdr:cNvPr>
        <xdr:cNvSpPr txBox="1"/>
      </xdr:nvSpPr>
      <xdr:spPr>
        <a:xfrm>
          <a:off x="19938757" y="4807194"/>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900-000004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CB658D4A-5ABA-47D8-AB06-8DDB076CD9C6}"/>
            </a:ext>
          </a:extLst>
        </xdr:cNvPr>
        <xdr:cNvSpPr txBox="1"/>
      </xdr:nvSpPr>
      <xdr:spPr>
        <a:xfrm>
          <a:off x="18218839"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39,51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E9E2963C-1482-4269-887C-15C2D09E842D}"/>
            </a:ext>
          </a:extLst>
        </xdr:cNvPr>
        <xdr:cNvSpPr txBox="1"/>
      </xdr:nvSpPr>
      <xdr:spPr>
        <a:xfrm>
          <a:off x="18169145"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62,64</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8" name="CuadroTexto 37">
          <a:extLst>
            <a:ext uri="{FF2B5EF4-FFF2-40B4-BE49-F238E27FC236}">
              <a16:creationId xmlns:a16="http://schemas.microsoft.com/office/drawing/2014/main" id="{7915CC21-DE20-41D7-80DE-2CF167A76699}"/>
            </a:ext>
          </a:extLst>
        </xdr:cNvPr>
        <xdr:cNvSpPr txBox="1"/>
      </xdr:nvSpPr>
      <xdr:spPr>
        <a:xfrm>
          <a:off x="14049375" y="6105525"/>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9" name="CuadroTexto 38">
          <a:extLst>
            <a:ext uri="{FF2B5EF4-FFF2-40B4-BE49-F238E27FC236}">
              <a16:creationId xmlns:a16="http://schemas.microsoft.com/office/drawing/2014/main" id="{B3455C6E-B523-4497-98B4-F0D014947DFA}"/>
            </a:ext>
          </a:extLst>
        </xdr:cNvPr>
        <xdr:cNvSpPr txBox="1"/>
      </xdr:nvSpPr>
      <xdr:spPr>
        <a:xfrm>
          <a:off x="14049375"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0" name="CuadroTexto 39">
          <a:extLst>
            <a:ext uri="{FF2B5EF4-FFF2-40B4-BE49-F238E27FC236}">
              <a16:creationId xmlns:a16="http://schemas.microsoft.com/office/drawing/2014/main" id="{8C57595B-612C-4FA4-A8FA-D9F5EB9A5194}"/>
            </a:ext>
          </a:extLst>
        </xdr:cNvPr>
        <xdr:cNvSpPr txBox="1"/>
      </xdr:nvSpPr>
      <xdr:spPr>
        <a:xfrm>
          <a:off x="16592550"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1" name="Conector recto 40">
          <a:extLst>
            <a:ext uri="{FF2B5EF4-FFF2-40B4-BE49-F238E27FC236}">
              <a16:creationId xmlns:a16="http://schemas.microsoft.com/office/drawing/2014/main" id="{99ABF1B4-ECF4-414D-9D1E-23E6CCE93579}"/>
            </a:ext>
          </a:extLst>
        </xdr:cNvPr>
        <xdr:cNvCxnSpPr/>
      </xdr:nvCxnSpPr>
      <xdr:spPr>
        <a:xfrm>
          <a:off x="16778972"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2" name="Rectángulo 41">
          <a:extLst>
            <a:ext uri="{FF2B5EF4-FFF2-40B4-BE49-F238E27FC236}">
              <a16:creationId xmlns:a16="http://schemas.microsoft.com/office/drawing/2014/main" id="{08939BDD-726B-4E29-92DC-F02342198E67}"/>
            </a:ext>
          </a:extLst>
        </xdr:cNvPr>
        <xdr:cNvSpPr/>
      </xdr:nvSpPr>
      <xdr:spPr>
        <a:xfrm>
          <a:off x="16592550" y="4133850"/>
          <a:ext cx="2543175" cy="197167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3" name="Rectángulo 42">
          <a:extLst>
            <a:ext uri="{FF2B5EF4-FFF2-40B4-BE49-F238E27FC236}">
              <a16:creationId xmlns:a16="http://schemas.microsoft.com/office/drawing/2014/main" id="{EF8DA958-8C0A-4387-970E-E15E00D64237}"/>
            </a:ext>
          </a:extLst>
        </xdr:cNvPr>
        <xdr:cNvSpPr/>
      </xdr:nvSpPr>
      <xdr:spPr>
        <a:xfrm>
          <a:off x="14049375" y="6105525"/>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4" name="Rectángulo 43">
          <a:extLst>
            <a:ext uri="{FF2B5EF4-FFF2-40B4-BE49-F238E27FC236}">
              <a16:creationId xmlns:a16="http://schemas.microsoft.com/office/drawing/2014/main" id="{BC0A8A32-8771-4CC6-A86C-CEF7B9A90F6F}"/>
            </a:ext>
          </a:extLst>
        </xdr:cNvPr>
        <xdr:cNvSpPr/>
      </xdr:nvSpPr>
      <xdr:spPr>
        <a:xfrm>
          <a:off x="16592550"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5" name="Rectángulo 44">
          <a:extLst>
            <a:ext uri="{FF2B5EF4-FFF2-40B4-BE49-F238E27FC236}">
              <a16:creationId xmlns:a16="http://schemas.microsoft.com/office/drawing/2014/main" id="{F07B1857-B5B1-4F0D-BFF9-6CC6008A5B58}"/>
            </a:ext>
          </a:extLst>
        </xdr:cNvPr>
        <xdr:cNvSpPr/>
      </xdr:nvSpPr>
      <xdr:spPr>
        <a:xfrm>
          <a:off x="14049375"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6" name="Rectángulo 45">
          <a:extLst>
            <a:ext uri="{FF2B5EF4-FFF2-40B4-BE49-F238E27FC236}">
              <a16:creationId xmlns:a16="http://schemas.microsoft.com/office/drawing/2014/main" id="{4C53E1A4-2F7C-4B83-AE5F-6D6236AB0F83}"/>
            </a:ext>
          </a:extLst>
        </xdr:cNvPr>
        <xdr:cNvSpPr/>
      </xdr:nvSpPr>
      <xdr:spPr>
        <a:xfrm>
          <a:off x="14049375"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7" name="Rectángulo 46">
          <a:extLst>
            <a:ext uri="{FF2B5EF4-FFF2-40B4-BE49-F238E27FC236}">
              <a16:creationId xmlns:a16="http://schemas.microsoft.com/office/drawing/2014/main" id="{F1EEC6DE-607A-418C-A73F-19E4109D02BB}"/>
            </a:ext>
          </a:extLst>
        </xdr:cNvPr>
        <xdr:cNvSpPr/>
      </xdr:nvSpPr>
      <xdr:spPr>
        <a:xfrm>
          <a:off x="16592551"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8" name="Conector recto 47">
          <a:extLst>
            <a:ext uri="{FF2B5EF4-FFF2-40B4-BE49-F238E27FC236}">
              <a16:creationId xmlns:a16="http://schemas.microsoft.com/office/drawing/2014/main" id="{212E8F04-C137-4E53-985B-54CA7E9ACB4D}"/>
            </a:ext>
          </a:extLst>
        </xdr:cNvPr>
        <xdr:cNvCxnSpPr/>
      </xdr:nvCxnSpPr>
      <xdr:spPr>
        <a:xfrm>
          <a:off x="16694168"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9" name="Conector recto 48">
          <a:extLst>
            <a:ext uri="{FF2B5EF4-FFF2-40B4-BE49-F238E27FC236}">
              <a16:creationId xmlns:a16="http://schemas.microsoft.com/office/drawing/2014/main" id="{60C881DD-060C-4E39-9419-C271DAD0BF09}"/>
            </a:ext>
          </a:extLst>
        </xdr:cNvPr>
        <xdr:cNvCxnSpPr/>
      </xdr:nvCxnSpPr>
      <xdr:spPr>
        <a:xfrm flipV="1">
          <a:off x="14132200" y="6382164"/>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207500</xdr:colOff>
      <xdr:row>47</xdr:row>
      <xdr:rowOff>7327</xdr:rowOff>
    </xdr:from>
    <xdr:to>
      <xdr:col>17</xdr:col>
      <xdr:colOff>0</xdr:colOff>
      <xdr:row>54</xdr:row>
      <xdr:rowOff>0</xdr:rowOff>
    </xdr:to>
    <xdr:pic>
      <xdr:nvPicPr>
        <xdr:cNvPr id="51" name="Imagen 50">
          <a:extLst>
            <a:ext uri="{FF2B5EF4-FFF2-40B4-BE49-F238E27FC236}">
              <a16:creationId xmlns:a16="http://schemas.microsoft.com/office/drawing/2014/main" id="{BC87B600-F329-4826-8079-D815AA3B10AA}"/>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819923" y="7407519"/>
          <a:ext cx="7273289" cy="1069731"/>
        </a:xfrm>
        <a:prstGeom prst="rect">
          <a:avLst/>
        </a:prstGeom>
      </xdr:spPr>
    </xdr:pic>
    <xdr:clientData/>
  </xdr:twoCellAnchor>
  <xdr:twoCellAnchor>
    <xdr:from>
      <xdr:col>14</xdr:col>
      <xdr:colOff>762000</xdr:colOff>
      <xdr:row>36</xdr:row>
      <xdr:rowOff>153865</xdr:rowOff>
    </xdr:from>
    <xdr:to>
      <xdr:col>17</xdr:col>
      <xdr:colOff>0</xdr:colOff>
      <xdr:row>54</xdr:row>
      <xdr:rowOff>1</xdr:rowOff>
    </xdr:to>
    <xdr:graphicFrame macro="">
      <xdr:nvGraphicFramePr>
        <xdr:cNvPr id="53" name="Gráfico 52">
          <a:extLst>
            <a:ext uri="{FF2B5EF4-FFF2-40B4-BE49-F238E27FC236}">
              <a16:creationId xmlns:a16="http://schemas.microsoft.com/office/drawing/2014/main" id="{5188FD15-FA43-4923-9589-2DEEAA7087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4" name="CuadroTexto 53">
          <a:extLst>
            <a:ext uri="{FF2B5EF4-FFF2-40B4-BE49-F238E27FC236}">
              <a16:creationId xmlns:a16="http://schemas.microsoft.com/office/drawing/2014/main" id="{A37B4517-AD3F-4886-A5F0-B18768544BA2}"/>
            </a:ext>
          </a:extLst>
        </xdr:cNvPr>
        <xdr:cNvSpPr txBox="1"/>
      </xdr:nvSpPr>
      <xdr:spPr>
        <a:xfrm>
          <a:off x="12582525" y="5805503"/>
          <a:ext cx="1466850"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5" name="Conector recto 54">
          <a:extLst>
            <a:ext uri="{FF2B5EF4-FFF2-40B4-BE49-F238E27FC236}">
              <a16:creationId xmlns:a16="http://schemas.microsoft.com/office/drawing/2014/main" id="{DF930CE2-31BD-4D9A-9AED-945A3C008B0C}"/>
            </a:ext>
          </a:extLst>
        </xdr:cNvPr>
        <xdr:cNvCxnSpPr/>
      </xdr:nvCxnSpPr>
      <xdr:spPr>
        <a:xfrm>
          <a:off x="12623174" y="6093737"/>
          <a:ext cx="1315628"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6" name="Rectángulo 55">
          <a:extLst>
            <a:ext uri="{FF2B5EF4-FFF2-40B4-BE49-F238E27FC236}">
              <a16:creationId xmlns:a16="http://schemas.microsoft.com/office/drawing/2014/main" id="{9572DB8E-49BF-44CF-8391-27D48E1A7714}"/>
            </a:ext>
          </a:extLst>
        </xdr:cNvPr>
        <xdr:cNvSpPr/>
      </xdr:nvSpPr>
      <xdr:spPr>
        <a:xfrm>
          <a:off x="14049375" y="4133851"/>
          <a:ext cx="2543175" cy="19716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0</xdr:rowOff>
    </xdr:from>
    <xdr:to>
      <xdr:col>15</xdr:col>
      <xdr:colOff>0</xdr:colOff>
      <xdr:row>54</xdr:row>
      <xdr:rowOff>0</xdr:rowOff>
    </xdr:to>
    <xdr:sp macro="" textlink="">
      <xdr:nvSpPr>
        <xdr:cNvPr id="57" name="Rectángulo 56">
          <a:extLst>
            <a:ext uri="{FF2B5EF4-FFF2-40B4-BE49-F238E27FC236}">
              <a16:creationId xmlns:a16="http://schemas.microsoft.com/office/drawing/2014/main" id="{54BA5969-FEFD-4195-AFFA-22CC4EA95123}"/>
            </a:ext>
          </a:extLst>
        </xdr:cNvPr>
        <xdr:cNvSpPr/>
      </xdr:nvSpPr>
      <xdr:spPr>
        <a:xfrm>
          <a:off x="7715250" y="769327"/>
          <a:ext cx="4872404" cy="770792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224588</xdr:colOff>
      <xdr:row>46</xdr:row>
      <xdr:rowOff>131886</xdr:rowOff>
    </xdr:from>
    <xdr:to>
      <xdr:col>11</xdr:col>
      <xdr:colOff>1699847</xdr:colOff>
      <xdr:row>50</xdr:row>
      <xdr:rowOff>139213</xdr:rowOff>
    </xdr:to>
    <xdr:sp macro="" textlink="">
      <xdr:nvSpPr>
        <xdr:cNvPr id="58" name="CuadroTexto 57">
          <a:extLst>
            <a:ext uri="{FF2B5EF4-FFF2-40B4-BE49-F238E27FC236}">
              <a16:creationId xmlns:a16="http://schemas.microsoft.com/office/drawing/2014/main" id="{B960E82A-B4D9-45B1-9784-A0CAECB01214}"/>
            </a:ext>
          </a:extLst>
        </xdr:cNvPr>
        <xdr:cNvSpPr txBox="1"/>
      </xdr:nvSpPr>
      <xdr:spPr>
        <a:xfrm>
          <a:off x="6738223" y="7378213"/>
          <a:ext cx="2391124"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461195</xdr:colOff>
      <xdr:row>51</xdr:row>
      <xdr:rowOff>26719</xdr:rowOff>
    </xdr:from>
    <xdr:to>
      <xdr:col>11</xdr:col>
      <xdr:colOff>99933</xdr:colOff>
      <xdr:row>52</xdr:row>
      <xdr:rowOff>144580</xdr:rowOff>
    </xdr:to>
    <xdr:pic>
      <xdr:nvPicPr>
        <xdr:cNvPr id="59" name="Imagen 58">
          <a:extLst>
            <a:ext uri="{FF2B5EF4-FFF2-40B4-BE49-F238E27FC236}">
              <a16:creationId xmlns:a16="http://schemas.microsoft.com/office/drawing/2014/main" id="{CE91B650-E879-46D2-A24F-41D5697B174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7260580" y="8042373"/>
          <a:ext cx="268853" cy="271726"/>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37" name="CuadroTexto 36">
          <a:extLst>
            <a:ext uri="{FF2B5EF4-FFF2-40B4-BE49-F238E27FC236}">
              <a16:creationId xmlns:a16="http://schemas.microsoft.com/office/drawing/2014/main" id="{A7BC6E63-5B23-4877-B493-82B55872D86F}"/>
            </a:ext>
          </a:extLst>
        </xdr:cNvPr>
        <xdr:cNvSpPr txBox="1"/>
      </xdr:nvSpPr>
      <xdr:spPr>
        <a:xfrm>
          <a:off x="7047864" y="9239249"/>
          <a:ext cx="1964252" cy="1670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10</xdr:col>
      <xdr:colOff>0</xdr:colOff>
      <xdr:row>47</xdr:row>
      <xdr:rowOff>0</xdr:rowOff>
    </xdr:from>
    <xdr:to>
      <xdr:col>14</xdr:col>
      <xdr:colOff>762000</xdr:colOff>
      <xdr:row>53</xdr:row>
      <xdr:rowOff>153864</xdr:rowOff>
    </xdr:to>
    <xdr:sp macro="" textlink="">
      <xdr:nvSpPr>
        <xdr:cNvPr id="50" name="Rectángulo 49">
          <a:extLst>
            <a:ext uri="{FF2B5EF4-FFF2-40B4-BE49-F238E27FC236}">
              <a16:creationId xmlns:a16="http://schemas.microsoft.com/office/drawing/2014/main" id="{30A2486B-D065-4900-82AB-9BD6EA2FAAA7}"/>
            </a:ext>
          </a:extLst>
        </xdr:cNvPr>
        <xdr:cNvSpPr/>
      </xdr:nvSpPr>
      <xdr:spPr>
        <a:xfrm>
          <a:off x="6799385" y="7400192"/>
          <a:ext cx="4872403"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73268</xdr:colOff>
      <xdr:row>28</xdr:row>
      <xdr:rowOff>29307</xdr:rowOff>
    </xdr:from>
    <xdr:to>
      <xdr:col>18</xdr:col>
      <xdr:colOff>820614</xdr:colOff>
      <xdr:row>38</xdr:row>
      <xdr:rowOff>124823</xdr:rowOff>
    </xdr:to>
    <xdr:pic>
      <xdr:nvPicPr>
        <xdr:cNvPr id="62" name="Imagen 61">
          <a:extLst>
            <a:ext uri="{FF2B5EF4-FFF2-40B4-BE49-F238E27FC236}">
              <a16:creationId xmlns:a16="http://schemas.microsoft.com/office/drawing/2014/main" id="{34F6909D-DCCA-CDF7-B2E6-2C1833DD7E3C}"/>
            </a:ext>
          </a:extLst>
        </xdr:cNvPr>
        <xdr:cNvPicPr>
          <a:picLocks noChangeAspect="1"/>
        </xdr:cNvPicPr>
      </xdr:nvPicPr>
      <xdr:blipFill>
        <a:blip xmlns:r="http://schemas.openxmlformats.org/officeDocument/2006/relationships" r:embed="rId15"/>
        <a:stretch>
          <a:fillRect/>
        </a:stretch>
      </xdr:blipFill>
      <xdr:spPr>
        <a:xfrm>
          <a:off x="13166480" y="4506057"/>
          <a:ext cx="1597269" cy="1634170"/>
        </a:xfrm>
        <a:prstGeom prst="rect">
          <a:avLst/>
        </a:prstGeom>
      </xdr:spPr>
    </xdr:pic>
    <xdr:clientData/>
  </xdr:twoCellAnchor>
</xdr:wsDr>
</file>

<file path=xl/drawings/drawing15.xml><?xml version="1.0" encoding="utf-8"?>
<c:userShapes xmlns:c="http://schemas.openxmlformats.org/drawingml/2006/chart">
  <cdr:relSizeAnchor xmlns:cdr="http://schemas.openxmlformats.org/drawingml/2006/chartDrawing">
    <cdr:from>
      <cdr:x>0.22299</cdr:x>
      <cdr:y>0</cdr:y>
    </cdr:from>
    <cdr:to>
      <cdr:x>0.34228</cdr:x>
      <cdr:y>0.14146</cdr:y>
    </cdr:to>
    <cdr:sp macro="" textlink="ago!$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91,05</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9,55</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EF!">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76,85</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15,1%</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0.13147</cdr:y>
    </cdr:from>
    <cdr:to>
      <cdr:x>0.67526</cdr:x>
      <cdr:y>0.22409</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0" y="343876"/>
          <a:ext cx="959827" cy="24227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0.55957</cdr:x>
      <cdr:y>0.11746</cdr:y>
    </cdr:from>
    <cdr:to>
      <cdr:x>0.97423</cdr:x>
      <cdr:y>0.22462</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795391" y="307243"/>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72,97</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17.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62F639F8-0AD4-454D-91A8-0218D1AB02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7C9C64D0-0556-4AC3-A927-48126B22E946}"/>
            </a:ext>
          </a:extLst>
        </xdr:cNvPr>
        <xdr:cNvSpPr txBox="1"/>
      </xdr:nvSpPr>
      <xdr:spPr>
        <a:xfrm>
          <a:off x="130873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59394" name="Spinner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1D99C1D1-F4D9-4934-927E-1C5C3443D984}"/>
            </a:ext>
          </a:extLst>
        </xdr:cNvPr>
        <xdr:cNvSpPr txBox="1"/>
      </xdr:nvSpPr>
      <xdr:spPr>
        <a:xfrm>
          <a:off x="130873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6EB65485-FE6A-4D96-AC12-AD5581685ACD}"/>
            </a:ext>
          </a:extLst>
        </xdr:cNvPr>
        <xdr:cNvSpPr/>
      </xdr:nvSpPr>
      <xdr:spPr>
        <a:xfrm>
          <a:off x="130873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11</xdr:col>
      <xdr:colOff>1956288</xdr:colOff>
      <xdr:row>5</xdr:row>
      <xdr:rowOff>0</xdr:rowOff>
    </xdr:to>
    <xdr:sp macro="" textlink="">
      <xdr:nvSpPr>
        <xdr:cNvPr id="6" name="Rectángulo 5">
          <a:extLst>
            <a:ext uri="{FF2B5EF4-FFF2-40B4-BE49-F238E27FC236}">
              <a16:creationId xmlns:a16="http://schemas.microsoft.com/office/drawing/2014/main" id="{5B0B39C8-6A58-4BFC-8792-40E89B6894B7}"/>
            </a:ext>
          </a:extLst>
        </xdr:cNvPr>
        <xdr:cNvSpPr/>
      </xdr:nvSpPr>
      <xdr:spPr>
        <a:xfrm>
          <a:off x="6799385" y="0"/>
          <a:ext cx="2586403"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61C28F3F-FD76-43A4-B510-8EF2F11E72D2}"/>
            </a:ext>
          </a:extLst>
        </xdr:cNvPr>
        <xdr:cNvSpPr/>
      </xdr:nvSpPr>
      <xdr:spPr>
        <a:xfrm>
          <a:off x="93821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D1453AE4-BCF1-4D16-B2E0-93EDD7C30C50}"/>
            </a:ext>
          </a:extLst>
        </xdr:cNvPr>
        <xdr:cNvCxnSpPr/>
      </xdr:nvCxnSpPr>
      <xdr:spPr>
        <a:xfrm>
          <a:off x="131871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28A376E9-365C-48AB-9AA8-7E01B03446DB}"/>
            </a:ext>
          </a:extLst>
        </xdr:cNvPr>
        <xdr:cNvCxnSpPr/>
      </xdr:nvCxnSpPr>
      <xdr:spPr>
        <a:xfrm flipV="1">
          <a:off x="131253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4CE7C7B4-2CFB-4C84-AC14-574032ABE0F0}"/>
            </a:ext>
          </a:extLst>
        </xdr:cNvPr>
        <xdr:cNvCxnSpPr/>
      </xdr:nvCxnSpPr>
      <xdr:spPr>
        <a:xfrm flipV="1">
          <a:off x="132433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2FA8913A-6D51-48D2-AF45-0C0F30B1038E}"/>
            </a:ext>
          </a:extLst>
        </xdr:cNvPr>
        <xdr:cNvSpPr txBox="1"/>
      </xdr:nvSpPr>
      <xdr:spPr>
        <a:xfrm>
          <a:off x="141150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4,0%</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558147</xdr:colOff>
      <xdr:row>7</xdr:row>
      <xdr:rowOff>72618</xdr:rowOff>
    </xdr:to>
    <xdr:pic>
      <xdr:nvPicPr>
        <xdr:cNvPr id="12" name="Imagen 11">
          <a:extLst>
            <a:ext uri="{FF2B5EF4-FFF2-40B4-BE49-F238E27FC236}">
              <a16:creationId xmlns:a16="http://schemas.microsoft.com/office/drawing/2014/main" id="{881609AA-F0A9-46B8-A12D-69C176A91814}"/>
            </a:ext>
          </a:extLst>
        </xdr:cNvPr>
        <xdr:cNvPicPr>
          <a:picLocks noChangeAspect="1"/>
        </xdr:cNvPicPr>
      </xdr:nvPicPr>
      <xdr:blipFill>
        <a:blip xmlns:r="http://schemas.openxmlformats.org/officeDocument/2006/relationships" r:embed="rId2"/>
        <a:stretch>
          <a:fillRect/>
        </a:stretch>
      </xdr:blipFill>
      <xdr:spPr>
        <a:xfrm>
          <a:off x="13156161" y="1128569"/>
          <a:ext cx="2331325"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79ED5B50-F70A-4ABC-98EA-86B371E27969}"/>
            </a:ext>
          </a:extLst>
        </xdr:cNvPr>
        <xdr:cNvSpPr txBox="1"/>
      </xdr:nvSpPr>
      <xdr:spPr>
        <a:xfrm>
          <a:off x="133394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45,6%</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DE2F2C3E-B4CD-4E69-948D-7FF6A8C4B6C4}"/>
            </a:ext>
          </a:extLst>
        </xdr:cNvPr>
        <xdr:cNvSpPr txBox="1"/>
      </xdr:nvSpPr>
      <xdr:spPr>
        <a:xfrm>
          <a:off x="148076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41,0%</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14FAD2C0-64B6-4676-9F07-FEB8F01BF11E}"/>
            </a:ext>
          </a:extLst>
        </xdr:cNvPr>
        <xdr:cNvSpPr txBox="1"/>
      </xdr:nvSpPr>
      <xdr:spPr>
        <a:xfrm>
          <a:off x="131867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41,93</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3DD848D6-2F40-4ACC-96A8-3984BB200F9B}"/>
            </a:ext>
          </a:extLst>
        </xdr:cNvPr>
        <xdr:cNvSpPr txBox="1"/>
      </xdr:nvSpPr>
      <xdr:spPr>
        <a:xfrm>
          <a:off x="139599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124,62</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D6A8F09B-57FC-4C00-805D-5C70D2CDAED0}"/>
            </a:ext>
          </a:extLst>
        </xdr:cNvPr>
        <xdr:cNvSpPr txBox="1"/>
      </xdr:nvSpPr>
      <xdr:spPr>
        <a:xfrm>
          <a:off x="148739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76,94</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632140</xdr:colOff>
      <xdr:row>15</xdr:row>
      <xdr:rowOff>98726</xdr:rowOff>
    </xdr:to>
    <xdr:pic>
      <xdr:nvPicPr>
        <xdr:cNvPr id="18" name="Imagen 17">
          <a:extLst>
            <a:ext uri="{FF2B5EF4-FFF2-40B4-BE49-F238E27FC236}">
              <a16:creationId xmlns:a16="http://schemas.microsoft.com/office/drawing/2014/main" id="{FBFB7BA0-B87D-4071-8466-861634D444A3}"/>
            </a:ext>
          </a:extLst>
        </xdr:cNvPr>
        <xdr:cNvPicPr>
          <a:picLocks noChangeAspect="1"/>
        </xdr:cNvPicPr>
      </xdr:nvPicPr>
      <xdr:blipFill>
        <a:blip xmlns:r="http://schemas.openxmlformats.org/officeDocument/2006/relationships" r:embed="rId3"/>
        <a:stretch>
          <a:fillRect/>
        </a:stretch>
      </xdr:blipFill>
      <xdr:spPr>
        <a:xfrm>
          <a:off x="13124305" y="2372900"/>
          <a:ext cx="2437174"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D80FAE56-0020-4F50-860D-B3B27C7573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DC482B32-E2E1-4B62-AD8E-E11D07119E81}"/>
            </a:ext>
          </a:extLst>
        </xdr:cNvPr>
        <xdr:cNvSpPr txBox="1"/>
      </xdr:nvSpPr>
      <xdr:spPr>
        <a:xfrm>
          <a:off x="156305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4F8F5C4A-4CAD-44E3-B473-9597E6DDC052}"/>
            </a:ext>
          </a:extLst>
        </xdr:cNvPr>
        <xdr:cNvCxnSpPr/>
      </xdr:nvCxnSpPr>
      <xdr:spPr>
        <a:xfrm flipV="1">
          <a:off x="157302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78006EF3-B352-48A5-84C8-26EA9BD84275}"/>
            </a:ext>
          </a:extLst>
        </xdr:cNvPr>
        <xdr:cNvSpPr txBox="1"/>
      </xdr:nvSpPr>
      <xdr:spPr>
        <a:xfrm>
          <a:off x="156305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9566775-D32A-4A40-B0F7-E26AB98C7E0C}"/>
            </a:ext>
          </a:extLst>
        </xdr:cNvPr>
        <xdr:cNvSpPr/>
      </xdr:nvSpPr>
      <xdr:spPr>
        <a:xfrm>
          <a:off x="156305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82BDD912-6145-4D17-AD98-987AEBCE2783}"/>
            </a:ext>
          </a:extLst>
        </xdr:cNvPr>
        <xdr:cNvSpPr txBox="1"/>
      </xdr:nvSpPr>
      <xdr:spPr>
        <a:xfrm>
          <a:off x="157061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915866</xdr:colOff>
      <xdr:row>2</xdr:row>
      <xdr:rowOff>88369</xdr:rowOff>
    </xdr:from>
    <xdr:to>
      <xdr:col>22</xdr:col>
      <xdr:colOff>659423</xdr:colOff>
      <xdr:row>4</xdr:row>
      <xdr:rowOff>73715</xdr:rowOff>
    </xdr:to>
    <xdr:sp macro="" textlink="">
      <xdr:nvSpPr>
        <xdr:cNvPr id="25" name="CuadroTexto 24">
          <a:extLst>
            <a:ext uri="{FF2B5EF4-FFF2-40B4-BE49-F238E27FC236}">
              <a16:creationId xmlns:a16="http://schemas.microsoft.com/office/drawing/2014/main" id="{0FBC607C-3FE6-4BEA-A96E-D95581A54A82}"/>
            </a:ext>
          </a:extLst>
        </xdr:cNvPr>
        <xdr:cNvSpPr txBox="1"/>
      </xdr:nvSpPr>
      <xdr:spPr>
        <a:xfrm>
          <a:off x="15855462" y="396100"/>
          <a:ext cx="2366596"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#miniporraaseptiembre2024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3B091E4-9E27-4948-8B86-3D3747B6F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717F2455-1826-4354-A9B2-7107B46C2FB6}"/>
            </a:ext>
          </a:extLst>
        </xdr:cNvPr>
        <xdr:cNvPicPr>
          <a:picLocks noChangeAspect="1"/>
        </xdr:cNvPicPr>
      </xdr:nvPicPr>
      <xdr:blipFill>
        <a:blip xmlns:r="http://schemas.openxmlformats.org/officeDocument/2006/relationships" r:embed="rId6"/>
        <a:stretch>
          <a:fillRect/>
        </a:stretch>
      </xdr:blipFill>
      <xdr:spPr>
        <a:xfrm>
          <a:off x="14906403" y="4552377"/>
          <a:ext cx="581934" cy="1022840"/>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D5FEF18C-E595-43BA-ADFB-A19066B58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414299B3-4FFD-4175-B3BE-09A2E7D30B2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11D42427-DDC6-43DB-B594-DA2A65C8FF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4FE10239-B0CE-4A46-A1DF-947B6743F33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701B1D65-3C34-4136-8296-54CD2057B7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EC825868-F1A5-47AD-BE7A-86DBB22811BE}"/>
            </a:ext>
          </a:extLst>
        </xdr:cNvPr>
        <xdr:cNvSpPr txBox="1"/>
      </xdr:nvSpPr>
      <xdr:spPr>
        <a:xfrm>
          <a:off x="189701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10.937</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63D18F3B-F706-4428-8F95-8C23559B7088}"/>
            </a:ext>
          </a:extLst>
        </xdr:cNvPr>
        <xdr:cNvSpPr txBox="1"/>
      </xdr:nvSpPr>
      <xdr:spPr>
        <a:xfrm>
          <a:off x="189767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450D6F27-0AE0-4713-8E45-B7ACAD37AABA}"/>
            </a:ext>
          </a:extLst>
        </xdr:cNvPr>
        <xdr:cNvSpPr txBox="1"/>
      </xdr:nvSpPr>
      <xdr:spPr>
        <a:xfrm>
          <a:off x="172568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39,51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342B22CE-BEF2-4B77-815F-5366870DE354}"/>
            </a:ext>
          </a:extLst>
        </xdr:cNvPr>
        <xdr:cNvSpPr txBox="1"/>
      </xdr:nvSpPr>
      <xdr:spPr>
        <a:xfrm>
          <a:off x="172071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62,64</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7" name="CuadroTexto 36">
          <a:extLst>
            <a:ext uri="{FF2B5EF4-FFF2-40B4-BE49-F238E27FC236}">
              <a16:creationId xmlns:a16="http://schemas.microsoft.com/office/drawing/2014/main" id="{3D1AE045-7E9E-47AC-B95C-3DE40503F1E4}"/>
            </a:ext>
          </a:extLst>
        </xdr:cNvPr>
        <xdr:cNvSpPr txBox="1"/>
      </xdr:nvSpPr>
      <xdr:spPr>
        <a:xfrm>
          <a:off x="130873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8" name="CuadroTexto 37">
          <a:extLst>
            <a:ext uri="{FF2B5EF4-FFF2-40B4-BE49-F238E27FC236}">
              <a16:creationId xmlns:a16="http://schemas.microsoft.com/office/drawing/2014/main" id="{6E192444-8B1D-4BE4-B26B-E9C5E425ABA0}"/>
            </a:ext>
          </a:extLst>
        </xdr:cNvPr>
        <xdr:cNvSpPr txBox="1"/>
      </xdr:nvSpPr>
      <xdr:spPr>
        <a:xfrm>
          <a:off x="130873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39" name="CuadroTexto 38">
          <a:extLst>
            <a:ext uri="{FF2B5EF4-FFF2-40B4-BE49-F238E27FC236}">
              <a16:creationId xmlns:a16="http://schemas.microsoft.com/office/drawing/2014/main" id="{22CE2B5E-286C-4222-9483-E197CBB0B9FA}"/>
            </a:ext>
          </a:extLst>
        </xdr:cNvPr>
        <xdr:cNvSpPr txBox="1"/>
      </xdr:nvSpPr>
      <xdr:spPr>
        <a:xfrm>
          <a:off x="156305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0" name="Conector recto 39">
          <a:extLst>
            <a:ext uri="{FF2B5EF4-FFF2-40B4-BE49-F238E27FC236}">
              <a16:creationId xmlns:a16="http://schemas.microsoft.com/office/drawing/2014/main" id="{42183853-4AD6-4236-81AE-A2AA44838861}"/>
            </a:ext>
          </a:extLst>
        </xdr:cNvPr>
        <xdr:cNvCxnSpPr/>
      </xdr:nvCxnSpPr>
      <xdr:spPr>
        <a:xfrm>
          <a:off x="158169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1" name="Rectángulo 40">
          <a:extLst>
            <a:ext uri="{FF2B5EF4-FFF2-40B4-BE49-F238E27FC236}">
              <a16:creationId xmlns:a16="http://schemas.microsoft.com/office/drawing/2014/main" id="{FE572862-C620-4FFA-98F7-D5FC1FDB76C9}"/>
            </a:ext>
          </a:extLst>
        </xdr:cNvPr>
        <xdr:cNvSpPr/>
      </xdr:nvSpPr>
      <xdr:spPr>
        <a:xfrm>
          <a:off x="156305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2" name="Rectángulo 41">
          <a:extLst>
            <a:ext uri="{FF2B5EF4-FFF2-40B4-BE49-F238E27FC236}">
              <a16:creationId xmlns:a16="http://schemas.microsoft.com/office/drawing/2014/main" id="{C5B88A17-92B4-4C32-9F8E-D0B0F783A875}"/>
            </a:ext>
          </a:extLst>
        </xdr:cNvPr>
        <xdr:cNvSpPr/>
      </xdr:nvSpPr>
      <xdr:spPr>
        <a:xfrm>
          <a:off x="13087350" y="6115050"/>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3" name="Rectángulo 42">
          <a:extLst>
            <a:ext uri="{FF2B5EF4-FFF2-40B4-BE49-F238E27FC236}">
              <a16:creationId xmlns:a16="http://schemas.microsoft.com/office/drawing/2014/main" id="{0EEF0B18-A0A1-4E68-877B-92914790C9EC}"/>
            </a:ext>
          </a:extLst>
        </xdr:cNvPr>
        <xdr:cNvSpPr/>
      </xdr:nvSpPr>
      <xdr:spPr>
        <a:xfrm>
          <a:off x="156305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4" name="Rectángulo 43">
          <a:extLst>
            <a:ext uri="{FF2B5EF4-FFF2-40B4-BE49-F238E27FC236}">
              <a16:creationId xmlns:a16="http://schemas.microsoft.com/office/drawing/2014/main" id="{A621BEF1-E72C-4307-8341-5E2308201ADA}"/>
            </a:ext>
          </a:extLst>
        </xdr:cNvPr>
        <xdr:cNvSpPr/>
      </xdr:nvSpPr>
      <xdr:spPr>
        <a:xfrm>
          <a:off x="130873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5" name="Rectángulo 44">
          <a:extLst>
            <a:ext uri="{FF2B5EF4-FFF2-40B4-BE49-F238E27FC236}">
              <a16:creationId xmlns:a16="http://schemas.microsoft.com/office/drawing/2014/main" id="{0BFC62CA-DE41-4611-8950-D81F87DAF741}"/>
            </a:ext>
          </a:extLst>
        </xdr:cNvPr>
        <xdr:cNvSpPr/>
      </xdr:nvSpPr>
      <xdr:spPr>
        <a:xfrm>
          <a:off x="130873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6" name="Rectángulo 45">
          <a:extLst>
            <a:ext uri="{FF2B5EF4-FFF2-40B4-BE49-F238E27FC236}">
              <a16:creationId xmlns:a16="http://schemas.microsoft.com/office/drawing/2014/main" id="{E059C61F-7E1D-46FA-9553-2B5810423981}"/>
            </a:ext>
          </a:extLst>
        </xdr:cNvPr>
        <xdr:cNvSpPr/>
      </xdr:nvSpPr>
      <xdr:spPr>
        <a:xfrm>
          <a:off x="156305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7" name="Conector recto 46">
          <a:extLst>
            <a:ext uri="{FF2B5EF4-FFF2-40B4-BE49-F238E27FC236}">
              <a16:creationId xmlns:a16="http://schemas.microsoft.com/office/drawing/2014/main" id="{C827E164-8621-4536-ACF1-B638E383C5A1}"/>
            </a:ext>
          </a:extLst>
        </xdr:cNvPr>
        <xdr:cNvCxnSpPr/>
      </xdr:nvCxnSpPr>
      <xdr:spPr>
        <a:xfrm>
          <a:off x="157321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8" name="Conector recto 47">
          <a:extLst>
            <a:ext uri="{FF2B5EF4-FFF2-40B4-BE49-F238E27FC236}">
              <a16:creationId xmlns:a16="http://schemas.microsoft.com/office/drawing/2014/main" id="{859D42BA-5F74-4340-B915-0E70A1039264}"/>
            </a:ext>
          </a:extLst>
        </xdr:cNvPr>
        <xdr:cNvCxnSpPr/>
      </xdr:nvCxnSpPr>
      <xdr:spPr>
        <a:xfrm flipV="1">
          <a:off x="131701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212481</xdr:colOff>
      <xdr:row>45</xdr:row>
      <xdr:rowOff>7326</xdr:rowOff>
    </xdr:from>
    <xdr:to>
      <xdr:col>17</xdr:col>
      <xdr:colOff>34290</xdr:colOff>
      <xdr:row>54</xdr:row>
      <xdr:rowOff>0</xdr:rowOff>
    </xdr:to>
    <xdr:pic>
      <xdr:nvPicPr>
        <xdr:cNvPr id="49" name="Imagen 48">
          <a:extLst>
            <a:ext uri="{FF2B5EF4-FFF2-40B4-BE49-F238E27FC236}">
              <a16:creationId xmlns:a16="http://schemas.microsoft.com/office/drawing/2014/main" id="{7929C2B5-8226-4349-8EC1-8F81A51B87E5}"/>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583116" y="7099788"/>
          <a:ext cx="7273289" cy="1377462"/>
        </a:xfrm>
        <a:prstGeom prst="rect">
          <a:avLst/>
        </a:prstGeom>
      </xdr:spPr>
    </xdr:pic>
    <xdr:clientData/>
  </xdr:twoCellAnchor>
  <xdr:twoCellAnchor>
    <xdr:from>
      <xdr:col>15</xdr:col>
      <xdr:colOff>1</xdr:colOff>
      <xdr:row>38</xdr:row>
      <xdr:rowOff>0</xdr:rowOff>
    </xdr:from>
    <xdr:to>
      <xdr:col>17</xdr:col>
      <xdr:colOff>0</xdr:colOff>
      <xdr:row>54</xdr:row>
      <xdr:rowOff>0</xdr:rowOff>
    </xdr:to>
    <xdr:graphicFrame macro="">
      <xdr:nvGraphicFramePr>
        <xdr:cNvPr id="50" name="Gráfico 49">
          <a:extLst>
            <a:ext uri="{FF2B5EF4-FFF2-40B4-BE49-F238E27FC236}">
              <a16:creationId xmlns:a16="http://schemas.microsoft.com/office/drawing/2014/main" id="{0354F0D9-0806-4958-A832-98EBCD7ABB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51" name="CuadroTexto 50">
          <a:extLst>
            <a:ext uri="{FF2B5EF4-FFF2-40B4-BE49-F238E27FC236}">
              <a16:creationId xmlns:a16="http://schemas.microsoft.com/office/drawing/2014/main" id="{B319A7F5-66B9-42F6-B567-BA4A87B59483}"/>
            </a:ext>
          </a:extLst>
        </xdr:cNvPr>
        <xdr:cNvSpPr txBox="1"/>
      </xdr:nvSpPr>
      <xdr:spPr>
        <a:xfrm>
          <a:off x="11430000" y="5712451"/>
          <a:ext cx="1392115" cy="30295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0</xdr:colOff>
      <xdr:row>38</xdr:row>
      <xdr:rowOff>0</xdr:rowOff>
    </xdr:from>
    <xdr:to>
      <xdr:col>16</xdr:col>
      <xdr:colOff>658403</xdr:colOff>
      <xdr:row>38</xdr:row>
      <xdr:rowOff>193</xdr:rowOff>
    </xdr:to>
    <xdr:cxnSp macro="">
      <xdr:nvCxnSpPr>
        <xdr:cNvPr id="52" name="Conector recto 51">
          <a:extLst>
            <a:ext uri="{FF2B5EF4-FFF2-40B4-BE49-F238E27FC236}">
              <a16:creationId xmlns:a16="http://schemas.microsoft.com/office/drawing/2014/main" id="{E54673C7-18C3-4BDE-AF60-DD97A2FBB0CE}"/>
            </a:ext>
          </a:extLst>
        </xdr:cNvPr>
        <xdr:cNvCxnSpPr/>
      </xdr:nvCxnSpPr>
      <xdr:spPr>
        <a:xfrm>
          <a:off x="11430000" y="6015404"/>
          <a:ext cx="1354461"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124558</xdr:colOff>
      <xdr:row>39</xdr:row>
      <xdr:rowOff>0</xdr:rowOff>
    </xdr:to>
    <xdr:sp macro="" textlink="">
      <xdr:nvSpPr>
        <xdr:cNvPr id="53" name="Rectángulo 52">
          <a:extLst>
            <a:ext uri="{FF2B5EF4-FFF2-40B4-BE49-F238E27FC236}">
              <a16:creationId xmlns:a16="http://schemas.microsoft.com/office/drawing/2014/main" id="{906F9972-31D0-48AA-95B6-615EB19415CA}"/>
            </a:ext>
          </a:extLst>
        </xdr:cNvPr>
        <xdr:cNvSpPr/>
      </xdr:nvSpPr>
      <xdr:spPr>
        <a:xfrm>
          <a:off x="12822115" y="4169020"/>
          <a:ext cx="28941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1</xdr:rowOff>
    </xdr:from>
    <xdr:to>
      <xdr:col>15</xdr:col>
      <xdr:colOff>0</xdr:colOff>
      <xdr:row>54</xdr:row>
      <xdr:rowOff>0</xdr:rowOff>
    </xdr:to>
    <xdr:sp macro="" textlink="">
      <xdr:nvSpPr>
        <xdr:cNvPr id="54" name="Rectángulo 53">
          <a:extLst>
            <a:ext uri="{FF2B5EF4-FFF2-40B4-BE49-F238E27FC236}">
              <a16:creationId xmlns:a16="http://schemas.microsoft.com/office/drawing/2014/main" id="{591DC9AE-A696-48B2-84C6-23F1140046C0}"/>
            </a:ext>
          </a:extLst>
        </xdr:cNvPr>
        <xdr:cNvSpPr/>
      </xdr:nvSpPr>
      <xdr:spPr>
        <a:xfrm>
          <a:off x="6557596" y="769328"/>
          <a:ext cx="4872404" cy="77079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217261</xdr:colOff>
      <xdr:row>44</xdr:row>
      <xdr:rowOff>139213</xdr:rowOff>
    </xdr:from>
    <xdr:to>
      <xdr:col>11</xdr:col>
      <xdr:colOff>1692520</xdr:colOff>
      <xdr:row>48</xdr:row>
      <xdr:rowOff>146539</xdr:rowOff>
    </xdr:to>
    <xdr:sp macro="" textlink="">
      <xdr:nvSpPr>
        <xdr:cNvPr id="55" name="CuadroTexto 54">
          <a:extLst>
            <a:ext uri="{FF2B5EF4-FFF2-40B4-BE49-F238E27FC236}">
              <a16:creationId xmlns:a16="http://schemas.microsoft.com/office/drawing/2014/main" id="{A9AC5FDA-148E-476B-8888-2FEC48E38DA7}"/>
            </a:ext>
          </a:extLst>
        </xdr:cNvPr>
        <xdr:cNvSpPr txBox="1"/>
      </xdr:nvSpPr>
      <xdr:spPr>
        <a:xfrm>
          <a:off x="6489107" y="7077809"/>
          <a:ext cx="2391125"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256041</xdr:colOff>
      <xdr:row>51</xdr:row>
      <xdr:rowOff>48700</xdr:rowOff>
    </xdr:from>
    <xdr:to>
      <xdr:col>10</xdr:col>
      <xdr:colOff>524894</xdr:colOff>
      <xdr:row>53</xdr:row>
      <xdr:rowOff>21981</xdr:rowOff>
    </xdr:to>
    <xdr:pic>
      <xdr:nvPicPr>
        <xdr:cNvPr id="56" name="Imagen 55">
          <a:extLst>
            <a:ext uri="{FF2B5EF4-FFF2-40B4-BE49-F238E27FC236}">
              <a16:creationId xmlns:a16="http://schemas.microsoft.com/office/drawing/2014/main" id="{E4FA1579-35AA-4CD9-A2FC-6D9A30D9BD5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813637" y="8064354"/>
          <a:ext cx="268853" cy="281012"/>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57" name="CuadroTexto 56">
          <a:extLst>
            <a:ext uri="{FF2B5EF4-FFF2-40B4-BE49-F238E27FC236}">
              <a16:creationId xmlns:a16="http://schemas.microsoft.com/office/drawing/2014/main" id="{39DD6070-1257-4158-BDF7-89E34449321D}"/>
            </a:ext>
          </a:extLst>
        </xdr:cNvPr>
        <xdr:cNvSpPr txBox="1"/>
      </xdr:nvSpPr>
      <xdr:spPr>
        <a:xfrm>
          <a:off x="7049329" y="9157187"/>
          <a:ext cx="1962787" cy="1654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13</xdr:col>
      <xdr:colOff>58616</xdr:colOff>
      <xdr:row>59</xdr:row>
      <xdr:rowOff>58614</xdr:rowOff>
    </xdr:from>
    <xdr:to>
      <xdr:col>19</xdr:col>
      <xdr:colOff>241789</xdr:colOff>
      <xdr:row>66</xdr:row>
      <xdr:rowOff>58613</xdr:rowOff>
    </xdr:to>
    <xdr:sp macro="" textlink="">
      <xdr:nvSpPr>
        <xdr:cNvPr id="58" name="Rectángulo 57">
          <a:extLst>
            <a:ext uri="{FF2B5EF4-FFF2-40B4-BE49-F238E27FC236}">
              <a16:creationId xmlns:a16="http://schemas.microsoft.com/office/drawing/2014/main" id="{70F32FCB-2B0C-4DD0-8DBA-0E813C2DF2F0}"/>
            </a:ext>
          </a:extLst>
        </xdr:cNvPr>
        <xdr:cNvSpPr/>
      </xdr:nvSpPr>
      <xdr:spPr>
        <a:xfrm>
          <a:off x="9964616" y="9305191"/>
          <a:ext cx="4872404"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102578</xdr:colOff>
      <xdr:row>28</xdr:row>
      <xdr:rowOff>29308</xdr:rowOff>
    </xdr:from>
    <xdr:to>
      <xdr:col>18</xdr:col>
      <xdr:colOff>828486</xdr:colOff>
      <xdr:row>38</xdr:row>
      <xdr:rowOff>126348</xdr:rowOff>
    </xdr:to>
    <xdr:pic>
      <xdr:nvPicPr>
        <xdr:cNvPr id="59" name="Imagen 58">
          <a:extLst>
            <a:ext uri="{FF2B5EF4-FFF2-40B4-BE49-F238E27FC236}">
              <a16:creationId xmlns:a16="http://schemas.microsoft.com/office/drawing/2014/main" id="{99BCCD0F-F061-D0BF-4146-91F8659B699A}"/>
            </a:ext>
          </a:extLst>
        </xdr:cNvPr>
        <xdr:cNvPicPr>
          <a:picLocks noChangeAspect="1"/>
        </xdr:cNvPicPr>
      </xdr:nvPicPr>
      <xdr:blipFill>
        <a:blip xmlns:r="http://schemas.openxmlformats.org/officeDocument/2006/relationships" r:embed="rId15"/>
        <a:stretch>
          <a:fillRect/>
        </a:stretch>
      </xdr:blipFill>
      <xdr:spPr>
        <a:xfrm>
          <a:off x="12924693" y="4506058"/>
          <a:ext cx="1649101" cy="1635694"/>
        </a:xfrm>
        <a:prstGeom prst="rect">
          <a:avLst/>
        </a:prstGeom>
      </xdr:spPr>
    </xdr:pic>
    <xdr:clientData/>
  </xdr:twoCellAnchor>
</xdr:wsDr>
</file>

<file path=xl/drawings/drawing18.xml><?xml version="1.0" encoding="utf-8"?>
<c:userShapes xmlns:c="http://schemas.openxmlformats.org/drawingml/2006/chart">
  <cdr:relSizeAnchor xmlns:cdr="http://schemas.openxmlformats.org/drawingml/2006/chartDrawing">
    <cdr:from>
      <cdr:x>0.22299</cdr:x>
      <cdr:y>0</cdr:y>
    </cdr:from>
    <cdr:to>
      <cdr:x>0.34228</cdr:x>
      <cdr:y>0.14146</cdr:y>
    </cdr:to>
    <cdr:sp macro="" textlink="sep!$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72,62</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9,55</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EF!">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76,85</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15,1%</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9.xml><?xml version="1.0" encoding="utf-8"?>
<c:userShapes xmlns:c="http://schemas.openxmlformats.org/drawingml/2006/chart">
  <cdr:relSizeAnchor xmlns:cdr="http://schemas.openxmlformats.org/drawingml/2006/chartDrawing">
    <cdr:from>
      <cdr:x>0.00687</cdr:x>
      <cdr:y>0.0171</cdr:y>
    </cdr:from>
    <cdr:to>
      <cdr:x>0.68213</cdr:x>
      <cdr:y>0.10972</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9865" y="44716"/>
          <a:ext cx="969725" cy="242267"/>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0.53229</cdr:x>
      <cdr:y>0.00308</cdr:y>
    </cdr:from>
    <cdr:to>
      <cdr:x>0.94695</cdr:x>
      <cdr:y>0.11024</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764412" y="8058"/>
          <a:ext cx="595483" cy="280300"/>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72,97</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2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6AB72395-A346-43B8-94D1-B5A5A5D8A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BF5333B5-CA60-4EFE-B42E-8AB704F8E609}"/>
            </a:ext>
          </a:extLst>
        </xdr:cNvPr>
        <xdr:cNvSpPr txBox="1"/>
      </xdr:nvSpPr>
      <xdr:spPr>
        <a:xfrm>
          <a:off x="12820650" y="2000250"/>
          <a:ext cx="27717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69634" name="Spinner 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8C32F35-8A42-40F2-8803-40FA159A5D9A}"/>
            </a:ext>
          </a:extLst>
        </xdr:cNvPr>
        <xdr:cNvSpPr txBox="1"/>
      </xdr:nvSpPr>
      <xdr:spPr>
        <a:xfrm>
          <a:off x="12820650" y="762001"/>
          <a:ext cx="27717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85E13D3A-5470-444F-BC04-42146A9299B0}"/>
            </a:ext>
          </a:extLst>
        </xdr:cNvPr>
        <xdr:cNvSpPr/>
      </xdr:nvSpPr>
      <xdr:spPr>
        <a:xfrm>
          <a:off x="12820650" y="0"/>
          <a:ext cx="27717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11</xdr:col>
      <xdr:colOff>1956288</xdr:colOff>
      <xdr:row>5</xdr:row>
      <xdr:rowOff>0</xdr:rowOff>
    </xdr:to>
    <xdr:sp macro="" textlink="">
      <xdr:nvSpPr>
        <xdr:cNvPr id="6" name="Rectángulo 5">
          <a:extLst>
            <a:ext uri="{FF2B5EF4-FFF2-40B4-BE49-F238E27FC236}">
              <a16:creationId xmlns:a16="http://schemas.microsoft.com/office/drawing/2014/main" id="{FF709D7B-363D-4203-99A6-A2DEBE8CBAB5}"/>
            </a:ext>
          </a:extLst>
        </xdr:cNvPr>
        <xdr:cNvSpPr/>
      </xdr:nvSpPr>
      <xdr:spPr>
        <a:xfrm>
          <a:off x="6562725" y="0"/>
          <a:ext cx="2584938"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2B6CBF11-78ED-4223-9546-1CAABA4E9CFB}"/>
            </a:ext>
          </a:extLst>
        </xdr:cNvPr>
        <xdr:cNvSpPr/>
      </xdr:nvSpPr>
      <xdr:spPr>
        <a:xfrm>
          <a:off x="91440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C40F8922-9DF1-49E9-A283-46B398CA303F}"/>
            </a:ext>
          </a:extLst>
        </xdr:cNvPr>
        <xdr:cNvCxnSpPr/>
      </xdr:nvCxnSpPr>
      <xdr:spPr>
        <a:xfrm>
          <a:off x="12920478" y="1076325"/>
          <a:ext cx="24619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81DE2A99-3B24-43AA-8BE5-44B6FBE7737B}"/>
            </a:ext>
          </a:extLst>
        </xdr:cNvPr>
        <xdr:cNvCxnSpPr/>
      </xdr:nvCxnSpPr>
      <xdr:spPr>
        <a:xfrm flipV="1">
          <a:off x="12858604" y="2285172"/>
          <a:ext cx="25387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949A3750-D593-4B79-B6D4-6DA7FCAEF9D2}"/>
            </a:ext>
          </a:extLst>
        </xdr:cNvPr>
        <xdr:cNvCxnSpPr/>
      </xdr:nvCxnSpPr>
      <xdr:spPr>
        <a:xfrm flipV="1">
          <a:off x="12976602" y="4438650"/>
          <a:ext cx="23130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BB4FC871-7FB6-49F2-815B-B26992A9EC53}"/>
            </a:ext>
          </a:extLst>
        </xdr:cNvPr>
        <xdr:cNvSpPr txBox="1"/>
      </xdr:nvSpPr>
      <xdr:spPr>
        <a:xfrm>
          <a:off x="139245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4,0%</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558147</xdr:colOff>
      <xdr:row>7</xdr:row>
      <xdr:rowOff>72618</xdr:rowOff>
    </xdr:to>
    <xdr:pic>
      <xdr:nvPicPr>
        <xdr:cNvPr id="12" name="Imagen 11">
          <a:extLst>
            <a:ext uri="{FF2B5EF4-FFF2-40B4-BE49-F238E27FC236}">
              <a16:creationId xmlns:a16="http://schemas.microsoft.com/office/drawing/2014/main" id="{ED1E69A7-FBCC-4F6D-AFE7-4DAE7DACF5E9}"/>
            </a:ext>
          </a:extLst>
        </xdr:cNvPr>
        <xdr:cNvPicPr>
          <a:picLocks noChangeAspect="1"/>
        </xdr:cNvPicPr>
      </xdr:nvPicPr>
      <xdr:blipFill>
        <a:blip xmlns:r="http://schemas.openxmlformats.org/officeDocument/2006/relationships" r:embed="rId2"/>
        <a:stretch>
          <a:fillRect/>
        </a:stretch>
      </xdr:blipFill>
      <xdr:spPr>
        <a:xfrm>
          <a:off x="12889461" y="1128569"/>
          <a:ext cx="2337186"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609C4695-98E2-43CE-8227-B538308FAD5D}"/>
            </a:ext>
          </a:extLst>
        </xdr:cNvPr>
        <xdr:cNvSpPr txBox="1"/>
      </xdr:nvSpPr>
      <xdr:spPr>
        <a:xfrm>
          <a:off x="130727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45,6%</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EBAA69AF-054A-42DC-935F-537E5F9CBD3F}"/>
            </a:ext>
          </a:extLst>
        </xdr:cNvPr>
        <xdr:cNvSpPr txBox="1"/>
      </xdr:nvSpPr>
      <xdr:spPr>
        <a:xfrm>
          <a:off x="146933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41,0%</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E55AC809-B395-4F12-B5AB-356ECA1744EF}"/>
            </a:ext>
          </a:extLst>
        </xdr:cNvPr>
        <xdr:cNvSpPr txBox="1"/>
      </xdr:nvSpPr>
      <xdr:spPr>
        <a:xfrm>
          <a:off x="129200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41,93</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2C01FC30-2175-4B97-9143-F96D3DCCF410}"/>
            </a:ext>
          </a:extLst>
        </xdr:cNvPr>
        <xdr:cNvSpPr txBox="1"/>
      </xdr:nvSpPr>
      <xdr:spPr>
        <a:xfrm>
          <a:off x="137694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124,62</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9BB08E1E-16B2-4BDD-9FB1-923A81EBCF1B}"/>
            </a:ext>
          </a:extLst>
        </xdr:cNvPr>
        <xdr:cNvSpPr txBox="1"/>
      </xdr:nvSpPr>
      <xdr:spPr>
        <a:xfrm>
          <a:off x="147596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76,94</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632140</xdr:colOff>
      <xdr:row>15</xdr:row>
      <xdr:rowOff>98726</xdr:rowOff>
    </xdr:to>
    <xdr:pic>
      <xdr:nvPicPr>
        <xdr:cNvPr id="18" name="Imagen 17">
          <a:extLst>
            <a:ext uri="{FF2B5EF4-FFF2-40B4-BE49-F238E27FC236}">
              <a16:creationId xmlns:a16="http://schemas.microsoft.com/office/drawing/2014/main" id="{75625B72-715C-45DB-BF12-581F3D49BF74}"/>
            </a:ext>
          </a:extLst>
        </xdr:cNvPr>
        <xdr:cNvPicPr>
          <a:picLocks noChangeAspect="1"/>
        </xdr:cNvPicPr>
      </xdr:nvPicPr>
      <xdr:blipFill>
        <a:blip xmlns:r="http://schemas.openxmlformats.org/officeDocument/2006/relationships" r:embed="rId3"/>
        <a:stretch>
          <a:fillRect/>
        </a:stretch>
      </xdr:blipFill>
      <xdr:spPr>
        <a:xfrm>
          <a:off x="12857605" y="2372900"/>
          <a:ext cx="2443035"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CD84AEEC-213A-4FB4-8D98-E35EB28B11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A68B10BF-E48C-43A2-9A9D-380079EA3675}"/>
            </a:ext>
          </a:extLst>
        </xdr:cNvPr>
        <xdr:cNvSpPr txBox="1"/>
      </xdr:nvSpPr>
      <xdr:spPr>
        <a:xfrm>
          <a:off x="155924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DFFEDCE2-2C64-43F8-A685-B41C3A7183C0}"/>
            </a:ext>
          </a:extLst>
        </xdr:cNvPr>
        <xdr:cNvCxnSpPr/>
      </xdr:nvCxnSpPr>
      <xdr:spPr>
        <a:xfrm flipV="1">
          <a:off x="156921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F1DBCC9C-8E4B-4363-8D22-D1DF0AABE6D5}"/>
            </a:ext>
          </a:extLst>
        </xdr:cNvPr>
        <xdr:cNvSpPr txBox="1"/>
      </xdr:nvSpPr>
      <xdr:spPr>
        <a:xfrm>
          <a:off x="155924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EC2F7CE0-C4E5-4037-B0AF-6FCBB5737E8D}"/>
            </a:ext>
          </a:extLst>
        </xdr:cNvPr>
        <xdr:cNvSpPr/>
      </xdr:nvSpPr>
      <xdr:spPr>
        <a:xfrm>
          <a:off x="155924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3FFAE925-57A0-4C86-B702-3DA5317176D1}"/>
            </a:ext>
          </a:extLst>
        </xdr:cNvPr>
        <xdr:cNvSpPr txBox="1"/>
      </xdr:nvSpPr>
      <xdr:spPr>
        <a:xfrm>
          <a:off x="156680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915866</xdr:colOff>
      <xdr:row>2</xdr:row>
      <xdr:rowOff>88369</xdr:rowOff>
    </xdr:from>
    <xdr:to>
      <xdr:col>22</xdr:col>
      <xdr:colOff>659423</xdr:colOff>
      <xdr:row>4</xdr:row>
      <xdr:rowOff>73715</xdr:rowOff>
    </xdr:to>
    <xdr:sp macro="" textlink="">
      <xdr:nvSpPr>
        <xdr:cNvPr id="25" name="CuadroTexto 24">
          <a:extLst>
            <a:ext uri="{FF2B5EF4-FFF2-40B4-BE49-F238E27FC236}">
              <a16:creationId xmlns:a16="http://schemas.microsoft.com/office/drawing/2014/main" id="{B8BC7594-8551-4397-B362-CDF80917A47E}"/>
            </a:ext>
          </a:extLst>
        </xdr:cNvPr>
        <xdr:cNvSpPr txBox="1"/>
      </xdr:nvSpPr>
      <xdr:spPr>
        <a:xfrm>
          <a:off x="15584366" y="393169"/>
          <a:ext cx="2362932"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#miniporraasoctubre2024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84E678DA-FBCD-469C-AC38-6865C25703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E3E5DC24-ECA5-41CA-B832-1FE57D4A2EBD}"/>
            </a:ext>
          </a:extLst>
        </xdr:cNvPr>
        <xdr:cNvPicPr>
          <a:picLocks noChangeAspect="1"/>
        </xdr:cNvPicPr>
      </xdr:nvPicPr>
      <xdr:blipFill>
        <a:blip xmlns:r="http://schemas.openxmlformats.org/officeDocument/2006/relationships" r:embed="rId6"/>
        <a:stretch>
          <a:fillRect/>
        </a:stretch>
      </xdr:blipFill>
      <xdr:spPr>
        <a:xfrm>
          <a:off x="14792103" y="4552377"/>
          <a:ext cx="581934" cy="1022840"/>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540A26FC-B8E4-4B71-A939-C3E32A0006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8BE5D847-B094-4C6F-8418-45FD005DF211}"/>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E5147EA8-9AE0-46F8-A214-6B9446F030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FBE1C262-55F4-462C-BD74-F571EF84E42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8AB2F2F0-9506-4E89-BE66-841F37E8B7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B00-000003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E84F81CA-C1FD-41E9-984B-644E488403B9}"/>
            </a:ext>
          </a:extLst>
        </xdr:cNvPr>
        <xdr:cNvSpPr txBox="1"/>
      </xdr:nvSpPr>
      <xdr:spPr>
        <a:xfrm>
          <a:off x="189320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10.937</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4B5A4948-9CFC-4796-9E80-609AA6FBAB6A}"/>
            </a:ext>
          </a:extLst>
        </xdr:cNvPr>
        <xdr:cNvSpPr txBox="1"/>
      </xdr:nvSpPr>
      <xdr:spPr>
        <a:xfrm>
          <a:off x="189386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0B00-000004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93324B14-1644-4FD1-AD17-566E99F963F0}"/>
            </a:ext>
          </a:extLst>
        </xdr:cNvPr>
        <xdr:cNvSpPr txBox="1"/>
      </xdr:nvSpPr>
      <xdr:spPr>
        <a:xfrm>
          <a:off x="172187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39,51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8F0EF070-47A7-46AA-A477-5373AE49450D}"/>
            </a:ext>
          </a:extLst>
        </xdr:cNvPr>
        <xdr:cNvSpPr txBox="1"/>
      </xdr:nvSpPr>
      <xdr:spPr>
        <a:xfrm>
          <a:off x="171690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62,64</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7" name="CuadroTexto 36">
          <a:extLst>
            <a:ext uri="{FF2B5EF4-FFF2-40B4-BE49-F238E27FC236}">
              <a16:creationId xmlns:a16="http://schemas.microsoft.com/office/drawing/2014/main" id="{2C6DF3A8-BA38-42F1-9843-7468D2AFAC3A}"/>
            </a:ext>
          </a:extLst>
        </xdr:cNvPr>
        <xdr:cNvSpPr txBox="1"/>
      </xdr:nvSpPr>
      <xdr:spPr>
        <a:xfrm>
          <a:off x="12820650" y="6115050"/>
          <a:ext cx="52954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8" name="CuadroTexto 37">
          <a:extLst>
            <a:ext uri="{FF2B5EF4-FFF2-40B4-BE49-F238E27FC236}">
              <a16:creationId xmlns:a16="http://schemas.microsoft.com/office/drawing/2014/main" id="{992DC2E1-5623-4EE2-8DF4-A41A13CC824F}"/>
            </a:ext>
          </a:extLst>
        </xdr:cNvPr>
        <xdr:cNvSpPr txBox="1"/>
      </xdr:nvSpPr>
      <xdr:spPr>
        <a:xfrm>
          <a:off x="12820650" y="4144840"/>
          <a:ext cx="27717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39" name="CuadroTexto 38">
          <a:extLst>
            <a:ext uri="{FF2B5EF4-FFF2-40B4-BE49-F238E27FC236}">
              <a16:creationId xmlns:a16="http://schemas.microsoft.com/office/drawing/2014/main" id="{D5E51249-6D53-4D44-847F-3E773B957150}"/>
            </a:ext>
          </a:extLst>
        </xdr:cNvPr>
        <xdr:cNvSpPr txBox="1"/>
      </xdr:nvSpPr>
      <xdr:spPr>
        <a:xfrm>
          <a:off x="155924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0" name="Conector recto 39">
          <a:extLst>
            <a:ext uri="{FF2B5EF4-FFF2-40B4-BE49-F238E27FC236}">
              <a16:creationId xmlns:a16="http://schemas.microsoft.com/office/drawing/2014/main" id="{16B33F95-0E8E-40B0-A754-0FC5CBBDCD53}"/>
            </a:ext>
          </a:extLst>
        </xdr:cNvPr>
        <xdr:cNvCxnSpPr/>
      </xdr:nvCxnSpPr>
      <xdr:spPr>
        <a:xfrm>
          <a:off x="157788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1" name="Rectángulo 40">
          <a:extLst>
            <a:ext uri="{FF2B5EF4-FFF2-40B4-BE49-F238E27FC236}">
              <a16:creationId xmlns:a16="http://schemas.microsoft.com/office/drawing/2014/main" id="{F7335403-2F72-46D7-80FA-E24555B0EC3D}"/>
            </a:ext>
          </a:extLst>
        </xdr:cNvPr>
        <xdr:cNvSpPr/>
      </xdr:nvSpPr>
      <xdr:spPr>
        <a:xfrm>
          <a:off x="155924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2" name="Rectángulo 41">
          <a:extLst>
            <a:ext uri="{FF2B5EF4-FFF2-40B4-BE49-F238E27FC236}">
              <a16:creationId xmlns:a16="http://schemas.microsoft.com/office/drawing/2014/main" id="{CBDFB62B-2474-4A1A-91D2-B02DF1AD82C9}"/>
            </a:ext>
          </a:extLst>
        </xdr:cNvPr>
        <xdr:cNvSpPr/>
      </xdr:nvSpPr>
      <xdr:spPr>
        <a:xfrm>
          <a:off x="12822115" y="6169269"/>
          <a:ext cx="5319347"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3" name="Rectángulo 42">
          <a:extLst>
            <a:ext uri="{FF2B5EF4-FFF2-40B4-BE49-F238E27FC236}">
              <a16:creationId xmlns:a16="http://schemas.microsoft.com/office/drawing/2014/main" id="{472D1D03-D12A-425E-BE63-1D75857BF8B7}"/>
            </a:ext>
          </a:extLst>
        </xdr:cNvPr>
        <xdr:cNvSpPr/>
      </xdr:nvSpPr>
      <xdr:spPr>
        <a:xfrm>
          <a:off x="155924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4" name="Rectángulo 43">
          <a:extLst>
            <a:ext uri="{FF2B5EF4-FFF2-40B4-BE49-F238E27FC236}">
              <a16:creationId xmlns:a16="http://schemas.microsoft.com/office/drawing/2014/main" id="{9787AA17-6238-4A8E-A55C-2B5164DC0A4E}"/>
            </a:ext>
          </a:extLst>
        </xdr:cNvPr>
        <xdr:cNvSpPr/>
      </xdr:nvSpPr>
      <xdr:spPr>
        <a:xfrm>
          <a:off x="12820650" y="2000250"/>
          <a:ext cx="27717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5" name="Rectángulo 44">
          <a:extLst>
            <a:ext uri="{FF2B5EF4-FFF2-40B4-BE49-F238E27FC236}">
              <a16:creationId xmlns:a16="http://schemas.microsoft.com/office/drawing/2014/main" id="{FE8638E2-D65A-489C-8356-07ADDE5A944E}"/>
            </a:ext>
          </a:extLst>
        </xdr:cNvPr>
        <xdr:cNvSpPr/>
      </xdr:nvSpPr>
      <xdr:spPr>
        <a:xfrm>
          <a:off x="12820650" y="762000"/>
          <a:ext cx="27717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6" name="Rectángulo 45">
          <a:extLst>
            <a:ext uri="{FF2B5EF4-FFF2-40B4-BE49-F238E27FC236}">
              <a16:creationId xmlns:a16="http://schemas.microsoft.com/office/drawing/2014/main" id="{D042D438-E0E3-4B49-9B67-82FEDB2188C3}"/>
            </a:ext>
          </a:extLst>
        </xdr:cNvPr>
        <xdr:cNvSpPr/>
      </xdr:nvSpPr>
      <xdr:spPr>
        <a:xfrm>
          <a:off x="155924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7" name="Conector recto 46">
          <a:extLst>
            <a:ext uri="{FF2B5EF4-FFF2-40B4-BE49-F238E27FC236}">
              <a16:creationId xmlns:a16="http://schemas.microsoft.com/office/drawing/2014/main" id="{4C8DFC05-102A-4690-B3D6-B94A28E09C33}"/>
            </a:ext>
          </a:extLst>
        </xdr:cNvPr>
        <xdr:cNvCxnSpPr/>
      </xdr:nvCxnSpPr>
      <xdr:spPr>
        <a:xfrm>
          <a:off x="156940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8" name="Conector recto 47">
          <a:extLst>
            <a:ext uri="{FF2B5EF4-FFF2-40B4-BE49-F238E27FC236}">
              <a16:creationId xmlns:a16="http://schemas.microsoft.com/office/drawing/2014/main" id="{1DA6350E-ACE0-4857-AB87-573DADE7A308}"/>
            </a:ext>
          </a:extLst>
        </xdr:cNvPr>
        <xdr:cNvCxnSpPr/>
      </xdr:nvCxnSpPr>
      <xdr:spPr>
        <a:xfrm flipV="1">
          <a:off x="12903475" y="6391689"/>
          <a:ext cx="49227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178191</xdr:colOff>
      <xdr:row>45</xdr:row>
      <xdr:rowOff>7326</xdr:rowOff>
    </xdr:from>
    <xdr:to>
      <xdr:col>17</xdr:col>
      <xdr:colOff>0</xdr:colOff>
      <xdr:row>54</xdr:row>
      <xdr:rowOff>0</xdr:rowOff>
    </xdr:to>
    <xdr:pic>
      <xdr:nvPicPr>
        <xdr:cNvPr id="49" name="Imagen 48">
          <a:extLst>
            <a:ext uri="{FF2B5EF4-FFF2-40B4-BE49-F238E27FC236}">
              <a16:creationId xmlns:a16="http://schemas.microsoft.com/office/drawing/2014/main" id="{DDF658DF-6A4C-418B-BF73-22FE4CD615D3}"/>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548826" y="7099788"/>
          <a:ext cx="7273289" cy="1377462"/>
        </a:xfrm>
        <a:prstGeom prst="rect">
          <a:avLst/>
        </a:prstGeom>
      </xdr:spPr>
    </xdr:pic>
    <xdr:clientData/>
  </xdr:twoCellAnchor>
  <xdr:twoCellAnchor>
    <xdr:from>
      <xdr:col>15</xdr:col>
      <xdr:colOff>1</xdr:colOff>
      <xdr:row>36</xdr:row>
      <xdr:rowOff>153865</xdr:rowOff>
    </xdr:from>
    <xdr:to>
      <xdr:col>17</xdr:col>
      <xdr:colOff>0</xdr:colOff>
      <xdr:row>54</xdr:row>
      <xdr:rowOff>0</xdr:rowOff>
    </xdr:to>
    <xdr:graphicFrame macro="">
      <xdr:nvGraphicFramePr>
        <xdr:cNvPr id="50" name="Gráfico 49">
          <a:extLst>
            <a:ext uri="{FF2B5EF4-FFF2-40B4-BE49-F238E27FC236}">
              <a16:creationId xmlns:a16="http://schemas.microsoft.com/office/drawing/2014/main" id="{886CFFEE-CD41-49C6-83AA-BA85C17F0F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1" name="CuadroTexto 50">
          <a:extLst>
            <a:ext uri="{FF2B5EF4-FFF2-40B4-BE49-F238E27FC236}">
              <a16:creationId xmlns:a16="http://schemas.microsoft.com/office/drawing/2014/main" id="{F467D844-D4A6-4482-863B-C02B43C870D8}"/>
            </a:ext>
          </a:extLst>
        </xdr:cNvPr>
        <xdr:cNvSpPr txBox="1"/>
      </xdr:nvSpPr>
      <xdr:spPr>
        <a:xfrm>
          <a:off x="11430000" y="5866316"/>
          <a:ext cx="1392115" cy="30295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29308</xdr:colOff>
      <xdr:row>38</xdr:row>
      <xdr:rowOff>146537</xdr:rowOff>
    </xdr:from>
    <xdr:to>
      <xdr:col>16</xdr:col>
      <xdr:colOff>687711</xdr:colOff>
      <xdr:row>38</xdr:row>
      <xdr:rowOff>146730</xdr:rowOff>
    </xdr:to>
    <xdr:cxnSp macro="">
      <xdr:nvCxnSpPr>
        <xdr:cNvPr id="52" name="Conector recto 51">
          <a:extLst>
            <a:ext uri="{FF2B5EF4-FFF2-40B4-BE49-F238E27FC236}">
              <a16:creationId xmlns:a16="http://schemas.microsoft.com/office/drawing/2014/main" id="{513195E2-F505-4A6E-9174-CA19EB81848A}"/>
            </a:ext>
          </a:extLst>
        </xdr:cNvPr>
        <xdr:cNvCxnSpPr/>
      </xdr:nvCxnSpPr>
      <xdr:spPr>
        <a:xfrm>
          <a:off x="11459308" y="6161941"/>
          <a:ext cx="1354461"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0</xdr:rowOff>
    </xdr:from>
    <xdr:to>
      <xdr:col>20</xdr:col>
      <xdr:colOff>0</xdr:colOff>
      <xdr:row>38</xdr:row>
      <xdr:rowOff>153864</xdr:rowOff>
    </xdr:to>
    <xdr:sp macro="" textlink="">
      <xdr:nvSpPr>
        <xdr:cNvPr id="53" name="Rectángulo 52">
          <a:extLst>
            <a:ext uri="{FF2B5EF4-FFF2-40B4-BE49-F238E27FC236}">
              <a16:creationId xmlns:a16="http://schemas.microsoft.com/office/drawing/2014/main" id="{7C7AF571-8724-4138-9DF9-C75522C1398F}"/>
            </a:ext>
          </a:extLst>
        </xdr:cNvPr>
        <xdr:cNvSpPr/>
      </xdr:nvSpPr>
      <xdr:spPr>
        <a:xfrm>
          <a:off x="12822115" y="4169019"/>
          <a:ext cx="2769577"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1</xdr:rowOff>
    </xdr:from>
    <xdr:to>
      <xdr:col>15</xdr:col>
      <xdr:colOff>0</xdr:colOff>
      <xdr:row>54</xdr:row>
      <xdr:rowOff>0</xdr:rowOff>
    </xdr:to>
    <xdr:sp macro="" textlink="">
      <xdr:nvSpPr>
        <xdr:cNvPr id="54" name="Rectángulo 53">
          <a:extLst>
            <a:ext uri="{FF2B5EF4-FFF2-40B4-BE49-F238E27FC236}">
              <a16:creationId xmlns:a16="http://schemas.microsoft.com/office/drawing/2014/main" id="{367FD6DA-BF48-4069-96B3-C7516B7712EE}"/>
            </a:ext>
          </a:extLst>
        </xdr:cNvPr>
        <xdr:cNvSpPr/>
      </xdr:nvSpPr>
      <xdr:spPr>
        <a:xfrm>
          <a:off x="6557596" y="769328"/>
          <a:ext cx="4872404" cy="77079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246568</xdr:colOff>
      <xdr:row>44</xdr:row>
      <xdr:rowOff>139214</xdr:rowOff>
    </xdr:from>
    <xdr:to>
      <xdr:col>11</xdr:col>
      <xdr:colOff>1721827</xdr:colOff>
      <xdr:row>48</xdr:row>
      <xdr:rowOff>146540</xdr:rowOff>
    </xdr:to>
    <xdr:sp macro="" textlink="">
      <xdr:nvSpPr>
        <xdr:cNvPr id="55" name="CuadroTexto 54">
          <a:extLst>
            <a:ext uri="{FF2B5EF4-FFF2-40B4-BE49-F238E27FC236}">
              <a16:creationId xmlns:a16="http://schemas.microsoft.com/office/drawing/2014/main" id="{0D125D0A-9460-4D11-AE4C-FB2E4F33F8F8}"/>
            </a:ext>
          </a:extLst>
        </xdr:cNvPr>
        <xdr:cNvSpPr txBox="1"/>
      </xdr:nvSpPr>
      <xdr:spPr>
        <a:xfrm>
          <a:off x="6518414" y="7077810"/>
          <a:ext cx="2391125"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256041</xdr:colOff>
      <xdr:row>51</xdr:row>
      <xdr:rowOff>48700</xdr:rowOff>
    </xdr:from>
    <xdr:to>
      <xdr:col>10</xdr:col>
      <xdr:colOff>524894</xdr:colOff>
      <xdr:row>53</xdr:row>
      <xdr:rowOff>21981</xdr:rowOff>
    </xdr:to>
    <xdr:pic>
      <xdr:nvPicPr>
        <xdr:cNvPr id="56" name="Imagen 55">
          <a:extLst>
            <a:ext uri="{FF2B5EF4-FFF2-40B4-BE49-F238E27FC236}">
              <a16:creationId xmlns:a16="http://schemas.microsoft.com/office/drawing/2014/main" id="{E7C92D28-77CA-4FDB-A093-F94E10004E4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818766" y="7992550"/>
          <a:ext cx="268853" cy="278081"/>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57" name="CuadroTexto 56">
          <a:extLst>
            <a:ext uri="{FF2B5EF4-FFF2-40B4-BE49-F238E27FC236}">
              <a16:creationId xmlns:a16="http://schemas.microsoft.com/office/drawing/2014/main" id="{C7FB2E32-5613-4C7A-AC29-A5EF1F700D64}"/>
            </a:ext>
          </a:extLst>
        </xdr:cNvPr>
        <xdr:cNvSpPr txBox="1"/>
      </xdr:nvSpPr>
      <xdr:spPr>
        <a:xfrm>
          <a:off x="6811204" y="9157187"/>
          <a:ext cx="1962787" cy="1654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13</xdr:col>
      <xdr:colOff>58616</xdr:colOff>
      <xdr:row>59</xdr:row>
      <xdr:rowOff>58614</xdr:rowOff>
    </xdr:from>
    <xdr:to>
      <xdr:col>19</xdr:col>
      <xdr:colOff>241789</xdr:colOff>
      <xdr:row>66</xdr:row>
      <xdr:rowOff>58613</xdr:rowOff>
    </xdr:to>
    <xdr:sp macro="" textlink="">
      <xdr:nvSpPr>
        <xdr:cNvPr id="58" name="Rectángulo 57">
          <a:extLst>
            <a:ext uri="{FF2B5EF4-FFF2-40B4-BE49-F238E27FC236}">
              <a16:creationId xmlns:a16="http://schemas.microsoft.com/office/drawing/2014/main" id="{AC85DDCE-B1F9-4187-8274-72EA2B495527}"/>
            </a:ext>
          </a:extLst>
        </xdr:cNvPr>
        <xdr:cNvSpPr/>
      </xdr:nvSpPr>
      <xdr:spPr>
        <a:xfrm>
          <a:off x="9964616" y="9221664"/>
          <a:ext cx="4945673" cy="10667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102578</xdr:colOff>
      <xdr:row>28</xdr:row>
      <xdr:rowOff>29308</xdr:rowOff>
    </xdr:from>
    <xdr:to>
      <xdr:col>18</xdr:col>
      <xdr:colOff>828486</xdr:colOff>
      <xdr:row>38</xdr:row>
      <xdr:rowOff>126348</xdr:rowOff>
    </xdr:to>
    <xdr:pic>
      <xdr:nvPicPr>
        <xdr:cNvPr id="59" name="Imagen 58">
          <a:extLst>
            <a:ext uri="{FF2B5EF4-FFF2-40B4-BE49-F238E27FC236}">
              <a16:creationId xmlns:a16="http://schemas.microsoft.com/office/drawing/2014/main" id="{9E7C0642-DC5C-499F-B49D-16DE631B9D66}"/>
            </a:ext>
          </a:extLst>
        </xdr:cNvPr>
        <xdr:cNvPicPr>
          <a:picLocks noChangeAspect="1"/>
        </xdr:cNvPicPr>
      </xdr:nvPicPr>
      <xdr:blipFill>
        <a:blip xmlns:r="http://schemas.openxmlformats.org/officeDocument/2006/relationships" r:embed="rId15"/>
        <a:stretch>
          <a:fillRect/>
        </a:stretch>
      </xdr:blipFill>
      <xdr:spPr>
        <a:xfrm>
          <a:off x="12923228" y="4467958"/>
          <a:ext cx="1649833" cy="1621040"/>
        </a:xfrm>
        <a:prstGeom prst="rect">
          <a:avLst/>
        </a:prstGeom>
      </xdr:spPr>
    </xdr:pic>
    <xdr:clientData/>
  </xdr:twoCellAnchor>
  <xdr:twoCellAnchor>
    <xdr:from>
      <xdr:col>11</xdr:col>
      <xdr:colOff>1348154</xdr:colOff>
      <xdr:row>21</xdr:row>
      <xdr:rowOff>21981</xdr:rowOff>
    </xdr:from>
    <xdr:to>
      <xdr:col>12</xdr:col>
      <xdr:colOff>366346</xdr:colOff>
      <xdr:row>23</xdr:row>
      <xdr:rowOff>7327</xdr:rowOff>
    </xdr:to>
    <xdr:sp macro="" textlink="">
      <xdr:nvSpPr>
        <xdr:cNvPr id="60" name="CuadroTexto 59">
          <a:extLst>
            <a:ext uri="{FF2B5EF4-FFF2-40B4-BE49-F238E27FC236}">
              <a16:creationId xmlns:a16="http://schemas.microsoft.com/office/drawing/2014/main" id="{D954D971-A9AF-4C49-8CC0-A2217330D7E1}"/>
            </a:ext>
          </a:extLst>
        </xdr:cNvPr>
        <xdr:cNvSpPr txBox="1"/>
      </xdr:nvSpPr>
      <xdr:spPr>
        <a:xfrm>
          <a:off x="8535866" y="3421673"/>
          <a:ext cx="974480"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solidFill>
                <a:srgbClr val="FF0000"/>
              </a:solidFill>
            </a:rPr>
            <a:t>OMIP: 72,97</a:t>
          </a:r>
        </a:p>
      </xdr:txBody>
    </xdr:sp>
    <xdr:clientData/>
  </xdr:twoCellAnchor>
</xdr:wsDr>
</file>

<file path=xl/drawings/drawing21.xml><?xml version="1.0" encoding="utf-8"?>
<c:userShapes xmlns:c="http://schemas.openxmlformats.org/drawingml/2006/chart">
  <cdr:relSizeAnchor xmlns:cdr="http://schemas.openxmlformats.org/drawingml/2006/chartDrawing">
    <cdr:from>
      <cdr:x>0.22299</cdr:x>
      <cdr:y>0</cdr:y>
    </cdr:from>
    <cdr:to>
      <cdr:x>0.34228</cdr:x>
      <cdr:y>0.14146</cdr:y>
    </cdr:to>
    <cdr:sp macro="" textlink="gauss!$R$45">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5217BFD3-4B43-4E07-A739-734B844B4935}" type="TxLink">
            <a:rPr lang="en-US" sz="900" b="0" i="0" u="none" strike="noStrike">
              <a:solidFill>
                <a:srgbClr val="000000"/>
              </a:solidFill>
              <a:latin typeface="Arial"/>
              <a:ea typeface="+mn-ea"/>
              <a:cs typeface="Arial"/>
            </a:rPr>
            <a:pPr marL="0" indent="0" algn="r"/>
            <a:t>63,42</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9,55</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0.6344</cdr:x>
      <cdr:y>0.0037</cdr:y>
    </cdr:from>
    <cdr:to>
      <cdr:x>0.75369</cdr:x>
      <cdr:y>0.14516</cdr:y>
    </cdr:to>
    <cdr:sp macro="" textlink="gauss!$R$44">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332580" y="7327"/>
          <a:ext cx="626640"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04BC65EB-6844-469F-B5BE-9B0B8755648B}" type="TxLink">
            <a:rPr lang="en-US" sz="900" b="0" i="0" u="none" strike="noStrike">
              <a:solidFill>
                <a:srgbClr val="000000"/>
              </a:solidFill>
              <a:latin typeface="Arial"/>
              <a:ea typeface="+mn-ea"/>
              <a:cs typeface="Arial"/>
            </a:rPr>
            <a:pPr marL="0" indent="0" algn="r"/>
            <a:t>72,97</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15,1%</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22.xml><?xml version="1.0" encoding="utf-8"?>
<c:userShapes xmlns:c="http://schemas.openxmlformats.org/drawingml/2006/chart">
  <cdr:relSizeAnchor xmlns:cdr="http://schemas.openxmlformats.org/drawingml/2006/chartDrawing">
    <cdr:from>
      <cdr:x>0.0595</cdr:x>
      <cdr:y>0.10692</cdr:y>
    </cdr:from>
    <cdr:to>
      <cdr:x>0.73476</cdr:x>
      <cdr:y>0.19954</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82834" y="279677"/>
          <a:ext cx="940039" cy="24226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0.49545</cdr:x>
      <cdr:y>0.12596</cdr:y>
    </cdr:from>
    <cdr:to>
      <cdr:x>0.91011</cdr:x>
      <cdr:y>0.23312</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689720" y="329463"/>
          <a:ext cx="577254" cy="280300"/>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72,97</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23.xml><?xml version="1.0" encoding="utf-8"?>
<xdr:wsDr xmlns:xdr="http://schemas.openxmlformats.org/drawingml/2006/spreadsheetDrawing" xmlns:a="http://schemas.openxmlformats.org/drawingml/2006/main">
  <xdr:twoCellAnchor>
    <xdr:from>
      <xdr:col>5</xdr:col>
      <xdr:colOff>135707</xdr:colOff>
      <xdr:row>5</xdr:row>
      <xdr:rowOff>7646</xdr:rowOff>
    </xdr:from>
    <xdr:to>
      <xdr:col>6</xdr:col>
      <xdr:colOff>892928</xdr:colOff>
      <xdr:row>6</xdr:row>
      <xdr:rowOff>67854</xdr:rowOff>
    </xdr:to>
    <xdr:sp macro="" textlink="">
      <xdr:nvSpPr>
        <xdr:cNvPr id="2" name="Rectángulo 1">
          <a:extLst>
            <a:ext uri="{FF2B5EF4-FFF2-40B4-BE49-F238E27FC236}">
              <a16:creationId xmlns:a16="http://schemas.microsoft.com/office/drawing/2014/main" id="{00000000-0008-0000-0900-000002000000}"/>
            </a:ext>
          </a:extLst>
        </xdr:cNvPr>
        <xdr:cNvSpPr/>
      </xdr:nvSpPr>
      <xdr:spPr>
        <a:xfrm>
          <a:off x="3535399" y="659742"/>
          <a:ext cx="1519221" cy="14813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256443</xdr:colOff>
      <xdr:row>49</xdr:row>
      <xdr:rowOff>124557</xdr:rowOff>
    </xdr:from>
    <xdr:to>
      <xdr:col>17</xdr:col>
      <xdr:colOff>630116</xdr:colOff>
      <xdr:row>51</xdr:row>
      <xdr:rowOff>124557</xdr:rowOff>
    </xdr:to>
    <xdr:sp macro="" textlink="">
      <xdr:nvSpPr>
        <xdr:cNvPr id="3" name="Rectángulo 2">
          <a:extLst>
            <a:ext uri="{FF2B5EF4-FFF2-40B4-BE49-F238E27FC236}">
              <a16:creationId xmlns:a16="http://schemas.microsoft.com/office/drawing/2014/main" id="{00000000-0008-0000-0900-000003000000}"/>
            </a:ext>
          </a:extLst>
        </xdr:cNvPr>
        <xdr:cNvSpPr/>
      </xdr:nvSpPr>
      <xdr:spPr>
        <a:xfrm>
          <a:off x="6836020" y="7576038"/>
          <a:ext cx="6352442" cy="30773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629478</xdr:colOff>
      <xdr:row>7</xdr:row>
      <xdr:rowOff>132523</xdr:rowOff>
    </xdr:from>
    <xdr:to>
      <xdr:col>5</xdr:col>
      <xdr:colOff>588065</xdr:colOff>
      <xdr:row>10</xdr:row>
      <xdr:rowOff>132521</xdr:rowOff>
    </xdr:to>
    <xdr:sp macro="" textlink="">
      <xdr:nvSpPr>
        <xdr:cNvPr id="4" name="Rectángulo 3">
          <a:extLst>
            <a:ext uri="{FF2B5EF4-FFF2-40B4-BE49-F238E27FC236}">
              <a16:creationId xmlns:a16="http://schemas.microsoft.com/office/drawing/2014/main" id="{00000000-0008-0000-0900-000004000000}"/>
            </a:ext>
          </a:extLst>
        </xdr:cNvPr>
        <xdr:cNvSpPr/>
      </xdr:nvSpPr>
      <xdr:spPr>
        <a:xfrm>
          <a:off x="2468217" y="1101588"/>
          <a:ext cx="1524000" cy="447259"/>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xdr:col>
      <xdr:colOff>13827</xdr:colOff>
      <xdr:row>44</xdr:row>
      <xdr:rowOff>132069</xdr:rowOff>
    </xdr:from>
    <xdr:to>
      <xdr:col>6</xdr:col>
      <xdr:colOff>666751</xdr:colOff>
      <xdr:row>45</xdr:row>
      <xdr:rowOff>126467</xdr:rowOff>
    </xdr:to>
    <xdr:sp macro="" textlink="">
      <xdr:nvSpPr>
        <xdr:cNvPr id="5" name="Rectángulo 4">
          <a:extLst>
            <a:ext uri="{FF2B5EF4-FFF2-40B4-BE49-F238E27FC236}">
              <a16:creationId xmlns:a16="http://schemas.microsoft.com/office/drawing/2014/main" id="{00000000-0008-0000-0900-000005000000}"/>
            </a:ext>
          </a:extLst>
        </xdr:cNvPr>
        <xdr:cNvSpPr/>
      </xdr:nvSpPr>
      <xdr:spPr>
        <a:xfrm>
          <a:off x="160365" y="6814223"/>
          <a:ext cx="4668078" cy="148263"/>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1560636</xdr:colOff>
      <xdr:row>36</xdr:row>
      <xdr:rowOff>29307</xdr:rowOff>
    </xdr:from>
    <xdr:to>
      <xdr:col>12</xdr:col>
      <xdr:colOff>498231</xdr:colOff>
      <xdr:row>37</xdr:row>
      <xdr:rowOff>102578</xdr:rowOff>
    </xdr:to>
    <xdr:sp macro="" textlink="$U$23">
      <xdr:nvSpPr>
        <xdr:cNvPr id="6" name="CuadroTexto 5">
          <a:extLst>
            <a:ext uri="{FF2B5EF4-FFF2-40B4-BE49-F238E27FC236}">
              <a16:creationId xmlns:a16="http://schemas.microsoft.com/office/drawing/2014/main" id="{D3589748-3690-710C-5E08-7805C4B2F714}"/>
            </a:ext>
          </a:extLst>
        </xdr:cNvPr>
        <xdr:cNvSpPr txBox="1"/>
      </xdr:nvSpPr>
      <xdr:spPr>
        <a:xfrm>
          <a:off x="8887559" y="5480538"/>
          <a:ext cx="974480" cy="227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3CB3FE8-8E62-4632-B413-89C1C34EFDA5}" type="TxLink">
            <a:rPr lang="en-US" sz="900" b="1" i="0" u="none" strike="noStrike">
              <a:solidFill>
                <a:srgbClr val="FF0000"/>
              </a:solidFill>
              <a:latin typeface="Arial"/>
              <a:cs typeface="Arial"/>
            </a:rPr>
            <a:pPr/>
            <a:t>OMIP: 67,93</a:t>
          </a:fld>
          <a:endParaRPr lang="es-ES" sz="1100" b="1">
            <a:solidFill>
              <a:srgbClr val="FF0000"/>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7</xdr:col>
      <xdr:colOff>0</xdr:colOff>
      <xdr:row>1</xdr:row>
      <xdr:rowOff>151086</xdr:rowOff>
    </xdr:from>
    <xdr:to>
      <xdr:col>17</xdr:col>
      <xdr:colOff>114300</xdr:colOff>
      <xdr:row>35</xdr:row>
      <xdr:rowOff>151086</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154042</xdr:colOff>
      <xdr:row>1</xdr:row>
      <xdr:rowOff>151086</xdr:rowOff>
    </xdr:from>
    <xdr:to>
      <xdr:col>22</xdr:col>
      <xdr:colOff>630292</xdr:colOff>
      <xdr:row>35</xdr:row>
      <xdr:rowOff>151086</xdr:rowOff>
    </xdr:to>
    <mc:AlternateContent xmlns:mc="http://schemas.openxmlformats.org/markup-compatibility/2006">
      <mc:Choice xmlns:cx1="http://schemas.microsoft.com/office/drawing/2015/9/8/chartex" Requires="cx1">
        <xdr:graphicFrame macro="">
          <xdr:nvGraphicFramePr>
            <xdr:cNvPr id="3" name="Gráfico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346292" y="303486"/>
              <a:ext cx="4286250" cy="5181600"/>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17</xdr:col>
      <xdr:colOff>648357</xdr:colOff>
      <xdr:row>10</xdr:row>
      <xdr:rowOff>30546</xdr:rowOff>
    </xdr:from>
    <xdr:to>
      <xdr:col>19</xdr:col>
      <xdr:colOff>143532</xdr:colOff>
      <xdr:row>13</xdr:row>
      <xdr:rowOff>40071</xdr:rowOff>
    </xdr:to>
    <xdr:sp macro="" textlink="">
      <xdr:nvSpPr>
        <xdr:cNvPr id="11" name="CuadroTexto 10">
          <a:extLst>
            <a:ext uri="{FF2B5EF4-FFF2-40B4-BE49-F238E27FC236}">
              <a16:creationId xmlns:a16="http://schemas.microsoft.com/office/drawing/2014/main" id="{00000000-0008-0000-0A00-00000B000000}"/>
            </a:ext>
          </a:extLst>
        </xdr:cNvPr>
        <xdr:cNvSpPr txBox="1"/>
      </xdr:nvSpPr>
      <xdr:spPr>
        <a:xfrm>
          <a:off x="14840607" y="1554546"/>
          <a:ext cx="101917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Narrow" panose="020B0606020202030204" pitchFamily="34" charset="0"/>
            </a:rPr>
            <a:t>zona</a:t>
          </a:r>
          <a:r>
            <a:rPr lang="es-ES" sz="1100" baseline="0">
              <a:latin typeface="Arial Narrow" panose="020B0606020202030204" pitchFamily="34" charset="0"/>
            </a:rPr>
            <a:t> </a:t>
          </a:r>
        </a:p>
        <a:p>
          <a:pPr algn="ctr"/>
          <a:r>
            <a:rPr lang="es-ES" sz="1100" baseline="0">
              <a:latin typeface="Arial Narrow" panose="020B0606020202030204" pitchFamily="34" charset="0"/>
            </a:rPr>
            <a:t>StarPower</a:t>
          </a:r>
          <a:endParaRPr lang="es-ES" sz="1100">
            <a:latin typeface="Arial Narrow" panose="020B0606020202030204" pitchFamily="34" charset="0"/>
          </a:endParaRPr>
        </a:p>
      </xdr:txBody>
    </xdr:sp>
    <xdr:clientData/>
  </xdr:twoCellAnchor>
  <xdr:twoCellAnchor>
    <xdr:from>
      <xdr:col>18</xdr:col>
      <xdr:colOff>219075</xdr:colOff>
      <xdr:row>12</xdr:row>
      <xdr:rowOff>152399</xdr:rowOff>
    </xdr:from>
    <xdr:to>
      <xdr:col>18</xdr:col>
      <xdr:colOff>590550</xdr:colOff>
      <xdr:row>17</xdr:row>
      <xdr:rowOff>85724</xdr:rowOff>
    </xdr:to>
    <xdr:sp macro="" textlink="">
      <xdr:nvSpPr>
        <xdr:cNvPr id="12" name="Flecha: arriba y abajo 11">
          <a:extLst>
            <a:ext uri="{FF2B5EF4-FFF2-40B4-BE49-F238E27FC236}">
              <a16:creationId xmlns:a16="http://schemas.microsoft.com/office/drawing/2014/main" id="{00000000-0008-0000-0A00-00000C000000}"/>
            </a:ext>
          </a:extLst>
        </xdr:cNvPr>
        <xdr:cNvSpPr/>
      </xdr:nvSpPr>
      <xdr:spPr>
        <a:xfrm>
          <a:off x="15173325" y="1981199"/>
          <a:ext cx="371475" cy="695325"/>
        </a:xfrm>
        <a:prstGeom prst="upDownArrow">
          <a:avLst>
            <a:gd name="adj1" fmla="val 50000"/>
            <a:gd name="adj2" fmla="val 37180"/>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5.xml><?xml version="1.0" encoding="utf-8"?>
<c:userShapes xmlns:c="http://schemas.openxmlformats.org/drawingml/2006/chart">
  <cdr:relSizeAnchor xmlns:cdr="http://schemas.openxmlformats.org/drawingml/2006/chartDrawing">
    <cdr:from>
      <cdr:x>0.70074</cdr:x>
      <cdr:y>0.25241</cdr:y>
    </cdr:from>
    <cdr:to>
      <cdr:x>0.7931</cdr:x>
      <cdr:y>0.87652</cdr:y>
    </cdr:to>
    <cdr:sp macro="" textlink="">
      <cdr:nvSpPr>
        <cdr:cNvPr id="2" name="Forma libre: forma 1">
          <a:extLst xmlns:a="http://schemas.openxmlformats.org/drawingml/2006/main">
            <a:ext uri="{FF2B5EF4-FFF2-40B4-BE49-F238E27FC236}">
              <a16:creationId xmlns:a16="http://schemas.microsoft.com/office/drawing/2014/main" id="{594FAAD6-8B62-3579-B17D-F3EE9A3A073B}"/>
            </a:ext>
          </a:extLst>
        </cdr:cNvPr>
        <cdr:cNvSpPr/>
      </cdr:nvSpPr>
      <cdr:spPr>
        <a:xfrm xmlns:a="http://schemas.openxmlformats.org/drawingml/2006/main">
          <a:off x="5419724" y="1307879"/>
          <a:ext cx="714375" cy="3233888"/>
        </a:xfrm>
        <a:custGeom xmlns:a="http://schemas.openxmlformats.org/drawingml/2006/main">
          <a:avLst/>
          <a:gdLst>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552450 w 1171575"/>
            <a:gd name="connsiteY5" fmla="*/ 66675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16769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37662 w 1171575"/>
            <a:gd name="connsiteY5" fmla="*/ 150388 h 1885950"/>
            <a:gd name="connsiteX6" fmla="*/ 9525 w 1171575"/>
            <a:gd name="connsiteY6" fmla="*/ 0 h 1885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1575" h="1885950">
              <a:moveTo>
                <a:pt x="9525" y="0"/>
              </a:moveTo>
              <a:lnTo>
                <a:pt x="0" y="1885950"/>
              </a:lnTo>
              <a:lnTo>
                <a:pt x="1171575" y="1885950"/>
              </a:lnTo>
              <a:lnTo>
                <a:pt x="1171575" y="695325"/>
              </a:lnTo>
              <a:lnTo>
                <a:pt x="738664" y="408222"/>
              </a:lnTo>
              <a:lnTo>
                <a:pt x="337662" y="150388"/>
              </a:lnTo>
              <a:lnTo>
                <a:pt x="9525" y="0"/>
              </a:lnTo>
              <a:close/>
            </a:path>
          </a:pathLst>
        </a:custGeom>
        <a:solidFill xmlns:a="http://schemas.openxmlformats.org/drawingml/2006/main">
          <a:srgbClr val="92D050">
            <a:alpha val="54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s-ES" sz="1100"/>
        </a:p>
      </cdr:txBody>
    </cdr:sp>
  </cdr:relSizeAnchor>
  <cdr:relSizeAnchor xmlns:cdr="http://schemas.openxmlformats.org/drawingml/2006/chartDrawing">
    <cdr:from>
      <cdr:x>0.73933</cdr:x>
      <cdr:y>0.57286</cdr:y>
    </cdr:from>
    <cdr:to>
      <cdr:x>0.8711</cdr:x>
      <cdr:y>0.66479</cdr:y>
    </cdr:to>
    <cdr:sp macro="" textlink="">
      <cdr:nvSpPr>
        <cdr:cNvPr id="3" name="CuadroTexto 8">
          <a:extLst xmlns:a="http://schemas.openxmlformats.org/drawingml/2006/main">
            <a:ext uri="{FF2B5EF4-FFF2-40B4-BE49-F238E27FC236}">
              <a16:creationId xmlns:a16="http://schemas.microsoft.com/office/drawing/2014/main" id="{A5EF6D38-C860-44C8-A141-84399A43D0A1}"/>
            </a:ext>
          </a:extLst>
        </cdr:cNvPr>
        <cdr:cNvSpPr txBox="1"/>
      </cdr:nvSpPr>
      <cdr:spPr>
        <a:xfrm xmlns:a="http://schemas.openxmlformats.org/drawingml/2006/main">
          <a:off x="5718175" y="2908300"/>
          <a:ext cx="1019175" cy="4667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ES" sz="1100">
              <a:latin typeface="Arial Narrow" panose="020B0606020202030204" pitchFamily="34" charset="0"/>
            </a:rPr>
            <a:t>zona</a:t>
          </a:r>
          <a:r>
            <a:rPr lang="es-ES" sz="1100" baseline="0">
              <a:latin typeface="Arial Narrow" panose="020B0606020202030204" pitchFamily="34" charset="0"/>
            </a:rPr>
            <a:t> </a:t>
          </a:r>
        </a:p>
        <a:p xmlns:a="http://schemas.openxmlformats.org/drawingml/2006/main">
          <a:pPr algn="ctr"/>
          <a:r>
            <a:rPr lang="es-ES" sz="1100" baseline="0">
              <a:latin typeface="Arial Narrow" panose="020B0606020202030204" pitchFamily="34" charset="0"/>
            </a:rPr>
            <a:t>StarPower</a:t>
          </a:r>
          <a:endParaRPr lang="es-ES" sz="1100">
            <a:latin typeface="Arial Narrow" panose="020B0606020202030204" pitchFamily="34" charset="0"/>
          </a:endParaRPr>
        </a:p>
      </cdr:txBody>
    </cdr:sp>
  </cdr:relSizeAnchor>
  <cdr:relSizeAnchor xmlns:cdr="http://schemas.openxmlformats.org/drawingml/2006/chartDrawing">
    <cdr:from>
      <cdr:x>0.65681</cdr:x>
      <cdr:y>0.74359</cdr:y>
    </cdr:from>
    <cdr:to>
      <cdr:x>0.75903</cdr:x>
      <cdr:y>0.78487</cdr:y>
    </cdr:to>
    <cdr:sp macro="" textlink="">
      <cdr:nvSpPr>
        <cdr:cNvPr id="4" name="CuadroTexto 3">
          <a:extLst xmlns:a="http://schemas.openxmlformats.org/drawingml/2006/main">
            <a:ext uri="{FF2B5EF4-FFF2-40B4-BE49-F238E27FC236}">
              <a16:creationId xmlns:a16="http://schemas.microsoft.com/office/drawing/2014/main" id="{9C73842D-51C3-9480-0D55-44DCF3663E55}"/>
            </a:ext>
          </a:extLst>
        </cdr:cNvPr>
        <cdr:cNvSpPr txBox="1"/>
      </cdr:nvSpPr>
      <cdr:spPr>
        <a:xfrm xmlns:a="http://schemas.openxmlformats.org/drawingml/2006/main">
          <a:off x="5080000" y="3775075"/>
          <a:ext cx="790575" cy="20955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1100">
              <a:latin typeface="Arial Narrow" panose="020B0606020202030204" pitchFamily="34" charset="0"/>
            </a:rPr>
            <a:t>mediana</a:t>
          </a:r>
        </a:p>
      </cdr:txBody>
    </cdr:sp>
  </cdr:relSizeAnchor>
</c:userShapes>
</file>

<file path=xl/drawings/drawing26.xml><?xml version="1.0" encoding="utf-8"?>
<xdr:wsDr xmlns:xdr="http://schemas.openxmlformats.org/drawingml/2006/spreadsheetDrawing" xmlns:a="http://schemas.openxmlformats.org/drawingml/2006/main">
  <xdr:twoCellAnchor>
    <xdr:from>
      <xdr:col>19</xdr:col>
      <xdr:colOff>219075</xdr:colOff>
      <xdr:row>13</xdr:row>
      <xdr:rowOff>19047</xdr:rowOff>
    </xdr:from>
    <xdr:to>
      <xdr:col>37</xdr:col>
      <xdr:colOff>447675</xdr:colOff>
      <xdr:row>75</xdr:row>
      <xdr:rowOff>104774</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266700</xdr:colOff>
      <xdr:row>92</xdr:row>
      <xdr:rowOff>57150</xdr:rowOff>
    </xdr:from>
    <xdr:to>
      <xdr:col>42</xdr:col>
      <xdr:colOff>442595</xdr:colOff>
      <xdr:row>104</xdr:row>
      <xdr:rowOff>23495</xdr:rowOff>
    </xdr:to>
    <xdr:sp macro="" textlink="">
      <xdr:nvSpPr>
        <xdr:cNvPr id="3" name="Cuadro de texto 1">
          <a:extLst>
            <a:ext uri="{FF2B5EF4-FFF2-40B4-BE49-F238E27FC236}">
              <a16:creationId xmlns:a16="http://schemas.microsoft.com/office/drawing/2014/main" id="{00000000-0008-0000-0D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27.xml><?xml version="1.0" encoding="utf-8"?>
<c:userShapes xmlns:c="http://schemas.openxmlformats.org/drawingml/2006/chart">
  <cdr:relSizeAnchor xmlns:cdr="http://schemas.openxmlformats.org/drawingml/2006/chartDrawing">
    <cdr:from>
      <cdr:x>0.03858</cdr:x>
      <cdr:y>0.01982</cdr:y>
    </cdr:from>
    <cdr:to>
      <cdr:x>0.67405</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64488" y="177307"/>
          <a:ext cx="7650812" cy="561623"/>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V$2">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8 mejores resultados hasta el 20 de septiembre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0.30866</cdr:x>
      <cdr:y>0.52718</cdr:y>
    </cdr:from>
    <cdr:to>
      <cdr:x>0.61631</cdr:x>
      <cdr:y>0.65458</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4245272" y="5026375"/>
          <a:ext cx="4231449" cy="1214699"/>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28.xml><?xml version="1.0" encoding="utf-8"?>
<xdr:wsDr xmlns:xdr="http://schemas.openxmlformats.org/drawingml/2006/spreadsheetDrawing" xmlns:a="http://schemas.openxmlformats.org/drawingml/2006/main">
  <xdr:twoCellAnchor>
    <xdr:from>
      <xdr:col>13</xdr:col>
      <xdr:colOff>114300</xdr:colOff>
      <xdr:row>2</xdr:row>
      <xdr:rowOff>28574</xdr:rowOff>
    </xdr:from>
    <xdr:to>
      <xdr:col>29</xdr:col>
      <xdr:colOff>695325</xdr:colOff>
      <xdr:row>61</xdr:row>
      <xdr:rowOff>123825</xdr:rowOff>
    </xdr:to>
    <xdr:graphicFrame macro="">
      <xdr:nvGraphicFramePr>
        <xdr:cNvPr id="4" name="Gráfico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V$2">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8 mejores resultados hasta el 20 de septiembre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ut"/>
      <sheetName val="ratios"/>
      <sheetName val="TEC_mes"/>
      <sheetName val="horas_TEC_dia"/>
      <sheetName val="datos"/>
      <sheetName val="omie_dinamic_dia"/>
      <sheetName val="curva_precios_tec_sp2024"/>
      <sheetName val="curva_precios_tec"/>
      <sheetName val="curva_precios_tec_NO"/>
      <sheetName val="precios_tec_evol"/>
      <sheetName val="demanda"/>
      <sheetName val="om seg"/>
      <sheetName val="om prev"/>
      <sheetName val="omie_tec"/>
      <sheetName val="omie_dinamic_mes"/>
      <sheetName val="gas"/>
      <sheetName val="co2"/>
      <sheetName val="ratios2"/>
      <sheetName val="omie"/>
      <sheetName val="gen PBF"/>
      <sheetName val="gen PBF solar"/>
      <sheetName val="apunt_solar"/>
      <sheetName val="powerapp"/>
      <sheetName val="Hoja2"/>
      <sheetName val="Hoja3"/>
      <sheetName val="Hoja1"/>
    </sheetNames>
    <sheetDataSet>
      <sheetData sheetId="0"/>
      <sheetData sheetId="1"/>
      <sheetData sheetId="2"/>
      <sheetData sheetId="3"/>
      <sheetData sheetId="4"/>
      <sheetData sheetId="5">
        <row r="2">
          <cell r="G2">
            <v>20</v>
          </cell>
        </row>
        <row r="9">
          <cell r="AE9">
            <v>1</v>
          </cell>
        </row>
        <row r="10">
          <cell r="W10" t="str">
            <v>flecha</v>
          </cell>
          <cell r="AE10">
            <v>1</v>
          </cell>
        </row>
        <row r="11">
          <cell r="W11" t="str">
            <v>inicio</v>
          </cell>
          <cell r="X11">
            <v>0</v>
          </cell>
          <cell r="Y11">
            <v>0</v>
          </cell>
          <cell r="AE11">
            <v>1</v>
          </cell>
        </row>
        <row r="12">
          <cell r="W12" t="str">
            <v>final</v>
          </cell>
          <cell r="X12">
            <v>0.96202767158608593</v>
          </cell>
          <cell r="Y12">
            <v>0.27295193551732505</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-0.96858316112863108</v>
          </cell>
          <cell r="AC21">
            <v>0.24868988716485479</v>
          </cell>
        </row>
        <row r="37">
          <cell r="X37">
            <v>0</v>
          </cell>
          <cell r="Y37">
            <v>0</v>
          </cell>
        </row>
        <row r="38">
          <cell r="X38">
            <v>0.84432792550201485</v>
          </cell>
          <cell r="Y38">
            <v>0.53582679497899699</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0"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3" xr16:uid="{BFFF6891-1C40-41D2-9A82-DD1CBFBFCF1A}" autoFormatId="16" applyNumberFormats="0" applyBorderFormats="0" applyFontFormats="0" applyPatternFormats="0" applyAlignmentFormats="0" applyWidthHeightFormats="0">
  <queryTableRefresh nextId="15">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14"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7"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21"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23"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8"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8"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30"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7" growShrinkType="overwriteClear" adjustColumnWidth="0" connectionId="26" xr16:uid="{AA34AD24-0345-4286-A3B0-1D929204E08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8" growShrinkType="overwriteClear" adjustColumnWidth="0" connectionId="25" xr16:uid="{7F11ED40-F569-4516-B14E-0B094BD398BC}"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9" connectionId="20" xr16:uid="{0A760252-5EEA-4EAB-92D3-30248BCF95F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10" connectionId="33" xr16:uid="{C42DF053-DB4D-4B6E-B920-FFE5202768E2}"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11" growShrinkType="overwriteClear" connectionId="32" xr16:uid="{CD200BD9-CD1F-49B0-834E-D02316650584}"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2"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4"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9"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1"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9"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31"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2"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9" xr16:uid="{9540789C-6113-43F8-8C6D-E2C8239642E9}"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13A37737-55AE-4063-BF09-19FA7962EA51}"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4" xr16:uid="{DDE5908A-C24F-45CB-A949-79BBF3FEFDB2}"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3" xr16:uid="{C9B729B0-BA74-45E5-A790-1A932EB352E8}"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6"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47"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46"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48"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39"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42"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7"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43"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DatosExternos_6" connectionId="41" xr16:uid="{3D2ADE4F-C9DF-408F-9031-8FFC65316893}" autoFormatId="16" applyNumberFormats="0" applyBorderFormats="0" applyFontFormats="0" applyPatternFormats="0" applyAlignmentFormats="0" applyWidthHeightFormats="0">
  <queryTableRefresh nextId="7">
    <queryTableFields count="6">
      <queryTableField id="1" name="Mes" tableColumnId="7"/>
      <queryTableField id="2" name="Posición" tableColumnId="2"/>
      <queryTableField id="3" name="Nombre " tableColumnId="3"/>
      <queryTableField id="4" name="Apuesta MiniPorra" tableColumnId="4"/>
      <queryTableField id="5" name="Desvío" tableColumnId="5"/>
      <queryTableField id="6" name="% Desvío" tableColumnId="6"/>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26" unboundColumnsRight="3">
    <queryTableFields count="14">
      <queryTableField id="1" name="Nombre " tableColumnId="5"/>
      <queryTableField id="16" name="ene-24" tableColumnId="1"/>
      <queryTableField id="17" name="feb-24" tableColumnId="2"/>
      <queryTableField id="18" name="mar-24" tableColumnId="3"/>
      <queryTableField id="19" name="abr-24" tableColumnId="4"/>
      <queryTableField id="20" name="may-24" tableColumnId="7"/>
      <queryTableField id="21" name="jun-24" tableColumnId="10"/>
      <queryTableField id="22" name="jul-24" tableColumnId="11"/>
      <queryTableField id="23" name="ago-24" tableColumnId="12"/>
      <queryTableField id="24" name="sep-24" tableColumnId="13"/>
      <queryTableField id="25" name="oct-24" tableColumnId="14"/>
      <queryTableField id="8" dataBound="0" tableColumnId="8"/>
      <queryTableField id="5" dataBound="0" tableColumnId="6"/>
      <queryTableField id="9" dataBound="0" tableColumnId="9"/>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6" unboundColumnsRight="2">
    <queryTableFields count="12">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2" name="Jun 2024" tableColumnId="9"/>
      <queryTableField id="13" name="Jul 2024" tableColumnId="1"/>
      <queryTableField id="14" name="Ago 2024" tableColumnId="10"/>
      <queryTableField id="15" name="Sep 2024" tableColumnId="12"/>
      <queryTableField id="10" dataBound="0" tableColumnId="11"/>
      <queryTableField id="5" dataBound="0" tableColumnId="6"/>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DatosExternos_1" connectionId="34"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DatosExternos_1" connectionId="4" xr16:uid="{FC3ACA3B-2051-417C-B9FE-F1E2C9FBE0F0}" autoFormatId="16" applyNumberFormats="0" applyBorderFormats="0" applyFontFormats="0" applyPatternFormats="0" applyAlignmentFormats="0" applyWidthHeightFormats="0">
  <queryTableRefresh nextId="4">
    <queryTableFields count="3">
      <queryTableField id="1" name="mes" tableColumnId="4"/>
      <queryTableField id="2" name="Nombre " tableColumnId="2"/>
      <queryTableField id="3" name="apuesta"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54.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58.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59.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373" tableType="queryTable" totalsRowShown="0">
  <autoFilter ref="A1:H373"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EB39C885-09BB-4BDE-8F6D-885260533224}" uniqueName="8" name="Nick (o nombre corto)" queryTableFieldId="14" dataDxfId="27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298"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275"/>
    <tableColumn id="3" xr3:uid="{3861983E-9572-444C-947C-E7D57298824B}" uniqueName="3" name="valor" queryTableFieldId="3" dataDxfId="27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273"/>
    <tableColumn id="4" xr3:uid="{0C82DB85-0579-4D6B-8D4B-97B2C42C2143}" uniqueName="4" name="valor" queryTableFieldId="4" dataDxfId="27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271"/>
    <tableColumn id="3" xr3:uid="{5803D351-2AA9-49F6-B78D-A534B1C937AC}" uniqueName="3" name="valor" queryTableFieldId="3" dataDxfId="27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tableColumns count="2">
    <tableColumn id="3" xr3:uid="{4B7C16BC-1A11-41A4-BAFD-48611CAE3010}" uniqueName="3" name="fecha" queryTableFieldId="1" dataDxfId="269"/>
    <tableColumn id="2" xr3:uid="{DF3CB2F5-3FE0-469D-802E-73C3788B7999}" uniqueName="2" name="valor" queryTableFieldId="2" dataDxfId="26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267" dataDxfId="266">
  <tableColumns count="2">
    <tableColumn id="3" xr3:uid="{958CB32F-1519-4445-A7B6-7A507919C51D}" uniqueName="3" name="fecha" queryTableFieldId="1" dataDxfId="265"/>
    <tableColumn id="2" xr3:uid="{2E071D30-423C-42F3-9B58-84AE7F983B6F}" uniqueName="2" name="valor" queryTableFieldId="2" dataDxfId="26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3A7D0A-6F21-4F0E-A601-920B3BF50AF0}" name="omie_junio" displayName="omie_junio" ref="S4:T34" tableType="queryTable" totalsRowShown="0" headerRowDxfId="263" dataDxfId="262">
  <tableColumns count="2">
    <tableColumn id="3" xr3:uid="{D412FE74-06AC-4C73-A25E-1825DDE9DDF2}" uniqueName="3" name="fecha" queryTableFieldId="1" dataDxfId="261"/>
    <tableColumn id="2" xr3:uid="{1BC2D732-1DC6-47E5-B808-0EEEB12A5F4D}" uniqueName="2" name="valor" queryTableFieldId="2" dataDxfId="26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916822B-2CD6-4191-BD00-7176B460DA84}" name="omie_julio" displayName="omie_julio" ref="V4:W35" tableType="queryTable" totalsRowShown="0" headerRowDxfId="259">
  <tableColumns count="2">
    <tableColumn id="3" xr3:uid="{17EFC80D-C413-4738-91A8-6E4A15C3F558}" uniqueName="3" name="fecha" queryTableFieldId="1" dataDxfId="258"/>
    <tableColumn id="2" xr3:uid="{D8674625-135B-44E6-BB4A-DC53C2AFB103}" uniqueName="2" name="valor" queryTableFieldId="2" dataDxfId="25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9377613-B51C-4219-8259-5EF82D06C914}" name="omie_agosto" displayName="omie_agosto" ref="Y4:Z35" tableType="queryTable" totalsRowShown="0">
  <autoFilter ref="Y4:Z35" xr:uid="{49377613-B51C-4219-8259-5EF82D06C914}"/>
  <tableColumns count="2">
    <tableColumn id="3" xr3:uid="{21620963-A071-4312-9C8C-2E8DF23C68B9}" uniqueName="3" name="fecha" queryTableFieldId="1" dataDxfId="256"/>
    <tableColumn id="2" xr3:uid="{49228BEA-DA9C-414C-9DC1-6E94566A29D3}" uniqueName="2" name="valor" queryTableFieldId="2" dataDxfId="25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54938D9-AF2E-401D-A5A6-0B3FCA5DB6CA}" name="omie_septiembre" displayName="omie_septiembre" ref="AB4:AC34" tableType="queryTable" totalsRowShown="0">
  <autoFilter ref="AB4:AC34" xr:uid="{254938D9-AF2E-401D-A5A6-0B3FCA5DB6CA}"/>
  <tableColumns count="2">
    <tableColumn id="3" xr3:uid="{1D44ACFD-C8F9-4809-97E7-A91FE39E8EDF}" uniqueName="3" name="fecha" queryTableFieldId="1" dataDxfId="254"/>
    <tableColumn id="2" xr3:uid="{BF43129B-9CF8-4FD8-B2E4-A9BBF4483548}" uniqueName="2" name="valor" queryTableFieldId="2" dataDxfId="25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83E030E1-6ADE-4840-BF5D-8DDCEFE90B8A}" name="omie_octubre" displayName="omie_octubre" ref="AE4:AF24" tableType="queryTable" totalsRowShown="0">
  <autoFilter ref="AE4:AF24" xr:uid="{83E030E1-6ADE-4840-BF5D-8DDCEFE90B8A}"/>
  <tableColumns count="2">
    <tableColumn id="3" xr3:uid="{F00898CB-F12D-4BEA-B8DA-829DE1A88264}" uniqueName="3" name="fecha" queryTableFieldId="1" dataDxfId="4"/>
    <tableColumn id="2" xr3:uid="{5127E0A5-70FE-46F3-8D0F-91E0993A5F85}" uniqueName="2" name="valor" queryTableFieldId="2" dataDxf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252">
      <calculatedColumnFormula>apuestas_ene24[[#This Row],[Apuesta Miniporra]]-$B$3</calculatedColumnFormula>
    </tableColumn>
    <tableColumn id="8" xr3:uid="{5839308A-FF43-4FE6-994A-69FC2FBFD373}" uniqueName="8" name="desvio %" queryTableFieldId="8" dataDxfId="251"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250"/>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249"/>
    <tableColumn id="2" xr3:uid="{112BE060-2A41-4409-AC9E-4B10C5D827B0}" uniqueName="2" name="€/MWh" queryTableFieldId="2" dataDxfId="248"/>
  </tableColumns>
  <tableStyleInfo name="TableStyleMedium1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247"/>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246">
      <calculatedColumnFormula>apuestas_feb24[[#This Row],[Apuesta Miniporra]]-$B$3</calculatedColumnFormula>
    </tableColumn>
    <tableColumn id="8" xr3:uid="{81DC3DE0-9675-4AB8-94EE-E87E41FFB9E2}" uniqueName="8" name="desvio %" queryTableFieldId="8" dataDxfId="245"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244"/>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243"/>
    <tableColumn id="2" xr3:uid="{63125885-0138-47A5-A14A-5B38B8782CBD}" uniqueName="2" name="€/MWh" queryTableFieldId="2" dataDxfId="242"/>
  </tableColumns>
  <tableStyleInfo name="TableStyleMedium10"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241"/>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240">
      <calculatedColumnFormula>apuestas_mar24[[#This Row],[Apuesta Miniporra]]-$B$3</calculatedColumnFormula>
    </tableColumn>
    <tableColumn id="8" xr3:uid="{EEC73F00-D21C-421E-9E94-1D3BF5D79A01}" uniqueName="8" name="desvio %" queryTableFieldId="7" dataDxfId="239"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238"/>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237"/>
    <tableColumn id="2" xr3:uid="{7DFE6567-AD6C-4D7F-9DE9-A9257B71CA31}" uniqueName="2" name="€/MWh" queryTableFieldId="2" dataDxfId="236"/>
  </tableColumns>
  <tableStyleInfo name="TableStyleMedium10"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235"/>
    <tableColumn id="2" xr3:uid="{63CC34E9-E87C-4C59-918A-26E8527564EE}" uniqueName="2" name="Nombre" queryTableFieldId="2" dataDxfId="234"/>
    <tableColumn id="3" xr3:uid="{D5309798-70CB-45EE-B7CE-DC81AAD9AF3E}" uniqueName="3" name="Apuesta Miniporra" queryTableFieldId="3" dataDxfId="233"/>
    <tableColumn id="4" xr3:uid="{6D244967-2AD4-4F80-AA3B-75E23E623EFF}" uniqueName="4" name="Comentario opcional sobre el mes (a ver si hay algún razonamiento, o pura potra!)" queryTableFieldId="4" dataDxfId="232"/>
    <tableColumn id="5" xr3:uid="{C7C1000D-440B-453E-A51D-A3D4A385C5DE}" uniqueName="5" name="Nick" queryTableFieldId="5" dataDxfId="231"/>
    <tableColumn id="7" xr3:uid="{DAE7AFD6-9B39-445C-950A-CA2CE06CADF7}" uniqueName="7" name="desvio" queryTableFieldId="6" dataDxfId="230">
      <calculatedColumnFormula>apuestas_abr24[[#This Row],[Apuesta Miniporra]]-$B$3</calculatedColumnFormula>
    </tableColumn>
    <tableColumn id="8" xr3:uid="{A30B4056-BA32-4443-9D36-347085E457DB}" uniqueName="8" name="desvio %" queryTableFieldId="7" dataDxfId="229" dataCellStyle="Porcentaje">
      <calculatedColumnFormula>ABS(apuestas_abr24[[#This Row],[desvio]])/$B$3</calculatedColumnFormula>
    </tableColumn>
    <tableColumn id="9" xr3:uid="{A5092CA8-C510-4F02-93C3-3191A125BC94}" uniqueName="9" name="orden" queryTableFieldId="8" dataDxfId="228">
      <calculatedColumnFormula>_xlfn.RANK.EQ(apuestas_abr24[[#This Row],[desvio %]],apuestas_abr24[desvio %],1)</calculatedColumnFormula>
    </tableColumn>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227"/>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226">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225"/>
    <tableColumn id="2" xr3:uid="{6221ADDE-CB24-4A6A-96BA-57541B44C061}" uniqueName="2" name="€/MWh" queryTableFieldId="2" dataDxfId="224"/>
  </tableColumns>
  <tableStyleInfo name="TableStyleMedium10"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223"/>
    <tableColumn id="2" xr3:uid="{B5F7B107-5DDF-4C32-8615-14256617EF80}" uniqueName="2" name="Nombre" queryTableFieldId="2" dataDxfId="222"/>
    <tableColumn id="3" xr3:uid="{9A9D4B3D-3CA1-488F-B979-8F3D3E7E0FA3}" uniqueName="3" name="Apuesta Miniporra" queryTableFieldId="3" dataDxfId="221"/>
    <tableColumn id="4" xr3:uid="{4C308168-16E2-4D1E-A900-60D706F4AFE9}" uniqueName="4" name="Comentario opcional sobre el mes (a ver si hay algún razonamiento, o pura potra!)" queryTableFieldId="4" dataDxfId="220"/>
    <tableColumn id="5" xr3:uid="{194CBFA1-FDCF-4266-AAB7-44FFFA28F384}" uniqueName="5" name="Nick" queryTableFieldId="5" dataDxfId="219"/>
    <tableColumn id="7" xr3:uid="{51F8B782-841B-4580-B595-E4DC3B0D5138}" uniqueName="7" name="desvio" queryTableFieldId="6" dataDxfId="218">
      <calculatedColumnFormula>apuestas_may24[[#This Row],[Apuesta Miniporra]]-$B$3</calculatedColumnFormula>
    </tableColumn>
    <tableColumn id="8" xr3:uid="{313F1E8F-57D2-4E48-BCD1-079F75DE6779}" uniqueName="8" name="desvio %" queryTableFieldId="7" dataDxfId="217" dataCellStyle="Porcentaje">
      <calculatedColumnFormula>ABS(apuestas_may24[[#This Row],[desvio]])/$B$3</calculatedColumnFormula>
    </tableColumn>
    <tableColumn id="9" xr3:uid="{777E69ED-5E6E-476B-8031-58AFB11670EF}" uniqueName="9" name="orden" queryTableFieldId="8" dataDxfId="216">
      <calculatedColumnFormula>_xlfn.RANK.EQ(apuestas_may24[[#This Row],[desvio %]],apuestas_may24[desvio %],1)</calculatedColumnFormula>
    </tableColumn>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jun" displayName="resultados_jun" ref="J6:O59" totalsRowShown="0">
  <sortState xmlns:xlrd2="http://schemas.microsoft.com/office/spreadsheetml/2017/richdata2" ref="J7:N40">
    <sortCondition descending="1" ref="L8:L42"/>
  </sortState>
  <tableColumns count="6">
    <tableColumn id="6" xr3:uid="{7380F0AD-895A-4BE2-B665-44147121B8BF}" name="Mes" dataDxfId="215"/>
    <tableColumn id="5" xr3:uid="{9F15611F-74E5-4C3C-9A36-084F96BD733F}" name="Posición">
      <calculatedColumnFormula>INDEX(apuestas_jun24[orden],MATCH(resultados_jun[Apuesta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214">
      <calculatedColumnFormula>apuestas_jun24[[#This Row],[Apuesta Miniporra]]</calculatedColumnFormula>
    </tableColumn>
    <tableColumn id="3" xr3:uid="{014A54CB-C480-456D-A80D-C2184C732EAE}" name="Desvío">
      <calculatedColumnFormula>INDEX(apuestas_jun24[desvio],MATCH(resultados_jun[[#This Row],[Apuesta MiniPorra]],apuestas_jun24[Apuesta Miniporra],0))</calculatedColumnFormula>
    </tableColumn>
    <tableColumn id="4" xr3:uid="{BE24F232-A888-43C5-8951-A1EA764FAF6C}" name="% Desvío">
      <calculatedColumnFormula>INDEX(apuestas_jun24[desvio %],MATCH(resultados_jun[[#This Row],[Apuesta MiniPorra]],apuestas_jun24[Apuesta Miniporra],0))</calculatedColumnFormula>
    </tableColumn>
  </tableColumns>
  <tableStyleInfo name="TableStyleMedium1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9" tableType="queryTable" totalsRowShown="0">
  <autoFilter ref="A6:H59" xr:uid="{B6B13BDB-3E3E-4A3C-AB91-832241C754AA}"/>
  <sortState xmlns:xlrd2="http://schemas.microsoft.com/office/spreadsheetml/2017/richdata2" ref="A7:H59">
    <sortCondition descending="1" ref="C6:C59"/>
  </sortState>
  <tableColumns count="8">
    <tableColumn id="6" xr3:uid="{DCDE470F-63BB-425F-AC60-D668F7FFFFBF}" uniqueName="6" name="Mes de apuesta" queryTableFieldId="1" dataDxfId="213"/>
    <tableColumn id="2" xr3:uid="{0862D624-82CA-418C-8D1D-90D12B43D2C0}" uniqueName="2" name="Nombre" queryTableFieldId="2" dataDxfId="212"/>
    <tableColumn id="3" xr3:uid="{6D8DD44C-F12E-40C3-8FBC-3D50B196D54D}" uniqueName="3" name="Apuesta Miniporra" queryTableFieldId="3" dataDxfId="211"/>
    <tableColumn id="4" xr3:uid="{FBD7911B-6AA1-49D9-9D70-654CAC54530E}" uniqueName="4" name="Comentario opcional sobre el mes (a ver si hay algún razonamiento, o pura potra!)" queryTableFieldId="4" dataDxfId="210"/>
    <tableColumn id="5" xr3:uid="{FD3DBE29-3F14-4282-A720-773697844872}" uniqueName="5" name="Nick" queryTableFieldId="5" dataDxfId="209"/>
    <tableColumn id="7" xr3:uid="{76267DB3-4E70-4246-A439-DA7D5371FE83}" uniqueName="7" name="desvio" queryTableFieldId="6" dataDxfId="208">
      <calculatedColumnFormula>apuestas_jun24[[#This Row],[Apuesta Miniporra]]-$B$3</calculatedColumnFormula>
    </tableColumn>
    <tableColumn id="8" xr3:uid="{CC4EF30D-60B5-4DEE-8EA7-837A39EFC2B6}" uniqueName="8" name="desvio %" queryTableFieldId="7" dataDxfId="207" dataCellStyle="Porcentaje">
      <calculatedColumnFormula>ABS(apuestas_jun24[[#This Row],[desvio]])/$B$3</calculatedColumnFormula>
    </tableColumn>
    <tableColumn id="9" xr3:uid="{6DD54322-AA0F-4AB5-AD49-29681F0B3307}" uniqueName="9" name="orden" queryTableFieldId="8" dataDxfId="206">
      <calculatedColumnFormula>_xlfn.RANK.EQ(apuestas_jun24[[#This Row],[desvio %]],apuestas_jun24[desvio %],1)</calculatedColumnFormula>
    </tableColumn>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B925CE4A-9DB1-48C6-8628-348F1D747C81}" name="Tabla42" displayName="Tabla42" ref="P6:Q36" totalsRowShown="0" headerRowDxfId="205" dataDxfId="204" dataCellStyle="Porcentaje">
  <autoFilter ref="P6:Q36" xr:uid="{B925CE4A-9DB1-48C6-8628-348F1D747C81}"/>
  <tableColumns count="2">
    <tableColumn id="1" xr3:uid="{0852FBB8-A0B5-4443-B502-FE411EE21673}" name="dia" dataDxfId="203" dataCellStyle="Porcentaje"/>
    <tableColumn id="2" xr3:uid="{57C455C0-7EBB-428C-AC90-8CB177CA04C5}" name="€/MWh" dataDxfId="202" dataCellStyle="Porcentaje"/>
  </tableColumns>
  <tableStyleInfo name="TableStyleMedium10"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EE44495-34DD-4F26-AF17-3E709DCE4ECF}" name="resultados_jul" displayName="resultados_jul" ref="J6:O58" totalsRowShown="0">
  <sortState xmlns:xlrd2="http://schemas.microsoft.com/office/spreadsheetml/2017/richdata2" ref="J7:N40">
    <sortCondition descending="1" ref="L8:L42"/>
  </sortState>
  <tableColumns count="6">
    <tableColumn id="6" xr3:uid="{3771A7B6-4836-4A9D-AFA9-8B6CDAE7FAE3}" name="Mes" dataDxfId="201"/>
    <tableColumn id="5" xr3:uid="{44F61175-7FBD-44FC-BEA0-3CB09B07D5E8}" name="Posición">
      <calculatedColumnFormula>INDEX(apuestas_juL24[orden],MATCH(resultados_jul[Apuesta MiniPorra],apuestas_juL24[Apuesta Miniporra],0))</calculatedColumnFormula>
    </tableColumn>
    <tableColumn id="1" xr3:uid="{4E2A446B-9DBE-4B9A-A6E9-829521ABCE73}" name="Nombre ">
      <calculatedColumnFormula>apuestas_juL24[[#This Row],[Nombre]]</calculatedColumnFormula>
    </tableColumn>
    <tableColumn id="2" xr3:uid="{A1FAC3A5-68BB-41EA-A397-3B00674418EF}" name="Apuesta MiniPorra" dataDxfId="200">
      <calculatedColumnFormula>apuestas_juL24[[#This Row],[Apuesta Miniporra]]</calculatedColumnFormula>
    </tableColumn>
    <tableColumn id="3" xr3:uid="{76011829-488A-4B20-9954-A2BFBA62AC15}" name="Desvío">
      <calculatedColumnFormula>INDEX(apuestas_juL24[desvio],MATCH(resultados_jul[[#This Row],[Apuesta MiniPorra]],apuestas_juL24[Apuesta Miniporra],0))</calculatedColumnFormula>
    </tableColumn>
    <tableColumn id="4" xr3:uid="{1F3DE9FE-10B2-4796-9587-9C68B814EDFC}" name="% Desvío">
      <calculatedColumnFormula>INDEX(apuestas_juL24[desvio %],MATCH(resultados_jul[[#This Row],[Apuesta MiniPorra]],apuestas_juL24[Apuesta Miniporra],0))</calculatedColumnFormula>
    </tableColumn>
  </tableColumns>
  <tableStyleInfo name="TableStyleMedium1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2D97B43-2FDF-48D1-AF4C-C009705844CB}" name="apuestas_juL24" displayName="apuestas_juL24" ref="A6:H58" tableType="queryTable" totalsRowShown="0">
  <autoFilter ref="A6:H58" xr:uid="{B6B13BDB-3E3E-4A3C-AB91-832241C754AA}"/>
  <sortState xmlns:xlrd2="http://schemas.microsoft.com/office/spreadsheetml/2017/richdata2" ref="A7:H58">
    <sortCondition descending="1" ref="C6:C58"/>
  </sortState>
  <tableColumns count="8">
    <tableColumn id="6" xr3:uid="{BF2206FB-78E2-46A7-877B-6F58021DE948}" uniqueName="6" name="Mes de apuesta" queryTableFieldId="1" dataDxfId="199"/>
    <tableColumn id="2" xr3:uid="{3C95EF88-792A-4B03-A48D-FAABB8D319ED}" uniqueName="2" name="Nombre" queryTableFieldId="2" dataDxfId="198"/>
    <tableColumn id="3" xr3:uid="{5E1666B4-DEFF-4B09-B7CE-FEDB4DF2FD45}" uniqueName="3" name="Apuesta Miniporra" queryTableFieldId="3" dataDxfId="197"/>
    <tableColumn id="4" xr3:uid="{AAB1CC2D-E687-4CBB-97D2-3018F3751ECE}" uniqueName="4" name="Comentario opcional sobre el mes (a ver si hay algún razonamiento, o pura potra!)" queryTableFieldId="4" dataDxfId="196"/>
    <tableColumn id="5" xr3:uid="{A4F4CFCF-C1CA-454D-BF76-66054E59A27D}" uniqueName="5" name="Nick" queryTableFieldId="5" dataDxfId="195"/>
    <tableColumn id="7" xr3:uid="{85DD35A9-F592-49C7-97D0-F57D87B808D7}" uniqueName="7" name="desvio" queryTableFieldId="6" dataDxfId="194">
      <calculatedColumnFormula>apuestas_juL24[[#This Row],[Apuesta Miniporra]]-$B$3</calculatedColumnFormula>
    </tableColumn>
    <tableColumn id="8" xr3:uid="{EB8155C7-CC5C-4C72-8642-6A3E2FDB2607}" uniqueName="8" name="desvio %" queryTableFieldId="7" dataDxfId="193" dataCellStyle="Porcentaje">
      <calculatedColumnFormula>ABS(apuestas_juL24[[#This Row],[desvio]])/$B$3</calculatedColumnFormula>
    </tableColumn>
    <tableColumn id="9" xr3:uid="{22D7C25C-F560-48FF-8160-EA1162876DC1}" uniqueName="9" name="orden" queryTableFieldId="8" dataDxfId="192">
      <calculatedColumnFormula>_xlfn.RANK.EQ(apuestas_juL24[[#This Row],[desvio %]],apuestas_juL24[desvio %],1)</calculatedColumnFormula>
    </tableColumn>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F71E86A-AA01-4974-9089-938AA76C0889}" name="Tabla4247" displayName="Tabla4247" ref="P6:Q37" totalsRowShown="0" headerRowDxfId="191" dataDxfId="190" dataCellStyle="Porcentaje">
  <tableColumns count="2">
    <tableColumn id="1" xr3:uid="{0603D470-0C98-429E-A818-BEADE992FD9C}" name="dia" dataDxfId="189" dataCellStyle="Porcentaje"/>
    <tableColumn id="2" xr3:uid="{282910E0-1DAE-4B53-B433-80DD2EADB27D}" name="€/MWh" dataDxfId="188" dataCellStyle="Porcentaje">
      <calculatedColumnFormula>IF(ISBLANK(omie!S5),"",omie!T5)</calculatedColumnFormula>
    </tableColumn>
  </tableColumns>
  <tableStyleInfo name="TableStyleMedium10"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2654BC-76A5-4838-ADAC-4880053A9CC0}" name="resultados_ago" displayName="resultados_ago" ref="J6:O47" totalsRowShown="0">
  <sortState xmlns:xlrd2="http://schemas.microsoft.com/office/spreadsheetml/2017/richdata2" ref="J7:N40">
    <sortCondition descending="1" ref="L8:L42"/>
  </sortState>
  <tableColumns count="6">
    <tableColumn id="6" xr3:uid="{A7CF9ABD-3E31-487D-B438-595FC220B27F}" name="Mes" dataDxfId="187"/>
    <tableColumn id="5" xr3:uid="{95E8599B-2DC7-452D-9922-89FFA28E682B}" name="Posición">
      <calculatedColumnFormula>INDEX(apuestas_ago[orden],MATCH(resultados_ago[Apuesta MiniPorra],apuestas_ago[Apuesta Miniporra],0))</calculatedColumnFormula>
    </tableColumn>
    <tableColumn id="1" xr3:uid="{0F765919-18DD-496C-83CF-A8BB1059DE0D}" name="Nombre ">
      <calculatedColumnFormula>apuestas_ago[[#This Row],[Nombre]]</calculatedColumnFormula>
    </tableColumn>
    <tableColumn id="2" xr3:uid="{EFC32DA7-EB9B-4C3B-8704-9D12564E9F8C}" name="Apuesta MiniPorra" dataDxfId="186">
      <calculatedColumnFormula>apuestas_ago[[#This Row],[Apuesta Miniporra]]</calculatedColumnFormula>
    </tableColumn>
    <tableColumn id="3" xr3:uid="{49882635-BAF0-4248-993E-642D838CD09D}" name="Desvío">
      <calculatedColumnFormula>INDEX(apuestas_ago[desvio],MATCH(resultados_ago[[#This Row],[Apuesta MiniPorra]],apuestas_ago[Apuesta Miniporra],0))</calculatedColumnFormula>
    </tableColumn>
    <tableColumn id="4" xr3:uid="{9FCD869A-0E06-4BF5-BCA5-BE1F021F62BE}" name="% Desvío">
      <calculatedColumnFormula>INDEX(apuestas_ago[desvio %],MATCH(resultados_ago[[#This Row],[Apuesta MiniPorra]],apuestas_ago[Apuesta Miniporra],0))</calculatedColumnFormula>
    </tableColumn>
  </tableColumns>
  <tableStyleInfo name="TableStyleMedium1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70A35859-7B01-40CF-B32F-A83F11226874}" name="apuestas_ago" displayName="apuestas_ago" ref="A6:H47" tableType="queryTable" totalsRowShown="0">
  <autoFilter ref="A6:H47" xr:uid="{B6B13BDB-3E3E-4A3C-AB91-832241C754AA}"/>
  <sortState xmlns:xlrd2="http://schemas.microsoft.com/office/spreadsheetml/2017/richdata2" ref="A7:H47">
    <sortCondition descending="1" ref="C6:C47"/>
  </sortState>
  <tableColumns count="8">
    <tableColumn id="6" xr3:uid="{DE33B277-9FAD-40E7-921C-E7D90EFD6B56}" uniqueName="6" name="Mes de apuesta" queryTableFieldId="1" dataDxfId="185"/>
    <tableColumn id="2" xr3:uid="{79480BAA-12FF-4CCA-B87F-26662F8DC9C8}" uniqueName="2" name="Nombre" queryTableFieldId="2" dataDxfId="184"/>
    <tableColumn id="3" xr3:uid="{38960EFD-A1AC-42B9-B494-E9D87E32D545}" uniqueName="3" name="Apuesta Miniporra" queryTableFieldId="3" dataDxfId="183"/>
    <tableColumn id="4" xr3:uid="{77135B89-C04D-4F5F-8A25-AD55EF545A21}" uniqueName="4" name="Comentario opcional sobre el mes (a ver si hay algún razonamiento, o pura potra!)" queryTableFieldId="4" dataDxfId="182"/>
    <tableColumn id="5" xr3:uid="{2DD49D7F-8B6C-472E-AD73-C1A0DEB88EB6}" uniqueName="5" name="Nick" queryTableFieldId="5" dataDxfId="181"/>
    <tableColumn id="7" xr3:uid="{3E178D95-D6D0-489E-8BEB-BB2BEE7CE6E3}" uniqueName="7" name="desvio" queryTableFieldId="6" dataDxfId="180">
      <calculatedColumnFormula>apuestas_ago[[#This Row],[Apuesta Miniporra]]-$B$3</calculatedColumnFormula>
    </tableColumn>
    <tableColumn id="8" xr3:uid="{A1DF79F7-2B81-4165-9CE5-4565ED270850}" uniqueName="8" name="desvio %" queryTableFieldId="7" dataDxfId="179" dataCellStyle="Porcentaje">
      <calculatedColumnFormula>ABS(apuestas_ago[[#This Row],[desvio]])/$B$3</calculatedColumnFormula>
    </tableColumn>
    <tableColumn id="9" xr3:uid="{6B4580DE-71F9-4107-95C8-C2DACD17F21B}" uniqueName="9" name="orden" queryTableFieldId="8" dataDxfId="178">
      <calculatedColumnFormula>_xlfn.RANK.EQ(apuestas_ago[[#This Row],[desvio %]],apuestas_ago[desvio %],1)</calculatedColumnFormula>
    </tableColumn>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D10C12F3-3A83-43A0-9A1E-05221DEFAC1F}" name="Tabla424751" displayName="Tabla424751" ref="P6:Q37" totalsRowShown="0" headerRowDxfId="177" dataDxfId="176" dataCellStyle="Porcentaje">
  <tableColumns count="2">
    <tableColumn id="1" xr3:uid="{2E77994E-75A3-44E5-8849-746D4C1F4C26}" name="dia" dataDxfId="175" dataCellStyle="Porcentaje"/>
    <tableColumn id="2" xr3:uid="{29D3D0DA-F6D3-4E28-9ABE-0CEF5601A5BC}" name="€/MWh" dataDxfId="174" dataCellStyle="Porcentaje">
      <calculatedColumnFormula>IF(ISBLANK(omie!S5),"",omie!T5)</calculatedColumnFormula>
    </tableColumn>
  </tableColumns>
  <tableStyleInfo name="TableStyleMedium10"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279A944-1A4A-40DB-A65F-44F80F74EFBA}" name="resultados_sep" displayName="resultados_sep" ref="J6:O45" totalsRowShown="0">
  <sortState xmlns:xlrd2="http://schemas.microsoft.com/office/spreadsheetml/2017/richdata2" ref="J7:N40">
    <sortCondition descending="1" ref="L8:L42"/>
  </sortState>
  <tableColumns count="6">
    <tableColumn id="6" xr3:uid="{9F3978E3-F461-48E4-8722-A26D38B96CD0}" name="Mes" dataDxfId="173"/>
    <tableColumn id="5" xr3:uid="{C522595C-1032-468F-8F44-2F5334C11F4D}" name="Posición">
      <calculatedColumnFormula>INDEX(apuestas_sep24[orden],MATCH(resultados_sep[Apuesta MiniPorra],apuestas_sep24[Apuesta Miniporra],0))</calculatedColumnFormula>
    </tableColumn>
    <tableColumn id="1" xr3:uid="{0C22A2C7-1062-48D2-B7BF-4C5FA13A9A3B}" name="Nombre ">
      <calculatedColumnFormula>apuestas_sep24[[#This Row],[Nombre]]</calculatedColumnFormula>
    </tableColumn>
    <tableColumn id="2" xr3:uid="{D89E94F3-4522-46BF-97FB-4966D3004E2B}" name="Apuesta MiniPorra" dataDxfId="172">
      <calculatedColumnFormula>apuestas_sep24[[#This Row],[Apuesta Miniporra]]</calculatedColumnFormula>
    </tableColumn>
    <tableColumn id="3" xr3:uid="{DFE1F9EA-1413-48E5-8B76-0883E8872F2E}" name="Desvío">
      <calculatedColumnFormula>INDEX(apuestas_sep24[desvio],MATCH(resultados_sep[[#This Row],[Apuesta MiniPorra]],apuestas_sep24[Apuesta Miniporra],0))</calculatedColumnFormula>
    </tableColumn>
    <tableColumn id="4" xr3:uid="{7179A7CE-74ED-46E6-A87F-3A6A50DF096D}" name="% Desvío">
      <calculatedColumnFormula>INDEX(apuestas_sep24[desvio %],MATCH(resultados_sep[[#This Row],[Apuesta MiniPorra]],apuestas_sep24[Apuesta Miniporra],0))</calculatedColumnFormula>
    </tableColumn>
  </tableColumns>
  <tableStyleInfo name="TableStyleMedium1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F40EAC2A-6352-432D-9320-075CAF4C5F8E}" name="apuestas_sep24" displayName="apuestas_sep24" ref="A6:H45" tableType="queryTable" totalsRowShown="0">
  <autoFilter ref="A6:H45" xr:uid="{B6B13BDB-3E3E-4A3C-AB91-832241C754AA}"/>
  <sortState xmlns:xlrd2="http://schemas.microsoft.com/office/spreadsheetml/2017/richdata2" ref="A7:H45">
    <sortCondition descending="1" ref="C6:C45"/>
  </sortState>
  <tableColumns count="8">
    <tableColumn id="6" xr3:uid="{BEEF8B88-E70A-426C-9A88-C9888BE2013F}" uniqueName="6" name="Mes de apuesta" queryTableFieldId="1" dataDxfId="171"/>
    <tableColumn id="2" xr3:uid="{DCF4BC84-92F4-4879-A309-42A4E475601A}" uniqueName="2" name="Nombre" queryTableFieldId="2" dataDxfId="170"/>
    <tableColumn id="3" xr3:uid="{856E1625-7322-4FDB-9EFF-A80066AF5712}" uniqueName="3" name="Apuesta Miniporra" queryTableFieldId="3" dataDxfId="169"/>
    <tableColumn id="4" xr3:uid="{464BDCEC-10C8-4B44-A30B-0221294B793E}" uniqueName="4" name="Comentario opcional sobre el mes (a ver si hay algún razonamiento, o pura potra!)" queryTableFieldId="4" dataDxfId="168"/>
    <tableColumn id="5" xr3:uid="{910190F1-B7F9-4390-B2A9-949CEF085D89}" uniqueName="5" name="Nick" queryTableFieldId="5" dataDxfId="167"/>
    <tableColumn id="7" xr3:uid="{E831ACFE-0C8D-4917-B626-84DB8CBC9985}" uniqueName="7" name="desvio" queryTableFieldId="6" dataDxfId="166">
      <calculatedColumnFormula>apuestas_sep24[[#This Row],[Apuesta Miniporra]]-$B$3</calculatedColumnFormula>
    </tableColumn>
    <tableColumn id="8" xr3:uid="{49E004AA-6578-4D1C-BB1C-504EBB90C05C}" uniqueName="8" name="desvio %" queryTableFieldId="7" dataDxfId="165" dataCellStyle="Porcentaje">
      <calculatedColumnFormula>ABS(apuestas_sep24[[#This Row],[desvio]])/$B$3</calculatedColumnFormula>
    </tableColumn>
    <tableColumn id="9" xr3:uid="{326FDC06-457E-4071-834D-5E37256D3894}" uniqueName="9" name="orden" queryTableFieldId="8" dataDxfId="164">
      <calculatedColumnFormula>_xlfn.RANK.EQ(apuestas_sep24[[#This Row],[desvio %]],apuestas_sep24[desvio %],1)</calculatedColumnFormula>
    </tableColumn>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31D7E88-DC4C-4E91-AD49-9B09530D8CEF}" name="Tabla42475155" displayName="Tabla42475155" ref="P6:Q36" totalsRowShown="0" headerRowDxfId="163" dataDxfId="162" dataCellStyle="Porcentaje">
  <tableColumns count="2">
    <tableColumn id="1" xr3:uid="{015BABC2-5930-4F45-876B-16AC5F8A941A}" name="dia" dataDxfId="161" dataCellStyle="Porcentaje"/>
    <tableColumn id="2" xr3:uid="{FC81B15F-6143-4B5A-B7BF-AC4150E2FC0F}" name="€/MWh" dataDxfId="160" dataCellStyle="Porcentaje">
      <calculatedColumnFormula>IF(ISBLANK(omie!Y5),"",omie!Z5)</calculatedColumnFormula>
    </tableColumn>
  </tableColumns>
  <tableStyleInfo name="TableStyleMedium10"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E3563D54-B77C-418B-B615-4A5AB40BBA45}" name="resultados_oct" displayName="resultados_oct" ref="J6:O45" totalsRowShown="0">
  <sortState xmlns:xlrd2="http://schemas.microsoft.com/office/spreadsheetml/2017/richdata2" ref="J7:N40">
    <sortCondition descending="1" ref="L8:L42"/>
  </sortState>
  <tableColumns count="6">
    <tableColumn id="6" xr3:uid="{016B5A0F-2F8A-4B77-B7D7-27FB3449C9F8}" name="Mes" dataDxfId="159"/>
    <tableColumn id="5" xr3:uid="{362CE7CC-C8D0-4AB5-B1A1-4F763121F2BA}" name="Posición">
      <calculatedColumnFormula>INDEX(apuestas_oct24[orden],MATCH(resultados_oct[Apuesta MiniPorra],apuestas_oct24[Apuesta Miniporra],0))</calculatedColumnFormula>
    </tableColumn>
    <tableColumn id="1" xr3:uid="{744A1E51-7D91-40A7-B82F-74243430D9E4}" name="Nombre ">
      <calculatedColumnFormula>apuestas_oct24[[#This Row],[Nombre]]</calculatedColumnFormula>
    </tableColumn>
    <tableColumn id="2" xr3:uid="{061A1B66-447F-42AF-8808-DEF46B7D68B8}" name="Apuesta MiniPorra" dataDxfId="158">
      <calculatedColumnFormula>apuestas_oct24[[#This Row],[Apuesta Miniporra]]</calculatedColumnFormula>
    </tableColumn>
    <tableColumn id="3" xr3:uid="{EA017350-3546-4D8E-BDC7-24ECF5E32947}" name="Desvío">
      <calculatedColumnFormula>INDEX(apuestas_oct24[desvio],MATCH(resultados_oct[[#This Row],[Apuesta MiniPorra]],apuestas_oct24[Apuesta Miniporra],0))</calculatedColumnFormula>
    </tableColumn>
    <tableColumn id="4" xr3:uid="{C34B7478-2CC2-4028-BDA8-7192E73FD469}" name="% Desvío">
      <calculatedColumnFormula>INDEX(apuestas_oct24[desvio %],MATCH(resultados_oct[[#This Row],[Apuesta MiniPorra]],apuestas_oct24[Apuesta Miniporra],0))</calculatedColumnFormula>
    </tableColumn>
  </tableColumns>
  <tableStyleInfo name="TableStyleMedium1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C1CEA2A-5997-4709-AD58-39CF636A284D}" name="apuestas_oct24" displayName="apuestas_oct24" ref="A6:H45" tableType="queryTable" totalsRowShown="0">
  <autoFilter ref="A6:H45" xr:uid="{B6B13BDB-3E3E-4A3C-AB91-832241C754AA}"/>
  <sortState xmlns:xlrd2="http://schemas.microsoft.com/office/spreadsheetml/2017/richdata2" ref="A7:H45">
    <sortCondition descending="1" ref="C6:C45"/>
  </sortState>
  <tableColumns count="8">
    <tableColumn id="6" xr3:uid="{E0CA13DB-D81A-4FBF-B724-323B39A0637B}" uniqueName="6" name="Mes de apuesta" queryTableFieldId="1" dataDxfId="157"/>
    <tableColumn id="2" xr3:uid="{082BC787-7CCE-4B19-9317-B2023D6BFE7C}" uniqueName="2" name="Nombre" queryTableFieldId="2" dataDxfId="156"/>
    <tableColumn id="3" xr3:uid="{56707A50-48FE-433D-B521-6889FCC0190C}" uniqueName="3" name="Apuesta Miniporra" queryTableFieldId="3" dataDxfId="155"/>
    <tableColumn id="4" xr3:uid="{01CE1579-0D95-4C91-8DE7-43D309136CE1}" uniqueName="4" name="Comentario opcional sobre el mes (a ver si hay algún razonamiento, o pura potra!)" queryTableFieldId="4" dataDxfId="154"/>
    <tableColumn id="5" xr3:uid="{C7B64C02-5D16-4365-9907-2E4F81C44BE1}" uniqueName="5" name="Nick" queryTableFieldId="5" dataDxfId="153"/>
    <tableColumn id="7" xr3:uid="{BBCEB654-A2F4-427D-9646-642D9B6C599E}" uniqueName="7" name="desvio" queryTableFieldId="6" dataDxfId="152">
      <calculatedColumnFormula>apuestas_oct24[[#This Row],[Apuesta Miniporra]]-$B$3</calculatedColumnFormula>
    </tableColumn>
    <tableColumn id="8" xr3:uid="{55600DD1-CB85-4C53-9F65-A9059A5A1847}" uniqueName="8" name="desvio %" queryTableFieldId="7" dataDxfId="151" dataCellStyle="Porcentaje">
      <calculatedColumnFormula>ABS(apuestas_oct24[[#This Row],[desvio]])/$B$3</calculatedColumnFormula>
    </tableColumn>
    <tableColumn id="9" xr3:uid="{AD1FDD2E-1C39-4D01-AABF-6B43092B8687}" uniqueName="9" name="orden" queryTableFieldId="8" dataDxfId="150">
      <calculatedColumnFormula>_xlfn.RANK.EQ(apuestas_oct24[[#This Row],[desvio %]],apuestas_oct24[desvio %],1)</calculatedColumnFormula>
    </tableColumn>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74C5C8E9-C88F-4D9A-A9E1-67DC840C3ADC}" name="Tabla4247515559" displayName="Tabla4247515559" ref="P6:Q37" totalsRowShown="0" headerRowDxfId="149" dataDxfId="148" dataCellStyle="Porcentaje">
  <tableColumns count="2">
    <tableColumn id="1" xr3:uid="{CEA23670-B0B2-40A7-B83D-077D9B8DD811}" name="dia" dataDxfId="147" dataCellStyle="Porcentaje"/>
    <tableColumn id="2" xr3:uid="{E30E75B1-B4B5-4972-980A-AD6FA05E2983}" name="€/MWh" dataDxfId="146" dataCellStyle="Porcentaje">
      <calculatedColumnFormula>IF(ISBLANK(omie!AB5),"",omie!AC5)</calculatedColumnFormula>
    </tableColumn>
  </tableColumns>
  <tableStyleInfo name="TableStyleMedium10"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8:C38" totalsRowShown="0" headerRowDxfId="145">
  <tableColumns count="2">
    <tableColumn id="1" xr3:uid="{35DF48D8-C743-4C9F-921B-A1FC958186C3}" name="dia" dataDxfId="144"/>
    <tableColumn id="2" xr3:uid="{9841945D-0A16-4A16-BCE9-26670D0633AA}" name="€/MWh" dataDxfId="143">
      <calculatedColumnFormula>IFERROR(oct!Q7,"")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1B9B17E3-3A1F-4773-BCAC-9C4B7A5E6F1D}" name="Tabla43" displayName="Tabla43" ref="K7:R46" totalsRowShown="0" headerRowDxfId="142" dataDxfId="141">
  <tableColumns count="8">
    <tableColumn id="9" xr3:uid="{135DEB76-9113-4ED8-912B-5FC429B3735E}" name="Pos" dataDxfId="140">
      <calculatedColumnFormula>oct!K7</calculatedColumnFormula>
    </tableColumn>
    <tableColumn id="1" xr3:uid="{C1077472-5E08-4542-8973-2E3208450262}" name="Participante">
      <calculatedColumnFormula>oct!L7</calculatedColumnFormula>
    </tableColumn>
    <tableColumn id="2" xr3:uid="{52380920-90EB-44DF-AA67-8F826EBB8692}" name="apuesta" dataDxfId="139">
      <calculatedColumnFormula>oct!M7</calculatedColumnFormula>
    </tableColumn>
    <tableColumn id="3" xr3:uid="{B12D294F-B954-460C-9AAC-22D64E4B1BA8}" name="dif s/anterior" dataDxfId="138">
      <calculatedColumnFormula>M8-M9</calculatedColumnFormula>
    </tableColumn>
    <tableColumn id="4" xr3:uid="{3B455DC0-3CC7-4D0E-9042-001BF98F1C84}" name="limite inf" dataDxfId="137">
      <calculatedColumnFormula>M8-N8/2</calculatedColumnFormula>
    </tableColumn>
    <tableColumn id="5" xr3:uid="{DBF6BFE5-E5D0-45E7-AAEA-30CB0336EC13}" name="límite sup" dataDxfId="136">
      <calculatedColumnFormula>O7</calculatedColumnFormula>
    </tableColumn>
    <tableColumn id="7" xr3:uid="{E358B585-EA18-47BB-8FEF-852FB94FA3A9}" name="omie inf" dataDxfId="135">
      <calculatedColumnFormula>R9</calculatedColumnFormula>
    </tableColumn>
    <tableColumn id="8" xr3:uid="{E8A57C89-FBDF-4AA4-A9A8-15408D1067F9}" name="omie sup" dataDxfId="134">
      <calculatedColumnFormula>W8/$O$3</calculatedColumnFormula>
    </tableColumn>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A4B3FBD-9D31-4C05-977F-B736454840C8}" name="Tabla41" displayName="Tabla41" ref="A58:B97" totalsRowShown="0">
  <autoFilter ref="A58:B97" xr:uid="{CA4B3FBD-9D31-4C05-977F-B736454840C8}"/>
  <sortState xmlns:xlrd2="http://schemas.microsoft.com/office/spreadsheetml/2017/richdata2" ref="A59:B97">
    <sortCondition ref="B58:B97"/>
  </sortState>
  <tableColumns count="2">
    <tableColumn id="1" xr3:uid="{3E62C92D-D748-45CF-88B7-8B98A8B46DC7}" name="Nombre"/>
    <tableColumn id="2" xr3:uid="{46A62D0D-047B-48D2-9360-A3811F668D89}" name="apuesta" dataDxfId="133"/>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32"/>
    <tableColumn id="2" xr3:uid="{B74B277F-3EA1-4B86-BA13-AB707542DEC3}" uniqueName="2" name="RE media" queryTableFieldId="2" dataDxfId="31"/>
    <tableColumn id="3" xr3:uid="{7AF76DDC-047D-4719-8689-D2F7BFC8F171}" uniqueName="3" name="TCC media" queryTableFieldId="3" dataDxfId="30"/>
    <tableColumn id="4" xr3:uid="{356021E6-447F-4237-9628-8EE14FDF0DF6}" uniqueName="4" name="HI media" queryTableFieldId="4" dataDxfId="29"/>
    <tableColumn id="5" xr3:uid="{722AEE7E-A90E-44DF-ADF8-F2B0FA8C07FC}" uniqueName="5" name="OMIE" queryTableFieldId="5" dataDxfId="28"/>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27"/>
    <tableColumn id="2" xr3:uid="{0D2884B0-F8E6-4046-960C-92B6BB12AD60}" uniqueName="2" name="Mibgas D+1" queryTableFieldId="2" dataDxfId="26"/>
    <tableColumn id="3" xr3:uid="{F403C042-6C6B-4265-9744-654D84EC9366}" uniqueName="3" name="Media mensual" queryTableFieldId="3" dataDxfId="25"/>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24"/>
    <tableColumn id="2" xr3:uid="{0AAC8E48-3106-45C5-BD15-5C2D7DCC0492}" uniqueName="2" name="€/Ton" queryTableFieldId="2" dataDxfId="23"/>
    <tableColumn id="3" xr3:uid="{663199BC-268D-4661-9652-DF21A4887E93}" uniqueName="3" name="Media mensual" queryTableFieldId="3" dataDxfId="22"/>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21"/>
    <tableColumn id="2" xr3:uid="{86358F3D-5E83-44C8-96D1-7642D890E1CC}" uniqueName="2" name="Omie media mensual (€/MWh)" queryTableFieldId="2" dataDxfId="20"/>
    <tableColumn id="3" xr3:uid="{2965D49F-4277-4D41-BC17-2FFA3690E718}" uniqueName="3" name="Omie media diaria" queryTableFieldId="3" dataDxfId="19"/>
    <tableColumn id="4" xr3:uid="{8F682861-559E-4A0A-8B35-1534F8A5F69F}" uniqueName="4" name="% Horas RE" queryTableFieldId="4" dataDxfId="18"/>
    <tableColumn id="5" xr3:uid="{344D2180-B89F-4486-BC79-F47F0F44DADB}" uniqueName="5" name="Media RE" queryTableFieldId="5" dataDxfId="17"/>
    <tableColumn id="6" xr3:uid="{A36E75B8-8FD4-4C99-9725-6E3DA266953A}" uniqueName="6" name="% Horas TCC" queryTableFieldId="6" dataDxfId="16"/>
    <tableColumn id="7" xr3:uid="{43A6144B-7FD2-40F0-B6ED-D5E57CDFBAB3}" uniqueName="7" name="Media TCC" queryTableFieldId="7" dataDxfId="15"/>
    <tableColumn id="8" xr3:uid="{DA09BE26-A2F1-42A9-BA4D-7C9AE9DBD543}" uniqueName="8" name="% Horas HI" queryTableFieldId="8" dataDxfId="14"/>
    <tableColumn id="9" xr3:uid="{A91EC14A-FF51-4D62-91D0-937E724D6271}" uniqueName="9" name="Media HI" queryTableFieldId="9" dataDxfId="13"/>
    <tableColumn id="16" xr3:uid="{BF6E5F0C-B5E4-4FC0-A159-657DA0ABF921}" uniqueName="16" name="demanda GWh" queryTableFieldId="17" dataDxfId="12"/>
    <tableColumn id="1" xr3:uid="{B592C603-FE74-4AAC-A7C1-ECEAD3B3AE21}" uniqueName="1" name="Precio RE" queryTableFieldId="11" dataDxfId="11"/>
    <tableColumn id="11" xr3:uid="{C1508DD3-459F-4835-BBDF-8C2A8B2FDFE7}" uniqueName="11" name="Precio medio RE" queryTableFieldId="12" dataDxfId="10"/>
    <tableColumn id="12" xr3:uid="{9026679D-B662-4523-973E-EA357394609B}" uniqueName="12" name="Precio TCC" queryTableFieldId="13" dataDxfId="9"/>
    <tableColumn id="13" xr3:uid="{CC7FB6CB-EEDE-4ED3-9DA5-F327C6E5A005}" uniqueName="13" name="Precio medio TCC" queryTableFieldId="14" dataDxfId="8"/>
    <tableColumn id="14" xr3:uid="{A9F3EF14-38B3-40EF-99B0-680C34ED4F7C}" uniqueName="14" name="Precio HI" queryTableFieldId="15" dataDxfId="7"/>
    <tableColumn id="15" xr3:uid="{8AA8DD72-56CF-4570-AB9C-E4009ED6B6EF}" uniqueName="15" name="Precio medio HI" queryTableFieldId="16" dataDxfId="6"/>
    <tableColumn id="17" xr3:uid="{B2E69756-B019-4223-9637-3598684CE6DE}" uniqueName="17" name="demanda grafico" queryTableFieldId="19" dataDxfId="5">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132">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131" dataCellStyle="Porcentaje"/>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130">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129"/>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128" dataCellStyle="Porcentaje"/>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127">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126" dataCellStyle="Porcentaje"/>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C1:AH44" tableType="queryTable" totalsRowShown="0">
  <autoFilter ref="AC1:AH44" xr:uid="{63607D55-E26F-4B5E-B092-0C7DDF8F47B4}"/>
  <sortState xmlns:xlrd2="http://schemas.microsoft.com/office/spreadsheetml/2017/richdata2" ref="AC2:AH44">
    <sortCondition ref="AE1:AE44"/>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125"/>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7"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963405C-3547-4AF7-864C-3C77B0C3E9DB}" name="resultados_jun_2" displayName="resultados_jun_2" ref="A41:F94" tableType="queryTable" totalsRowShown="0">
  <autoFilter ref="A41:F94" xr:uid="{D963405C-3547-4AF7-864C-3C77B0C3E9DB}"/>
  <tableColumns count="6">
    <tableColumn id="7" xr3:uid="{8755AB80-654E-4075-B274-B4A77E9D586D}" uniqueName="7" name="Mes" queryTableFieldId="1"/>
    <tableColumn id="2" xr3:uid="{54FD0F1F-D3A9-49C3-9493-8600F44CFB68}" uniqueName="2" name="Posición" queryTableFieldId="2"/>
    <tableColumn id="3" xr3:uid="{64BEF752-38DE-4620-B9C3-3DBC70F39641}" uniqueName="3" name="Nombre " queryTableFieldId="3" dataDxfId="124"/>
    <tableColumn id="4" xr3:uid="{40C49A7A-016F-4AE4-AA8D-183BEEF4F6AE}" uniqueName="4" name="Apuesta MiniPorra" queryTableFieldId="4"/>
    <tableColumn id="5" xr3:uid="{2B7FFA0E-0DAC-4E1D-A1E0-5A08ABD65755}" uniqueName="5" name="Desvío" queryTableFieldId="5"/>
    <tableColumn id="6" xr3:uid="{7722ED83-5E17-4E20-B730-EB20F2FD7565}" uniqueName="6" name="% Desvío" queryTableFieldId="6"/>
  </tableColumns>
  <tableStyleInfo name="TableStyleMedium10"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N100" tableType="queryTable" totalsRowShown="0">
  <autoFilter ref="A1:N100" xr:uid="{99D01F56-7781-4CA0-B998-CED85D915683}"/>
  <sortState xmlns:xlrd2="http://schemas.microsoft.com/office/spreadsheetml/2017/richdata2" ref="A2:N100">
    <sortCondition descending="1" ref="L1:L100"/>
  </sortState>
  <tableColumns count="14">
    <tableColumn id="5" xr3:uid="{D7A0D433-F982-4BB2-AE1F-A9386DB3D1D0}" uniqueName="5" name="Nombre " queryTableFieldId="1" dataDxfId="2"/>
    <tableColumn id="1" xr3:uid="{04B083F6-3713-483D-966D-F8C347D0438E}" uniqueName="1" name="ene-24" queryTableFieldId="16"/>
    <tableColumn id="2" xr3:uid="{82D7E4BD-5029-4DEA-A033-340BE47BF7B3}" uniqueName="2" name="feb-24" queryTableFieldId="17"/>
    <tableColumn id="3" xr3:uid="{5FAF1347-FAEE-42D2-95C5-5B97E342D7BB}" uniqueName="3" name="mar-24" queryTableFieldId="18"/>
    <tableColumn id="4" xr3:uid="{407366AB-46E6-4658-97B0-035C420927E9}" uniqueName="4" name="abr-24" queryTableFieldId="19"/>
    <tableColumn id="7" xr3:uid="{DE4AAC00-7719-49FA-90AC-EC420AA5B2D8}" uniqueName="7" name="may-24" queryTableFieldId="20"/>
    <tableColumn id="10" xr3:uid="{B7B78CED-4D7D-471E-A4F8-1D2AA4F84987}" uniqueName="10" name="jun-24" queryTableFieldId="21"/>
    <tableColumn id="11" xr3:uid="{685A049B-C773-406D-9774-01AF7B96265A}" uniqueName="11" name="jul-24" queryTableFieldId="22"/>
    <tableColumn id="12" xr3:uid="{11D972F3-0250-4D46-A03D-A361ACB75784}" uniqueName="12" name="ago-24" queryTableFieldId="23"/>
    <tableColumn id="13" xr3:uid="{FBDD8939-081F-411C-90CB-9B8F90AC2197}" uniqueName="13" name="sep-24" queryTableFieldId="24"/>
    <tableColumn id="14" xr3:uid="{D87EDAFA-E142-4FB7-8ED7-7B8DC6D3A61E}" uniqueName="14" name="oct-24" queryTableFieldId="25"/>
    <tableColumn id="8" xr3:uid="{CF39BE51-3759-4AF8-86DF-695E3E5DBE90}" uniqueName="8" name="contar" queryTableFieldId="8" dataDxfId="1">
      <calculatedColumnFormula>$AA$2- COUNTIF(acumulado_porcentaje[[#This Row],[ene-24]:[oct-24]],"")</calculatedColumnFormula>
    </tableColumn>
    <tableColumn id="6" xr3:uid="{F422233D-9EA7-4ED2-BEAE-280E8F52F342}" uniqueName="6" name="%_desvio" queryTableFieldId="5" dataDxfId="0" dataCellStyle="Porcentaje">
      <calculatedColumnFormula>IF(acumulado_porcentaje[[#This Row],[contar]]&gt;=$AA$3,SUM(SMALL(#REF!,1),SMALL(#REF!,2),SMALL(#REF!,3),SMALL(#REF!,4),SMALL(#REF!,5),SMALL(#REF!,6),SMALL(#REF!,7)),"#N/A")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L96" tableType="queryTable" totalsRowShown="0">
  <autoFilter ref="A1:L96" xr:uid="{B838869A-1230-415F-BD15-2C39570C416F}"/>
  <sortState xmlns:xlrd2="http://schemas.microsoft.com/office/spreadsheetml/2017/richdata2" ref="A2:L96">
    <sortCondition ref="L1:L96"/>
  </sortState>
  <tableColumns count="12">
    <tableColumn id="5" xr3:uid="{E5AB4977-2336-4DD1-8375-20FB68CD8070}" uniqueName="5" name="Nombre " queryTableFieldId="1" dataDxfId="123"/>
    <tableColumn id="2" xr3:uid="{273CF2E4-AA71-4A38-8B09-B8C4341C8BDA}" uniqueName="2" name="Ene 2024" queryTableFieldId="2" dataDxfId="122"/>
    <tableColumn id="3" xr3:uid="{10CBB1D1-D219-4B55-BDE4-8EBED44AAD0D}" uniqueName="3" name="Feb 2024" queryTableFieldId="3" dataDxfId="121"/>
    <tableColumn id="4" xr3:uid="{E635CB03-C1F9-4F40-971A-E2B6D93952B0}" uniqueName="4" name="Mar 2024" queryTableFieldId="4" dataDxfId="120"/>
    <tableColumn id="7" xr3:uid="{C792BDFC-C6BD-4506-95F2-264CB023586B}" uniqueName="7" name="Abr 2024" queryTableFieldId="7" dataDxfId="119"/>
    <tableColumn id="8" xr3:uid="{076F50CE-D8CB-4583-BF97-B98AF7B51650}" uniqueName="8" name="May 2024" queryTableFieldId="11"/>
    <tableColumn id="9" xr3:uid="{75E9DDD2-FEED-45B5-9DB7-6DF2ACEECBAF}" uniqueName="9" name="Jun 2024" queryTableFieldId="12"/>
    <tableColumn id="1" xr3:uid="{C7BB0502-6AFA-400F-811D-C4FB87CEB76D}" uniqueName="1" name="Jul 2024" queryTableFieldId="13"/>
    <tableColumn id="10" xr3:uid="{4E0AEC6C-905E-4E79-8239-2CBE6E8BC318}" uniqueName="10" name="Ago 2024" queryTableFieldId="14"/>
    <tableColumn id="12" xr3:uid="{7EF71847-8C72-480D-B7D9-044A4395E459}" uniqueName="12" name="Sep 2024" queryTableFieldId="15"/>
    <tableColumn id="11" xr3:uid="{D61730BA-7F95-4BFA-B76C-7E30D023B6F2}" uniqueName="11" name="contar" queryTableFieldId="10" dataDxfId="118">
      <calculatedColumnFormula>acum_porc!$AA$2- COUNTIF(acumulado_absoluto[[#This Row],[Ene 2024]:[Ago 2024]],"")</calculatedColumnFormula>
    </tableColumn>
    <tableColumn id="6" xr3:uid="{650181F5-E014-4486-A01F-0C1AF56FBFCD}" uniqueName="6" name="min" queryTableFieldId="5" dataDxfId="117">
      <calculatedColumnFormula>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calculatedColumnFormula>
    </tableColumn>
  </tableColumns>
  <tableStyleInfo name="TableStyleMedium7"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otalsRowShown="0">
  <autoFilter ref="A1:F64" xr:uid="{1AC15776-3B16-4651-8B0B-E14FB0675A2E}"/>
  <tableColumns count="6">
    <tableColumn id="5" xr3:uid="{6369EE80-96C8-4269-958E-F699720BE8DC}" name="Nombre " dataDxfId="116"/>
    <tableColumn id="2" xr3:uid="{DA5AD0F9-3C4A-4B14-A66A-EBE608E14AA8}" name="Ene 2024" dataDxfId="115"/>
    <tableColumn id="3" xr3:uid="{B787E4BE-874B-4009-BA0D-80194F8C68DE}" name="Feb 2024" dataDxfId="114"/>
    <tableColumn id="4" xr3:uid="{A7428946-38B4-4AB4-9D18-6C838A9D5D0A}" name="Mar 2024" dataDxfId="113"/>
    <tableColumn id="7" xr3:uid="{5EB3169B-8C9C-4FEA-A8EE-C2B6CA065642}" name="Abr 2024"/>
    <tableColumn id="6" xr3:uid="{7F64FAE5-E722-4B80-ADFA-5A66E4A2C6B0}" name="porras" dataDxfId="112">
      <calculatedColumnFormula>COUNTA(acumulado_porcentaje_SIN_MAYO[[#This Row],[Ene 2024]:[Abr 2024]])</calculatedColumnFormula>
    </tableColumn>
  </tableColumns>
  <tableStyleInfo name="TableStyleMedium7"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92" tableType="queryTable" totalsRowShown="0">
  <autoFilter ref="A1:C92" xr:uid="{BEFB6CA3-7FEF-4445-A951-D80FD188F387}"/>
  <tableColumns count="3">
    <tableColumn id="4" xr3:uid="{C17A4293-7835-4681-A02B-6A7DA0D49887}" uniqueName="4" name="Nombre" queryTableFieldId="1" dataDxfId="111"/>
    <tableColumn id="2" xr3:uid="{14F77757-EE54-4FB2-9C68-4DD49DBC430F}" uniqueName="2" name="Apellidos" queryTableFieldId="2" dataDxfId="110"/>
    <tableColumn id="3" xr3:uid="{363B3867-DD54-4836-9944-787B922003EA}" uniqueName="3" name="Nick (o nombre corto)" queryTableFieldId="3" dataDxfId="109"/>
  </tableColumns>
  <tableStyleInfo name="TableStyleMedium7"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902B4B06-2D3E-46A6-A430-7E39505E4406}" name="apuestas_2024" displayName="apuestas_2024" ref="A1:C392" tableType="queryTable" totalsRowShown="0">
  <autoFilter ref="A1:C392" xr:uid="{902B4B06-2D3E-46A6-A430-7E39505E4406}"/>
  <tableColumns count="3">
    <tableColumn id="4" xr3:uid="{192067B6-B074-44ED-9EC2-87B2AA94A2C9}" uniqueName="4" name="mes" queryTableFieldId="1" dataDxfId="108"/>
    <tableColumn id="2" xr3:uid="{7697E439-6490-407A-ADFC-9CFDF31919E1}" uniqueName="2" name="Nombre " queryTableFieldId="2" dataDxfId="107"/>
    <tableColumn id="3" xr3:uid="{CC2BD3A9-C0B2-4598-92A2-EF281424F699}" uniqueName="3" name="apuesta" queryTableFieldId="3"/>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ctrlProp" Target="../ctrlProps/ctrlProp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5.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ctrlProp" Target="../ctrlProps/ctrlProp6.xml"/><Relationship Id="rId7" Type="http://schemas.openxmlformats.org/officeDocument/2006/relationships/table" Target="../tables/table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ctrlProp" Target="../ctrlProps/ctrlProp9.xml"/><Relationship Id="rId7" Type="http://schemas.openxmlformats.org/officeDocument/2006/relationships/table" Target="../tables/table22.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2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ctrlProp" Target="../ctrlProps/ctrlProp13.xml"/><Relationship Id="rId7" Type="http://schemas.openxmlformats.org/officeDocument/2006/relationships/table" Target="../tables/table25.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ctrlProp" Target="../ctrlProps/ctrlProp17.xml"/><Relationship Id="rId7" Type="http://schemas.openxmlformats.org/officeDocument/2006/relationships/table" Target="../tables/table28.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30.xml"/></Relationships>
</file>

<file path=xl/worksheets/_rels/sheet9.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ctrlProp" Target="../ctrlProps/ctrlProp21.xml"/><Relationship Id="rId7" Type="http://schemas.openxmlformats.org/officeDocument/2006/relationships/table" Target="../tables/table31.xml"/><Relationship Id="rId2" Type="http://schemas.openxmlformats.org/officeDocument/2006/relationships/vmlDrawing" Target="../drawings/vmlDrawing8.vml"/><Relationship Id="rId1" Type="http://schemas.openxmlformats.org/officeDocument/2006/relationships/drawing" Target="../drawings/drawing12.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table" Target="../tables/table33.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ctrlProp" Target="../ctrlProps/ctrlProp25.xml"/><Relationship Id="rId7" Type="http://schemas.openxmlformats.org/officeDocument/2006/relationships/table" Target="../tables/table34.xml"/><Relationship Id="rId2" Type="http://schemas.openxmlformats.org/officeDocument/2006/relationships/vmlDrawing" Target="../drawings/vmlDrawing9.vml"/><Relationship Id="rId1" Type="http://schemas.openxmlformats.org/officeDocument/2006/relationships/drawing" Target="../drawings/drawing14.x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8.xml"/><Relationship Id="rId3" Type="http://schemas.openxmlformats.org/officeDocument/2006/relationships/ctrlProp" Target="../ctrlProps/ctrlProp29.xml"/><Relationship Id="rId7" Type="http://schemas.openxmlformats.org/officeDocument/2006/relationships/table" Target="../tables/table37.xml"/><Relationship Id="rId2" Type="http://schemas.openxmlformats.org/officeDocument/2006/relationships/vmlDrawing" Target="../drawings/vmlDrawing10.vml"/><Relationship Id="rId1" Type="http://schemas.openxmlformats.org/officeDocument/2006/relationships/drawing" Target="../drawings/drawing17.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41.xml"/><Relationship Id="rId3" Type="http://schemas.openxmlformats.org/officeDocument/2006/relationships/ctrlProp" Target="../ctrlProps/ctrlProp33.xml"/><Relationship Id="rId7" Type="http://schemas.openxmlformats.org/officeDocument/2006/relationships/table" Target="../tables/table40.xml"/><Relationship Id="rId2" Type="http://schemas.openxmlformats.org/officeDocument/2006/relationships/vmlDrawing" Target="../drawings/vmlDrawing11.vml"/><Relationship Id="rId1" Type="http://schemas.openxmlformats.org/officeDocument/2006/relationships/drawing" Target="../drawings/drawing2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table" Target="../tables/table4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drawing" Target="../drawings/drawing2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24.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table" Target="../tables/table47.xml"/><Relationship Id="rId1" Type="http://schemas.openxmlformats.org/officeDocument/2006/relationships/table" Target="../tables/table46.xml"/><Relationship Id="rId4" Type="http://schemas.openxmlformats.org/officeDocument/2006/relationships/table" Target="../tables/table49.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table" Target="../tables/table50.xml"/><Relationship Id="rId5" Type="http://schemas.openxmlformats.org/officeDocument/2006/relationships/table" Target="../tables/table54.xml"/><Relationship Id="rId4" Type="http://schemas.openxmlformats.org/officeDocument/2006/relationships/table" Target="../tables/table5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drawing" Target="../drawings/drawing26.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56.xml"/><Relationship Id="rId1" Type="http://schemas.openxmlformats.org/officeDocument/2006/relationships/drawing" Target="../drawings/drawing2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57.xml"/><Relationship Id="rId1" Type="http://schemas.openxmlformats.org/officeDocument/2006/relationships/pivotTable" Target="../pivotTables/pivotTable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58.xml"/><Relationship Id="rId1" Type="http://schemas.openxmlformats.org/officeDocument/2006/relationships/printerSettings" Target="../printerSettings/printerSettings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5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373"/>
  <sheetViews>
    <sheetView workbookViewId="0">
      <selection activeCell="D16" sqref="D16"/>
    </sheetView>
  </sheetViews>
  <sheetFormatPr baseColWidth="10" defaultRowHeight="12" x14ac:dyDescent="0.2"/>
  <cols>
    <col min="1" max="1" width="16" bestFit="1" customWidth="1"/>
    <col min="2" max="2" width="14.140625" bestFit="1" customWidth="1"/>
    <col min="3" max="3" width="23.570312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26.28515625" bestFit="1" customWidth="1"/>
    <col min="10" max="10" width="21.5703125" bestFit="1" customWidth="1"/>
    <col min="11" max="11" width="81.140625" bestFit="1" customWidth="1"/>
    <col min="12" max="12" width="20.85546875" bestFit="1" customWidth="1"/>
  </cols>
  <sheetData>
    <row r="1" spans="1:8" x14ac:dyDescent="0.2">
      <c r="A1" t="s">
        <v>16</v>
      </c>
      <c r="B1" t="s">
        <v>233</v>
      </c>
      <c r="C1" t="s">
        <v>485</v>
      </c>
      <c r="D1" t="s">
        <v>17</v>
      </c>
      <c r="E1" t="s">
        <v>18</v>
      </c>
      <c r="F1" t="s">
        <v>19</v>
      </c>
      <c r="G1" t="s">
        <v>20</v>
      </c>
      <c r="H1" t="s">
        <v>21</v>
      </c>
    </row>
    <row r="2" spans="1:8" x14ac:dyDescent="0.2">
      <c r="A2" s="20">
        <v>45535.766319444447</v>
      </c>
      <c r="B2" t="s">
        <v>1037</v>
      </c>
      <c r="C2" t="s">
        <v>1038</v>
      </c>
      <c r="D2" t="s">
        <v>118</v>
      </c>
      <c r="E2" t="s">
        <v>1039</v>
      </c>
      <c r="F2" t="s">
        <v>1040</v>
      </c>
      <c r="G2" t="s">
        <v>118</v>
      </c>
      <c r="H2" t="s">
        <v>1041</v>
      </c>
    </row>
    <row r="3" spans="1:8" x14ac:dyDescent="0.2">
      <c r="A3" s="20">
        <v>45535.511273148149</v>
      </c>
      <c r="B3" t="s">
        <v>28</v>
      </c>
      <c r="C3" t="s">
        <v>441</v>
      </c>
      <c r="D3" t="s">
        <v>118</v>
      </c>
      <c r="E3" t="s">
        <v>1039</v>
      </c>
      <c r="F3" t="s">
        <v>1042</v>
      </c>
      <c r="G3" t="s">
        <v>118</v>
      </c>
      <c r="H3" t="s">
        <v>535</v>
      </c>
    </row>
    <row r="4" spans="1:8" x14ac:dyDescent="0.2">
      <c r="A4" s="20">
        <v>45535.066736111112</v>
      </c>
      <c r="B4" t="s">
        <v>28</v>
      </c>
      <c r="C4" t="s">
        <v>323</v>
      </c>
      <c r="D4" t="s">
        <v>118</v>
      </c>
      <c r="E4" t="s">
        <v>1039</v>
      </c>
      <c r="F4" t="s">
        <v>1043</v>
      </c>
      <c r="G4" t="s">
        <v>1044</v>
      </c>
      <c r="H4" t="s">
        <v>2</v>
      </c>
    </row>
    <row r="5" spans="1:8" x14ac:dyDescent="0.2">
      <c r="A5" s="20">
        <v>45534.975648148145</v>
      </c>
      <c r="B5" t="s">
        <v>342</v>
      </c>
      <c r="C5" t="s">
        <v>211</v>
      </c>
      <c r="D5" t="s">
        <v>118</v>
      </c>
      <c r="E5" t="s">
        <v>1039</v>
      </c>
      <c r="F5" t="s">
        <v>1045</v>
      </c>
      <c r="G5" t="s">
        <v>118</v>
      </c>
      <c r="H5" t="s">
        <v>1046</v>
      </c>
    </row>
    <row r="6" spans="1:8" x14ac:dyDescent="0.2">
      <c r="A6" s="20">
        <v>45534.909780092596</v>
      </c>
      <c r="B6" t="s">
        <v>531</v>
      </c>
      <c r="C6" t="s">
        <v>293</v>
      </c>
      <c r="D6" t="s">
        <v>118</v>
      </c>
      <c r="E6" t="s">
        <v>1039</v>
      </c>
      <c r="F6" t="s">
        <v>1047</v>
      </c>
      <c r="G6" t="s">
        <v>118</v>
      </c>
      <c r="H6" t="s">
        <v>531</v>
      </c>
    </row>
    <row r="7" spans="1:8" x14ac:dyDescent="0.2">
      <c r="A7" s="20">
        <v>45534.772719907407</v>
      </c>
      <c r="B7" t="s">
        <v>76</v>
      </c>
      <c r="C7" t="s">
        <v>77</v>
      </c>
      <c r="D7" t="s">
        <v>118</v>
      </c>
      <c r="E7" t="s">
        <v>1039</v>
      </c>
      <c r="F7" t="s">
        <v>1048</v>
      </c>
      <c r="G7" t="s">
        <v>118</v>
      </c>
      <c r="H7" t="s">
        <v>76</v>
      </c>
    </row>
    <row r="8" spans="1:8" x14ac:dyDescent="0.2">
      <c r="A8" s="20">
        <v>45534.770127314812</v>
      </c>
      <c r="B8" t="s">
        <v>175</v>
      </c>
      <c r="C8" t="s">
        <v>23</v>
      </c>
      <c r="D8" t="s">
        <v>118</v>
      </c>
      <c r="E8" t="s">
        <v>1039</v>
      </c>
      <c r="F8" t="s">
        <v>1049</v>
      </c>
      <c r="G8" t="s">
        <v>1050</v>
      </c>
      <c r="H8" t="s">
        <v>178</v>
      </c>
    </row>
    <row r="9" spans="1:8" x14ac:dyDescent="0.2">
      <c r="A9" s="20">
        <v>45534.740254629629</v>
      </c>
      <c r="B9" t="s">
        <v>382</v>
      </c>
      <c r="C9" t="s">
        <v>182</v>
      </c>
      <c r="D9" t="s">
        <v>118</v>
      </c>
      <c r="E9" t="s">
        <v>1039</v>
      </c>
      <c r="F9" t="s">
        <v>1051</v>
      </c>
      <c r="G9" t="s">
        <v>118</v>
      </c>
      <c r="H9" t="s">
        <v>331</v>
      </c>
    </row>
    <row r="10" spans="1:8" x14ac:dyDescent="0.2">
      <c r="A10" s="20">
        <v>45534.696909722225</v>
      </c>
      <c r="B10" t="s">
        <v>282</v>
      </c>
      <c r="C10" t="s">
        <v>815</v>
      </c>
      <c r="D10" t="s">
        <v>118</v>
      </c>
      <c r="E10" t="s">
        <v>1039</v>
      </c>
      <c r="F10" t="s">
        <v>1052</v>
      </c>
      <c r="G10" t="s">
        <v>1053</v>
      </c>
      <c r="H10" t="s">
        <v>860</v>
      </c>
    </row>
    <row r="11" spans="1:8" x14ac:dyDescent="0.2">
      <c r="A11" s="20">
        <v>45534.696388888886</v>
      </c>
      <c r="B11" t="s">
        <v>138</v>
      </c>
      <c r="C11" t="s">
        <v>139</v>
      </c>
      <c r="D11" t="s">
        <v>118</v>
      </c>
      <c r="E11" t="s">
        <v>1039</v>
      </c>
      <c r="F11" t="s">
        <v>1054</v>
      </c>
      <c r="G11" t="s">
        <v>118</v>
      </c>
      <c r="H11" t="s">
        <v>451</v>
      </c>
    </row>
    <row r="12" spans="1:8" x14ac:dyDescent="0.2">
      <c r="A12" s="20">
        <v>45534.657037037039</v>
      </c>
      <c r="B12" t="s">
        <v>72</v>
      </c>
      <c r="C12" t="s">
        <v>124</v>
      </c>
      <c r="D12" t="s">
        <v>118</v>
      </c>
      <c r="E12" t="s">
        <v>1039</v>
      </c>
      <c r="F12" t="s">
        <v>1055</v>
      </c>
      <c r="G12" t="s">
        <v>118</v>
      </c>
      <c r="H12" t="s">
        <v>542</v>
      </c>
    </row>
    <row r="13" spans="1:8" x14ac:dyDescent="0.2">
      <c r="A13" s="20">
        <v>45534.613067129627</v>
      </c>
      <c r="B13" t="s">
        <v>850</v>
      </c>
      <c r="C13" t="s">
        <v>851</v>
      </c>
      <c r="D13" t="s">
        <v>118</v>
      </c>
      <c r="E13" t="s">
        <v>1039</v>
      </c>
      <c r="F13" t="s">
        <v>1056</v>
      </c>
      <c r="G13" t="s">
        <v>118</v>
      </c>
      <c r="H13" t="s">
        <v>853</v>
      </c>
    </row>
    <row r="14" spans="1:8" x14ac:dyDescent="0.2">
      <c r="A14" s="20">
        <v>45534.577719907407</v>
      </c>
      <c r="B14" t="s">
        <v>298</v>
      </c>
      <c r="C14" t="s">
        <v>386</v>
      </c>
      <c r="D14" t="s">
        <v>118</v>
      </c>
      <c r="E14" t="s">
        <v>1039</v>
      </c>
      <c r="F14" t="s">
        <v>1057</v>
      </c>
      <c r="G14" t="s">
        <v>118</v>
      </c>
      <c r="H14" t="s">
        <v>467</v>
      </c>
    </row>
    <row r="15" spans="1:8" x14ac:dyDescent="0.2">
      <c r="A15" s="20">
        <v>45534.452916666669</v>
      </c>
      <c r="B15" t="s">
        <v>67</v>
      </c>
      <c r="C15" t="s">
        <v>68</v>
      </c>
      <c r="D15" t="s">
        <v>118</v>
      </c>
      <c r="E15" t="s">
        <v>1039</v>
      </c>
      <c r="F15" t="s">
        <v>1058</v>
      </c>
      <c r="G15" t="s">
        <v>1059</v>
      </c>
      <c r="H15" t="s">
        <v>67</v>
      </c>
    </row>
    <row r="16" spans="1:8" x14ac:dyDescent="0.2">
      <c r="A16" s="20">
        <v>45534.447604166664</v>
      </c>
      <c r="B16" t="s">
        <v>195</v>
      </c>
      <c r="C16" t="s">
        <v>196</v>
      </c>
      <c r="D16" t="s">
        <v>118</v>
      </c>
      <c r="E16" t="s">
        <v>1039</v>
      </c>
      <c r="F16" t="s">
        <v>1060</v>
      </c>
      <c r="G16" t="s">
        <v>118</v>
      </c>
      <c r="H16" t="s">
        <v>199</v>
      </c>
    </row>
    <row r="17" spans="1:8" x14ac:dyDescent="0.2">
      <c r="A17" s="20">
        <v>45534.435428240744</v>
      </c>
      <c r="B17" t="s">
        <v>204</v>
      </c>
      <c r="C17" t="s">
        <v>378</v>
      </c>
      <c r="D17" t="s">
        <v>118</v>
      </c>
      <c r="E17" t="s">
        <v>1039</v>
      </c>
      <c r="F17" t="s">
        <v>1061</v>
      </c>
      <c r="G17" t="s">
        <v>1062</v>
      </c>
      <c r="H17" t="s">
        <v>37</v>
      </c>
    </row>
    <row r="18" spans="1:8" x14ac:dyDescent="0.2">
      <c r="A18" s="20">
        <v>45533.933576388888</v>
      </c>
      <c r="B18" t="s">
        <v>135</v>
      </c>
      <c r="C18" t="s">
        <v>389</v>
      </c>
      <c r="D18" t="s">
        <v>118</v>
      </c>
      <c r="E18" t="s">
        <v>1039</v>
      </c>
      <c r="F18" t="s">
        <v>1063</v>
      </c>
      <c r="G18" t="s">
        <v>1064</v>
      </c>
      <c r="H18" t="s">
        <v>456</v>
      </c>
    </row>
    <row r="19" spans="1:8" x14ac:dyDescent="0.2">
      <c r="A19" s="20">
        <v>45533.925219907411</v>
      </c>
      <c r="B19" t="s">
        <v>729</v>
      </c>
      <c r="C19" t="s">
        <v>730</v>
      </c>
      <c r="D19" t="s">
        <v>118</v>
      </c>
      <c r="E19" t="s">
        <v>1039</v>
      </c>
      <c r="F19" t="s">
        <v>1065</v>
      </c>
      <c r="G19" t="s">
        <v>118</v>
      </c>
      <c r="H19" t="s">
        <v>733</v>
      </c>
    </row>
    <row r="20" spans="1:8" x14ac:dyDescent="0.2">
      <c r="A20" s="20">
        <v>45533.827199074076</v>
      </c>
      <c r="B20" t="s">
        <v>897</v>
      </c>
      <c r="C20" t="s">
        <v>1008</v>
      </c>
      <c r="D20" t="s">
        <v>118</v>
      </c>
      <c r="E20" t="s">
        <v>1039</v>
      </c>
      <c r="F20" t="s">
        <v>1066</v>
      </c>
      <c r="G20" t="s">
        <v>118</v>
      </c>
      <c r="H20" t="s">
        <v>935</v>
      </c>
    </row>
    <row r="21" spans="1:8" x14ac:dyDescent="0.2">
      <c r="A21" s="20">
        <v>45533.051874999997</v>
      </c>
      <c r="B21" t="s">
        <v>103</v>
      </c>
      <c r="C21" t="s">
        <v>104</v>
      </c>
      <c r="D21" t="s">
        <v>118</v>
      </c>
      <c r="E21" t="s">
        <v>1039</v>
      </c>
      <c r="F21" t="s">
        <v>1067</v>
      </c>
      <c r="G21" t="s">
        <v>118</v>
      </c>
      <c r="H21" t="s">
        <v>103</v>
      </c>
    </row>
    <row r="22" spans="1:8" x14ac:dyDescent="0.2">
      <c r="A22" s="20">
        <v>45532.724016203705</v>
      </c>
      <c r="B22" t="s">
        <v>33</v>
      </c>
      <c r="C22" t="s">
        <v>724</v>
      </c>
      <c r="D22" t="s">
        <v>118</v>
      </c>
      <c r="E22" t="s">
        <v>1039</v>
      </c>
      <c r="F22" t="s">
        <v>1068</v>
      </c>
      <c r="G22" t="s">
        <v>1069</v>
      </c>
      <c r="H22" t="s">
        <v>727</v>
      </c>
    </row>
    <row r="23" spans="1:8" x14ac:dyDescent="0.2">
      <c r="A23" s="20">
        <v>45532.478773148148</v>
      </c>
      <c r="B23" t="s">
        <v>28</v>
      </c>
      <c r="C23" t="s">
        <v>390</v>
      </c>
      <c r="D23" t="s">
        <v>118</v>
      </c>
      <c r="E23" t="s">
        <v>1039</v>
      </c>
      <c r="F23" t="s">
        <v>1070</v>
      </c>
      <c r="G23" t="s">
        <v>1071</v>
      </c>
      <c r="H23" t="s">
        <v>1072</v>
      </c>
    </row>
    <row r="24" spans="1:8" x14ac:dyDescent="0.2">
      <c r="A24" s="20">
        <v>45532.422453703701</v>
      </c>
      <c r="B24" t="s">
        <v>384</v>
      </c>
      <c r="C24" t="s">
        <v>315</v>
      </c>
      <c r="D24" t="s">
        <v>118</v>
      </c>
      <c r="E24" t="s">
        <v>1039</v>
      </c>
      <c r="F24" t="s">
        <v>1073</v>
      </c>
      <c r="G24" t="s">
        <v>118</v>
      </c>
      <c r="H24" t="s">
        <v>317</v>
      </c>
    </row>
    <row r="25" spans="1:8" x14ac:dyDescent="0.2">
      <c r="A25" s="20">
        <v>45532.405011574076</v>
      </c>
      <c r="B25" t="s">
        <v>383</v>
      </c>
      <c r="C25" t="s">
        <v>326</v>
      </c>
      <c r="D25" t="s">
        <v>118</v>
      </c>
      <c r="E25" t="s">
        <v>1039</v>
      </c>
      <c r="F25" t="s">
        <v>1074</v>
      </c>
      <c r="G25" t="s">
        <v>118</v>
      </c>
      <c r="H25" t="s">
        <v>328</v>
      </c>
    </row>
    <row r="26" spans="1:8" x14ac:dyDescent="0.2">
      <c r="A26" s="20">
        <v>45532.388993055552</v>
      </c>
      <c r="B26" t="s">
        <v>1075</v>
      </c>
      <c r="C26" t="s">
        <v>23</v>
      </c>
      <c r="D26" t="s">
        <v>118</v>
      </c>
      <c r="E26" t="s">
        <v>1039</v>
      </c>
      <c r="F26" t="s">
        <v>1076</v>
      </c>
      <c r="G26" t="s">
        <v>118</v>
      </c>
      <c r="H26" t="s">
        <v>1075</v>
      </c>
    </row>
    <row r="27" spans="1:8" x14ac:dyDescent="0.2">
      <c r="A27" s="20">
        <v>45532.067256944443</v>
      </c>
      <c r="B27" t="s">
        <v>577</v>
      </c>
      <c r="C27" t="s">
        <v>578</v>
      </c>
      <c r="D27" t="s">
        <v>118</v>
      </c>
      <c r="E27" t="s">
        <v>1039</v>
      </c>
      <c r="F27" t="s">
        <v>1077</v>
      </c>
      <c r="G27" t="s">
        <v>1078</v>
      </c>
      <c r="H27" t="s">
        <v>581</v>
      </c>
    </row>
    <row r="28" spans="1:8" x14ac:dyDescent="0.2">
      <c r="A28" s="20">
        <v>45531.980856481481</v>
      </c>
      <c r="B28" t="s">
        <v>124</v>
      </c>
      <c r="C28" t="s">
        <v>125</v>
      </c>
      <c r="D28" t="s">
        <v>118</v>
      </c>
      <c r="E28" t="s">
        <v>1039</v>
      </c>
      <c r="F28" t="s">
        <v>269</v>
      </c>
      <c r="G28" t="s">
        <v>1079</v>
      </c>
      <c r="H28" t="s">
        <v>561</v>
      </c>
    </row>
    <row r="29" spans="1:8" x14ac:dyDescent="0.2">
      <c r="A29" s="20">
        <v>45531.941921296297</v>
      </c>
      <c r="B29" t="s">
        <v>160</v>
      </c>
      <c r="C29" t="s">
        <v>635</v>
      </c>
      <c r="D29" t="s">
        <v>118</v>
      </c>
      <c r="E29" t="s">
        <v>1039</v>
      </c>
      <c r="F29" t="s">
        <v>1080</v>
      </c>
      <c r="G29" t="s">
        <v>118</v>
      </c>
      <c r="H29" t="s">
        <v>637</v>
      </c>
    </row>
    <row r="30" spans="1:8" x14ac:dyDescent="0.2">
      <c r="A30" s="20">
        <v>45531.93377314815</v>
      </c>
      <c r="B30" t="s">
        <v>28</v>
      </c>
      <c r="C30" t="s">
        <v>29</v>
      </c>
      <c r="D30" t="s">
        <v>118</v>
      </c>
      <c r="E30" t="s">
        <v>1039</v>
      </c>
      <c r="F30" t="s">
        <v>1081</v>
      </c>
      <c r="G30" t="s">
        <v>118</v>
      </c>
      <c r="H30" t="s">
        <v>271</v>
      </c>
    </row>
    <row r="31" spans="1:8" x14ac:dyDescent="0.2">
      <c r="A31" s="20">
        <v>45531.931550925925</v>
      </c>
      <c r="B31" t="s">
        <v>897</v>
      </c>
      <c r="C31" t="s">
        <v>898</v>
      </c>
      <c r="D31" t="s">
        <v>118</v>
      </c>
      <c r="E31" t="s">
        <v>1039</v>
      </c>
      <c r="F31" t="s">
        <v>1082</v>
      </c>
      <c r="G31" t="s">
        <v>118</v>
      </c>
      <c r="H31" t="s">
        <v>901</v>
      </c>
    </row>
    <row r="32" spans="1:8" x14ac:dyDescent="0.2">
      <c r="A32" s="20">
        <v>45531.922060185185</v>
      </c>
      <c r="B32" t="s">
        <v>1083</v>
      </c>
      <c r="C32" t="s">
        <v>1084</v>
      </c>
      <c r="D32" t="s">
        <v>118</v>
      </c>
      <c r="E32" t="s">
        <v>1039</v>
      </c>
      <c r="F32" t="s">
        <v>1085</v>
      </c>
      <c r="G32" t="s">
        <v>1086</v>
      </c>
      <c r="H32" t="s">
        <v>1087</v>
      </c>
    </row>
    <row r="33" spans="1:8" x14ac:dyDescent="0.2">
      <c r="A33" s="20">
        <v>45531.919976851852</v>
      </c>
      <c r="B33" t="s">
        <v>435</v>
      </c>
      <c r="C33" t="s">
        <v>970</v>
      </c>
      <c r="D33" t="s">
        <v>118</v>
      </c>
      <c r="E33" t="s">
        <v>1039</v>
      </c>
      <c r="F33" t="s">
        <v>1088</v>
      </c>
      <c r="G33" t="s">
        <v>118</v>
      </c>
      <c r="H33" t="s">
        <v>973</v>
      </c>
    </row>
    <row r="34" spans="1:8" x14ac:dyDescent="0.2">
      <c r="A34" s="20">
        <v>45531.896574074075</v>
      </c>
      <c r="B34" t="s">
        <v>131</v>
      </c>
      <c r="C34" t="s">
        <v>132</v>
      </c>
      <c r="D34" t="s">
        <v>118</v>
      </c>
      <c r="E34" t="s">
        <v>1039</v>
      </c>
      <c r="F34" t="s">
        <v>1089</v>
      </c>
      <c r="G34" t="s">
        <v>118</v>
      </c>
      <c r="H34" t="s">
        <v>1025</v>
      </c>
    </row>
    <row r="35" spans="1:8" x14ac:dyDescent="0.2">
      <c r="A35" s="20">
        <v>45531.89199074074</v>
      </c>
      <c r="B35" t="s">
        <v>188</v>
      </c>
      <c r="C35" t="s">
        <v>736</v>
      </c>
      <c r="D35" t="s">
        <v>118</v>
      </c>
      <c r="E35" t="s">
        <v>1039</v>
      </c>
      <c r="F35" t="s">
        <v>1090</v>
      </c>
      <c r="G35" t="s">
        <v>1091</v>
      </c>
      <c r="H35" t="s">
        <v>1092</v>
      </c>
    </row>
    <row r="36" spans="1:8" x14ac:dyDescent="0.2">
      <c r="A36" s="20">
        <v>45531.835219907407</v>
      </c>
      <c r="B36" t="s">
        <v>664</v>
      </c>
      <c r="C36" t="s">
        <v>665</v>
      </c>
      <c r="D36" t="s">
        <v>118</v>
      </c>
      <c r="E36" t="s">
        <v>1039</v>
      </c>
      <c r="F36" t="s">
        <v>1093</v>
      </c>
      <c r="G36" t="s">
        <v>118</v>
      </c>
      <c r="H36" t="s">
        <v>664</v>
      </c>
    </row>
    <row r="37" spans="1:8" x14ac:dyDescent="0.2">
      <c r="A37" s="20">
        <v>45531.816712962966</v>
      </c>
      <c r="B37" t="s">
        <v>385</v>
      </c>
      <c r="C37" t="s">
        <v>379</v>
      </c>
      <c r="D37" t="s">
        <v>118</v>
      </c>
      <c r="E37" t="s">
        <v>1039</v>
      </c>
      <c r="F37" t="s">
        <v>1094</v>
      </c>
      <c r="G37" t="s">
        <v>1095</v>
      </c>
      <c r="H37" t="s">
        <v>1096</v>
      </c>
    </row>
    <row r="38" spans="1:8" x14ac:dyDescent="0.2">
      <c r="A38" s="20">
        <v>45531.815358796295</v>
      </c>
      <c r="B38" t="s">
        <v>768</v>
      </c>
      <c r="C38" t="s">
        <v>1017</v>
      </c>
      <c r="D38" t="s">
        <v>118</v>
      </c>
      <c r="E38" t="s">
        <v>1039</v>
      </c>
      <c r="F38" t="s">
        <v>1097</v>
      </c>
      <c r="G38" t="s">
        <v>770</v>
      </c>
      <c r="H38" t="s">
        <v>1098</v>
      </c>
    </row>
    <row r="39" spans="1:8" x14ac:dyDescent="0.2">
      <c r="A39" s="20">
        <v>45531.804189814815</v>
      </c>
      <c r="B39" t="s">
        <v>120</v>
      </c>
      <c r="C39" t="s">
        <v>121</v>
      </c>
      <c r="D39" t="s">
        <v>118</v>
      </c>
      <c r="E39" t="s">
        <v>1039</v>
      </c>
      <c r="F39" t="s">
        <v>884</v>
      </c>
      <c r="G39" t="s">
        <v>118</v>
      </c>
      <c r="H39" t="s">
        <v>123</v>
      </c>
    </row>
    <row r="40" spans="1:8" x14ac:dyDescent="0.2">
      <c r="A40" s="20">
        <v>45531.802939814814</v>
      </c>
      <c r="B40" t="s">
        <v>130</v>
      </c>
      <c r="C40" t="s">
        <v>86</v>
      </c>
      <c r="D40" t="s">
        <v>118</v>
      </c>
      <c r="E40" t="s">
        <v>1039</v>
      </c>
      <c r="F40" t="s">
        <v>1099</v>
      </c>
      <c r="G40" t="s">
        <v>1100</v>
      </c>
      <c r="H40" t="s">
        <v>462</v>
      </c>
    </row>
    <row r="41" spans="1:8" x14ac:dyDescent="0.2">
      <c r="A41" s="20">
        <v>45504.441643518519</v>
      </c>
      <c r="B41" t="s">
        <v>382</v>
      </c>
      <c r="C41" t="s">
        <v>182</v>
      </c>
      <c r="D41" t="s">
        <v>118</v>
      </c>
      <c r="E41" t="s">
        <v>961</v>
      </c>
      <c r="F41" t="s">
        <v>962</v>
      </c>
      <c r="G41" t="s">
        <v>118</v>
      </c>
      <c r="H41" t="s">
        <v>963</v>
      </c>
    </row>
    <row r="42" spans="1:8" x14ac:dyDescent="0.2">
      <c r="A42" s="20">
        <v>45504.299409722225</v>
      </c>
      <c r="B42" t="s">
        <v>204</v>
      </c>
      <c r="C42" t="s">
        <v>378</v>
      </c>
      <c r="D42" t="s">
        <v>118</v>
      </c>
      <c r="E42" t="s">
        <v>961</v>
      </c>
      <c r="F42" t="s">
        <v>964</v>
      </c>
      <c r="G42" t="s">
        <v>965</v>
      </c>
      <c r="H42" t="s">
        <v>37</v>
      </c>
    </row>
    <row r="43" spans="1:8" x14ac:dyDescent="0.2">
      <c r="A43" s="20">
        <v>45504.099895833337</v>
      </c>
      <c r="B43" t="s">
        <v>28</v>
      </c>
      <c r="C43" t="s">
        <v>323</v>
      </c>
      <c r="D43" t="s">
        <v>118</v>
      </c>
      <c r="E43" t="s">
        <v>961</v>
      </c>
      <c r="F43" t="s">
        <v>966</v>
      </c>
      <c r="G43" t="s">
        <v>967</v>
      </c>
      <c r="H43" t="s">
        <v>2</v>
      </c>
    </row>
    <row r="44" spans="1:8" x14ac:dyDescent="0.2">
      <c r="A44" s="20">
        <v>45504.014270833337</v>
      </c>
      <c r="B44" t="s">
        <v>342</v>
      </c>
      <c r="C44" t="s">
        <v>211</v>
      </c>
      <c r="D44" t="s">
        <v>118</v>
      </c>
      <c r="E44" t="s">
        <v>961</v>
      </c>
      <c r="F44" t="s">
        <v>1036</v>
      </c>
      <c r="G44" t="s">
        <v>118</v>
      </c>
      <c r="H44" t="s">
        <v>213</v>
      </c>
    </row>
    <row r="45" spans="1:8" x14ac:dyDescent="0.2">
      <c r="A45" s="20">
        <v>45504.003078703703</v>
      </c>
      <c r="B45" t="s">
        <v>28</v>
      </c>
      <c r="C45" t="s">
        <v>441</v>
      </c>
      <c r="D45" t="s">
        <v>118</v>
      </c>
      <c r="E45" t="s">
        <v>961</v>
      </c>
      <c r="F45" t="s">
        <v>969</v>
      </c>
      <c r="G45" t="s">
        <v>118</v>
      </c>
      <c r="H45" t="s">
        <v>535</v>
      </c>
    </row>
    <row r="46" spans="1:8" x14ac:dyDescent="0.2">
      <c r="A46" s="20">
        <v>45503.956157407411</v>
      </c>
      <c r="B46" t="s">
        <v>435</v>
      </c>
      <c r="C46" t="s">
        <v>970</v>
      </c>
      <c r="D46" t="s">
        <v>118</v>
      </c>
      <c r="E46" t="s">
        <v>961</v>
      </c>
      <c r="F46" t="s">
        <v>971</v>
      </c>
      <c r="G46" t="s">
        <v>972</v>
      </c>
      <c r="H46" t="s">
        <v>973</v>
      </c>
    </row>
    <row r="47" spans="1:8" x14ac:dyDescent="0.2">
      <c r="A47" s="20">
        <v>45503.876168981478</v>
      </c>
      <c r="B47" t="s">
        <v>729</v>
      </c>
      <c r="C47" t="s">
        <v>730</v>
      </c>
      <c r="D47" t="s">
        <v>118</v>
      </c>
      <c r="E47" t="s">
        <v>961</v>
      </c>
      <c r="F47" t="s">
        <v>974</v>
      </c>
      <c r="G47" t="s">
        <v>118</v>
      </c>
      <c r="H47" t="s">
        <v>733</v>
      </c>
    </row>
    <row r="48" spans="1:8" x14ac:dyDescent="0.2">
      <c r="A48" s="20">
        <v>45503.690648148149</v>
      </c>
      <c r="B48" t="s">
        <v>577</v>
      </c>
      <c r="C48" t="s">
        <v>578</v>
      </c>
      <c r="D48" t="s">
        <v>118</v>
      </c>
      <c r="E48" t="s">
        <v>961</v>
      </c>
      <c r="F48" t="s">
        <v>975</v>
      </c>
      <c r="G48" t="s">
        <v>118</v>
      </c>
      <c r="H48" t="s">
        <v>581</v>
      </c>
    </row>
    <row r="49" spans="1:8" x14ac:dyDescent="0.2">
      <c r="A49" s="20">
        <v>45503.587465277778</v>
      </c>
      <c r="B49" t="s">
        <v>850</v>
      </c>
      <c r="C49" t="s">
        <v>851</v>
      </c>
      <c r="D49" t="s">
        <v>118</v>
      </c>
      <c r="E49" t="s">
        <v>961</v>
      </c>
      <c r="F49" t="s">
        <v>976</v>
      </c>
      <c r="G49" t="s">
        <v>118</v>
      </c>
      <c r="H49" t="s">
        <v>853</v>
      </c>
    </row>
    <row r="50" spans="1:8" x14ac:dyDescent="0.2">
      <c r="A50" s="20">
        <v>45503.551215277781</v>
      </c>
      <c r="B50" t="s">
        <v>67</v>
      </c>
      <c r="C50" t="s">
        <v>68</v>
      </c>
      <c r="D50" t="s">
        <v>118</v>
      </c>
      <c r="E50" t="s">
        <v>961</v>
      </c>
      <c r="F50" t="s">
        <v>977</v>
      </c>
      <c r="G50" t="s">
        <v>118</v>
      </c>
      <c r="H50" t="s">
        <v>67</v>
      </c>
    </row>
    <row r="51" spans="1:8" x14ac:dyDescent="0.2">
      <c r="A51" s="20">
        <v>45503.537719907406</v>
      </c>
      <c r="B51" t="s">
        <v>72</v>
      </c>
      <c r="C51" t="s">
        <v>124</v>
      </c>
      <c r="D51" t="s">
        <v>118</v>
      </c>
      <c r="E51" t="s">
        <v>961</v>
      </c>
      <c r="F51" t="s">
        <v>978</v>
      </c>
      <c r="G51" t="s">
        <v>979</v>
      </c>
      <c r="H51" t="s">
        <v>542</v>
      </c>
    </row>
    <row r="52" spans="1:8" x14ac:dyDescent="0.2">
      <c r="A52" s="20">
        <v>45503.50582175926</v>
      </c>
      <c r="B52" t="s">
        <v>28</v>
      </c>
      <c r="C52" t="s">
        <v>390</v>
      </c>
      <c r="D52" t="s">
        <v>118</v>
      </c>
      <c r="E52" t="s">
        <v>961</v>
      </c>
      <c r="F52" t="s">
        <v>205</v>
      </c>
      <c r="G52" t="s">
        <v>980</v>
      </c>
      <c r="H52" t="s">
        <v>242</v>
      </c>
    </row>
    <row r="53" spans="1:8" x14ac:dyDescent="0.2">
      <c r="A53" s="20">
        <v>45503.471689814818</v>
      </c>
      <c r="B53" t="s">
        <v>135</v>
      </c>
      <c r="C53" t="s">
        <v>389</v>
      </c>
      <c r="D53" t="s">
        <v>118</v>
      </c>
      <c r="E53" t="s">
        <v>961</v>
      </c>
      <c r="F53" t="s">
        <v>981</v>
      </c>
      <c r="G53" t="s">
        <v>982</v>
      </c>
      <c r="H53" t="s">
        <v>456</v>
      </c>
    </row>
    <row r="54" spans="1:8" x14ac:dyDescent="0.2">
      <c r="A54" s="20">
        <v>45503.469178240739</v>
      </c>
      <c r="B54" t="s">
        <v>282</v>
      </c>
      <c r="C54" t="s">
        <v>815</v>
      </c>
      <c r="D54" t="s">
        <v>118</v>
      </c>
      <c r="E54" t="s">
        <v>961</v>
      </c>
      <c r="F54" t="s">
        <v>983</v>
      </c>
      <c r="G54" t="s">
        <v>984</v>
      </c>
      <c r="H54" t="s">
        <v>860</v>
      </c>
    </row>
    <row r="55" spans="1:8" x14ac:dyDescent="0.2">
      <c r="A55" s="20">
        <v>45503.446736111109</v>
      </c>
      <c r="B55" t="s">
        <v>175</v>
      </c>
      <c r="C55" t="s">
        <v>23</v>
      </c>
      <c r="D55" t="s">
        <v>118</v>
      </c>
      <c r="E55" t="s">
        <v>961</v>
      </c>
      <c r="F55" t="s">
        <v>985</v>
      </c>
      <c r="G55" t="s">
        <v>986</v>
      </c>
      <c r="H55" t="s">
        <v>178</v>
      </c>
    </row>
    <row r="56" spans="1:8" x14ac:dyDescent="0.2">
      <c r="A56" s="20">
        <v>45503.446284722224</v>
      </c>
      <c r="B56" t="s">
        <v>138</v>
      </c>
      <c r="C56" t="s">
        <v>139</v>
      </c>
      <c r="D56" t="s">
        <v>118</v>
      </c>
      <c r="E56" t="s">
        <v>961</v>
      </c>
      <c r="F56" t="s">
        <v>987</v>
      </c>
      <c r="G56" t="s">
        <v>118</v>
      </c>
      <c r="H56" t="s">
        <v>451</v>
      </c>
    </row>
    <row r="57" spans="1:8" x14ac:dyDescent="0.2">
      <c r="A57" s="20">
        <v>45503.371157407404</v>
      </c>
      <c r="B57" t="s">
        <v>33</v>
      </c>
      <c r="C57" t="s">
        <v>724</v>
      </c>
      <c r="D57" t="s">
        <v>118</v>
      </c>
      <c r="E57" t="s">
        <v>961</v>
      </c>
      <c r="F57" t="s">
        <v>296</v>
      </c>
      <c r="G57" t="s">
        <v>118</v>
      </c>
      <c r="H57" t="s">
        <v>727</v>
      </c>
    </row>
    <row r="58" spans="1:8" x14ac:dyDescent="0.2">
      <c r="A58" s="20">
        <v>45503.284641203703</v>
      </c>
      <c r="B58" t="s">
        <v>124</v>
      </c>
      <c r="C58" t="s">
        <v>166</v>
      </c>
      <c r="D58" t="s">
        <v>118</v>
      </c>
      <c r="E58" t="s">
        <v>961</v>
      </c>
      <c r="F58" t="s">
        <v>988</v>
      </c>
      <c r="G58" t="s">
        <v>118</v>
      </c>
      <c r="H58" t="s">
        <v>124</v>
      </c>
    </row>
    <row r="59" spans="1:8" x14ac:dyDescent="0.2">
      <c r="A59" s="20">
        <v>45502.823055555556</v>
      </c>
      <c r="B59" t="s">
        <v>124</v>
      </c>
      <c r="C59" t="s">
        <v>125</v>
      </c>
      <c r="D59" t="s">
        <v>118</v>
      </c>
      <c r="E59" t="s">
        <v>961</v>
      </c>
      <c r="F59" t="s">
        <v>906</v>
      </c>
      <c r="G59" t="s">
        <v>118</v>
      </c>
      <c r="H59" t="s">
        <v>124</v>
      </c>
    </row>
    <row r="60" spans="1:8" x14ac:dyDescent="0.2">
      <c r="A60" s="20">
        <v>45502.812407407408</v>
      </c>
      <c r="B60" t="s">
        <v>188</v>
      </c>
      <c r="C60" t="s">
        <v>736</v>
      </c>
      <c r="D60" t="s">
        <v>118</v>
      </c>
      <c r="E60" t="s">
        <v>961</v>
      </c>
      <c r="F60" t="s">
        <v>989</v>
      </c>
      <c r="G60" t="s">
        <v>927</v>
      </c>
      <c r="H60" t="s">
        <v>739</v>
      </c>
    </row>
    <row r="61" spans="1:8" x14ac:dyDescent="0.2">
      <c r="A61" s="20">
        <v>45502.687731481485</v>
      </c>
      <c r="B61" t="s">
        <v>531</v>
      </c>
      <c r="C61" t="s">
        <v>293</v>
      </c>
      <c r="D61" t="s">
        <v>118</v>
      </c>
      <c r="E61" t="s">
        <v>961</v>
      </c>
      <c r="F61" t="s">
        <v>990</v>
      </c>
      <c r="G61" t="s">
        <v>118</v>
      </c>
      <c r="H61" t="s">
        <v>531</v>
      </c>
    </row>
    <row r="62" spans="1:8" x14ac:dyDescent="0.2">
      <c r="A62" s="20">
        <v>45502.668981481482</v>
      </c>
      <c r="B62" t="s">
        <v>383</v>
      </c>
      <c r="C62" t="s">
        <v>326</v>
      </c>
      <c r="D62" t="s">
        <v>118</v>
      </c>
      <c r="E62" t="s">
        <v>961</v>
      </c>
      <c r="F62" t="s">
        <v>991</v>
      </c>
      <c r="G62" t="s">
        <v>118</v>
      </c>
      <c r="H62" t="s">
        <v>328</v>
      </c>
    </row>
    <row r="63" spans="1:8" x14ac:dyDescent="0.2">
      <c r="A63" s="20">
        <v>45502.562858796293</v>
      </c>
      <c r="B63" t="s">
        <v>76</v>
      </c>
      <c r="C63" t="s">
        <v>77</v>
      </c>
      <c r="D63" t="s">
        <v>118</v>
      </c>
      <c r="E63" t="s">
        <v>961</v>
      </c>
      <c r="F63" t="s">
        <v>992</v>
      </c>
      <c r="G63" t="s">
        <v>118</v>
      </c>
      <c r="H63" t="s">
        <v>76</v>
      </c>
    </row>
    <row r="64" spans="1:8" x14ac:dyDescent="0.2">
      <c r="A64" s="20">
        <v>45502.484282407408</v>
      </c>
      <c r="B64" t="s">
        <v>103</v>
      </c>
      <c r="C64" t="s">
        <v>104</v>
      </c>
      <c r="D64" t="s">
        <v>118</v>
      </c>
      <c r="E64" t="s">
        <v>961</v>
      </c>
      <c r="F64" t="s">
        <v>994</v>
      </c>
      <c r="G64" t="s">
        <v>118</v>
      </c>
      <c r="H64" t="s">
        <v>993</v>
      </c>
    </row>
    <row r="65" spans="1:8" x14ac:dyDescent="0.2">
      <c r="A65" s="20">
        <v>45502.356365740743</v>
      </c>
      <c r="B65" t="s">
        <v>298</v>
      </c>
      <c r="C65" t="s">
        <v>386</v>
      </c>
      <c r="D65" t="s">
        <v>118</v>
      </c>
      <c r="E65" t="s">
        <v>961</v>
      </c>
      <c r="F65" t="s">
        <v>995</v>
      </c>
      <c r="G65" t="s">
        <v>118</v>
      </c>
      <c r="H65" t="s">
        <v>300</v>
      </c>
    </row>
    <row r="66" spans="1:8" x14ac:dyDescent="0.2">
      <c r="A66" s="20">
        <v>45501.566666666666</v>
      </c>
      <c r="B66" t="s">
        <v>384</v>
      </c>
      <c r="C66" t="s">
        <v>315</v>
      </c>
      <c r="D66" t="s">
        <v>118</v>
      </c>
      <c r="E66" t="s">
        <v>961</v>
      </c>
      <c r="F66" t="s">
        <v>996</v>
      </c>
      <c r="G66" t="s">
        <v>118</v>
      </c>
      <c r="H66" t="s">
        <v>997</v>
      </c>
    </row>
    <row r="67" spans="1:8" x14ac:dyDescent="0.2">
      <c r="A67" s="20">
        <v>45499.440625000003</v>
      </c>
      <c r="B67" t="s">
        <v>525</v>
      </c>
      <c r="C67" t="s">
        <v>690</v>
      </c>
      <c r="D67" t="s">
        <v>118</v>
      </c>
      <c r="E67" t="s">
        <v>961</v>
      </c>
      <c r="F67" t="s">
        <v>998</v>
      </c>
      <c r="G67" t="s">
        <v>118</v>
      </c>
      <c r="H67" t="s">
        <v>999</v>
      </c>
    </row>
    <row r="68" spans="1:8" x14ac:dyDescent="0.2">
      <c r="A68" s="20">
        <v>45499.402870370373</v>
      </c>
      <c r="B68" t="s">
        <v>28</v>
      </c>
      <c r="C68" t="s">
        <v>29</v>
      </c>
      <c r="D68" t="s">
        <v>118</v>
      </c>
      <c r="E68" t="s">
        <v>961</v>
      </c>
      <c r="F68" t="s">
        <v>1000</v>
      </c>
      <c r="G68" t="s">
        <v>1001</v>
      </c>
      <c r="H68" t="s">
        <v>1002</v>
      </c>
    </row>
    <row r="69" spans="1:8" x14ac:dyDescent="0.2">
      <c r="A69" s="20">
        <v>45499.399293981478</v>
      </c>
      <c r="B69" t="s">
        <v>1003</v>
      </c>
      <c r="C69" t="s">
        <v>1004</v>
      </c>
      <c r="D69" t="s">
        <v>118</v>
      </c>
      <c r="E69" t="s">
        <v>961</v>
      </c>
      <c r="F69" t="s">
        <v>1005</v>
      </c>
      <c r="G69" t="s">
        <v>1006</v>
      </c>
      <c r="H69" t="s">
        <v>1007</v>
      </c>
    </row>
    <row r="70" spans="1:8" x14ac:dyDescent="0.2">
      <c r="A70" s="20">
        <v>45498.992349537039</v>
      </c>
      <c r="B70" t="s">
        <v>195</v>
      </c>
      <c r="C70" t="s">
        <v>196</v>
      </c>
      <c r="D70" t="s">
        <v>118</v>
      </c>
      <c r="E70" t="s">
        <v>961</v>
      </c>
      <c r="F70" t="s">
        <v>968</v>
      </c>
      <c r="G70" t="s">
        <v>118</v>
      </c>
      <c r="H70" t="s">
        <v>199</v>
      </c>
    </row>
    <row r="71" spans="1:8" x14ac:dyDescent="0.2">
      <c r="A71" s="20">
        <v>45498.967905092592</v>
      </c>
      <c r="B71" t="s">
        <v>897</v>
      </c>
      <c r="C71" t="s">
        <v>1008</v>
      </c>
      <c r="D71" t="s">
        <v>118</v>
      </c>
      <c r="E71" t="s">
        <v>961</v>
      </c>
      <c r="F71" t="s">
        <v>1009</v>
      </c>
      <c r="G71" t="s">
        <v>118</v>
      </c>
      <c r="H71" t="s">
        <v>935</v>
      </c>
    </row>
    <row r="72" spans="1:8" x14ac:dyDescent="0.2">
      <c r="A72" s="20">
        <v>45498.660011574073</v>
      </c>
      <c r="B72" t="s">
        <v>160</v>
      </c>
      <c r="C72" t="s">
        <v>635</v>
      </c>
      <c r="D72" t="s">
        <v>118</v>
      </c>
      <c r="E72" t="s">
        <v>961</v>
      </c>
      <c r="F72" t="s">
        <v>1010</v>
      </c>
      <c r="G72" t="s">
        <v>118</v>
      </c>
      <c r="H72" t="s">
        <v>1011</v>
      </c>
    </row>
    <row r="73" spans="1:8" x14ac:dyDescent="0.2">
      <c r="A73" s="20">
        <v>45498.619444444441</v>
      </c>
      <c r="B73" t="s">
        <v>897</v>
      </c>
      <c r="C73" t="s">
        <v>898</v>
      </c>
      <c r="D73" t="s">
        <v>118</v>
      </c>
      <c r="E73" t="s">
        <v>961</v>
      </c>
      <c r="F73" t="s">
        <v>1012</v>
      </c>
      <c r="G73" t="s">
        <v>118</v>
      </c>
      <c r="H73" t="s">
        <v>901</v>
      </c>
    </row>
    <row r="74" spans="1:8" x14ac:dyDescent="0.2">
      <c r="A74" s="20">
        <v>45498.565532407411</v>
      </c>
      <c r="B74" t="s">
        <v>863</v>
      </c>
      <c r="C74" t="s">
        <v>864</v>
      </c>
      <c r="D74" t="s">
        <v>118</v>
      </c>
      <c r="E74" t="s">
        <v>961</v>
      </c>
      <c r="F74" t="s">
        <v>1013</v>
      </c>
      <c r="G74" t="s">
        <v>1014</v>
      </c>
      <c r="H74" t="s">
        <v>1015</v>
      </c>
    </row>
    <row r="75" spans="1:8" x14ac:dyDescent="0.2">
      <c r="A75" s="20">
        <v>45498.518923611111</v>
      </c>
      <c r="B75" t="s">
        <v>385</v>
      </c>
      <c r="C75" t="s">
        <v>379</v>
      </c>
      <c r="D75" t="s">
        <v>118</v>
      </c>
      <c r="E75" t="s">
        <v>961</v>
      </c>
      <c r="F75" t="s">
        <v>1016</v>
      </c>
      <c r="G75" t="s">
        <v>118</v>
      </c>
      <c r="H75" t="s">
        <v>102</v>
      </c>
    </row>
    <row r="76" spans="1:8" x14ac:dyDescent="0.2">
      <c r="A76" s="20">
        <v>45498.460868055554</v>
      </c>
      <c r="B76" t="s">
        <v>768</v>
      </c>
      <c r="C76" t="s">
        <v>1017</v>
      </c>
      <c r="D76" t="s">
        <v>118</v>
      </c>
      <c r="E76" t="s">
        <v>961</v>
      </c>
      <c r="F76" t="s">
        <v>1018</v>
      </c>
      <c r="G76" t="s">
        <v>770</v>
      </c>
      <c r="H76" t="s">
        <v>771</v>
      </c>
    </row>
    <row r="77" spans="1:8" x14ac:dyDescent="0.2">
      <c r="A77" s="20">
        <v>45498.45784722222</v>
      </c>
      <c r="B77" t="s">
        <v>130</v>
      </c>
      <c r="C77" t="s">
        <v>86</v>
      </c>
      <c r="D77" t="s">
        <v>118</v>
      </c>
      <c r="E77" t="s">
        <v>961</v>
      </c>
      <c r="F77" t="s">
        <v>1019</v>
      </c>
      <c r="G77" t="s">
        <v>1020</v>
      </c>
      <c r="H77" t="s">
        <v>462</v>
      </c>
    </row>
    <row r="78" spans="1:8" x14ac:dyDescent="0.2">
      <c r="A78" s="20">
        <v>45498.397685185184</v>
      </c>
      <c r="B78" t="s">
        <v>120</v>
      </c>
      <c r="C78" t="s">
        <v>121</v>
      </c>
      <c r="D78" t="s">
        <v>118</v>
      </c>
      <c r="E78" t="s">
        <v>961</v>
      </c>
      <c r="F78" t="s">
        <v>1021</v>
      </c>
      <c r="G78" t="s">
        <v>118</v>
      </c>
      <c r="H78" t="s">
        <v>123</v>
      </c>
    </row>
    <row r="79" spans="1:8" x14ac:dyDescent="0.2">
      <c r="A79" s="20">
        <v>45498.37871527778</v>
      </c>
      <c r="B79" t="s">
        <v>357</v>
      </c>
      <c r="C79" t="s">
        <v>358</v>
      </c>
      <c r="D79" t="s">
        <v>118</v>
      </c>
      <c r="E79" t="s">
        <v>961</v>
      </c>
      <c r="F79" t="s">
        <v>1022</v>
      </c>
      <c r="G79" t="s">
        <v>118</v>
      </c>
      <c r="H79" t="s">
        <v>357</v>
      </c>
    </row>
    <row r="80" spans="1:8" x14ac:dyDescent="0.2">
      <c r="A80" s="20">
        <v>45498.376527777778</v>
      </c>
      <c r="B80" t="s">
        <v>664</v>
      </c>
      <c r="C80" t="s">
        <v>665</v>
      </c>
      <c r="D80" t="s">
        <v>118</v>
      </c>
      <c r="E80" t="s">
        <v>961</v>
      </c>
      <c r="F80" t="s">
        <v>1023</v>
      </c>
      <c r="G80" t="s">
        <v>118</v>
      </c>
      <c r="H80" t="s">
        <v>664</v>
      </c>
    </row>
    <row r="81" spans="1:8" x14ac:dyDescent="0.2">
      <c r="A81" s="20">
        <v>45498.358101851853</v>
      </c>
      <c r="B81" t="s">
        <v>131</v>
      </c>
      <c r="C81" t="s">
        <v>132</v>
      </c>
      <c r="D81" t="s">
        <v>118</v>
      </c>
      <c r="E81" t="s">
        <v>961</v>
      </c>
      <c r="F81" t="s">
        <v>105</v>
      </c>
      <c r="G81" t="s">
        <v>1024</v>
      </c>
      <c r="H81" t="s">
        <v>1025</v>
      </c>
    </row>
    <row r="82" spans="1:8" x14ac:dyDescent="0.2">
      <c r="A82" s="20">
        <v>45473.796759259261</v>
      </c>
      <c r="B82" t="s">
        <v>342</v>
      </c>
      <c r="C82" t="s">
        <v>211</v>
      </c>
      <c r="D82" t="s">
        <v>118</v>
      </c>
      <c r="E82" t="s">
        <v>816</v>
      </c>
      <c r="F82" t="s">
        <v>957</v>
      </c>
      <c r="G82" t="s">
        <v>118</v>
      </c>
      <c r="H82" t="s">
        <v>213</v>
      </c>
    </row>
    <row r="83" spans="1:8" x14ac:dyDescent="0.2">
      <c r="A83" s="20">
        <v>45472.980173611111</v>
      </c>
      <c r="B83" t="s">
        <v>175</v>
      </c>
      <c r="C83" t="s">
        <v>23</v>
      </c>
      <c r="D83" t="s">
        <v>118</v>
      </c>
      <c r="E83" t="s">
        <v>816</v>
      </c>
      <c r="F83" t="s">
        <v>848</v>
      </c>
      <c r="G83" t="s">
        <v>849</v>
      </c>
      <c r="H83" t="s">
        <v>178</v>
      </c>
    </row>
    <row r="84" spans="1:8" x14ac:dyDescent="0.2">
      <c r="A84" s="20">
        <v>45472.953935185185</v>
      </c>
      <c r="B84" t="s">
        <v>850</v>
      </c>
      <c r="C84" t="s">
        <v>851</v>
      </c>
      <c r="D84" t="s">
        <v>118</v>
      </c>
      <c r="E84" t="s">
        <v>816</v>
      </c>
      <c r="F84" t="s">
        <v>852</v>
      </c>
      <c r="G84" t="s">
        <v>118</v>
      </c>
      <c r="H84" t="s">
        <v>853</v>
      </c>
    </row>
    <row r="85" spans="1:8" x14ac:dyDescent="0.2">
      <c r="A85" s="20">
        <v>45472.889525462961</v>
      </c>
      <c r="B85" t="s">
        <v>28</v>
      </c>
      <c r="C85" t="s">
        <v>441</v>
      </c>
      <c r="D85" t="s">
        <v>118</v>
      </c>
      <c r="E85" t="s">
        <v>816</v>
      </c>
      <c r="F85" t="s">
        <v>854</v>
      </c>
      <c r="G85" t="s">
        <v>118</v>
      </c>
      <c r="H85" t="s">
        <v>535</v>
      </c>
    </row>
    <row r="86" spans="1:8" x14ac:dyDescent="0.2">
      <c r="A86" s="20">
        <v>45472.877488425926</v>
      </c>
      <c r="B86" t="s">
        <v>33</v>
      </c>
      <c r="C86" t="s">
        <v>724</v>
      </c>
      <c r="D86" t="s">
        <v>118</v>
      </c>
      <c r="E86" t="s">
        <v>816</v>
      </c>
      <c r="F86" t="s">
        <v>855</v>
      </c>
      <c r="G86" t="s">
        <v>856</v>
      </c>
      <c r="H86" t="s">
        <v>727</v>
      </c>
    </row>
    <row r="87" spans="1:8" x14ac:dyDescent="0.2">
      <c r="A87" s="20">
        <v>45472.727187500001</v>
      </c>
      <c r="B87" t="s">
        <v>115</v>
      </c>
      <c r="C87" t="s">
        <v>391</v>
      </c>
      <c r="D87" t="s">
        <v>118</v>
      </c>
      <c r="E87" t="s">
        <v>816</v>
      </c>
      <c r="F87" t="s">
        <v>857</v>
      </c>
      <c r="G87" t="s">
        <v>118</v>
      </c>
      <c r="H87" t="s">
        <v>194</v>
      </c>
    </row>
    <row r="88" spans="1:8" x14ac:dyDescent="0.2">
      <c r="A88" s="20">
        <v>45472.576817129629</v>
      </c>
      <c r="B88" t="s">
        <v>282</v>
      </c>
      <c r="C88" t="s">
        <v>815</v>
      </c>
      <c r="D88" t="s">
        <v>118</v>
      </c>
      <c r="E88" t="s">
        <v>816</v>
      </c>
      <c r="F88" t="s">
        <v>858</v>
      </c>
      <c r="G88" t="s">
        <v>859</v>
      </c>
      <c r="H88" t="s">
        <v>860</v>
      </c>
    </row>
    <row r="89" spans="1:8" x14ac:dyDescent="0.2">
      <c r="A89" s="20">
        <v>45472.563935185186</v>
      </c>
      <c r="B89" t="s">
        <v>76</v>
      </c>
      <c r="C89" t="s">
        <v>77</v>
      </c>
      <c r="D89" t="s">
        <v>118</v>
      </c>
      <c r="E89" t="s">
        <v>816</v>
      </c>
      <c r="F89" t="s">
        <v>861</v>
      </c>
      <c r="G89" t="s">
        <v>862</v>
      </c>
      <c r="H89" t="s">
        <v>76</v>
      </c>
    </row>
    <row r="90" spans="1:8" x14ac:dyDescent="0.2">
      <c r="A90" s="20">
        <v>45472.460740740738</v>
      </c>
      <c r="B90" t="s">
        <v>863</v>
      </c>
      <c r="C90" t="s">
        <v>864</v>
      </c>
      <c r="D90" t="s">
        <v>118</v>
      </c>
      <c r="E90" t="s">
        <v>816</v>
      </c>
      <c r="F90" t="s">
        <v>865</v>
      </c>
      <c r="G90" t="s">
        <v>866</v>
      </c>
      <c r="H90" t="s">
        <v>867</v>
      </c>
    </row>
    <row r="91" spans="1:8" x14ac:dyDescent="0.2">
      <c r="A91" s="20">
        <v>45472.372013888889</v>
      </c>
      <c r="B91" t="s">
        <v>868</v>
      </c>
      <c r="C91" t="s">
        <v>869</v>
      </c>
      <c r="D91" t="s">
        <v>118</v>
      </c>
      <c r="E91" t="s">
        <v>816</v>
      </c>
      <c r="F91" t="s">
        <v>870</v>
      </c>
      <c r="G91" t="s">
        <v>118</v>
      </c>
      <c r="H91" t="s">
        <v>868</v>
      </c>
    </row>
    <row r="92" spans="1:8" x14ac:dyDescent="0.2">
      <c r="A92" s="20">
        <v>45472.259421296294</v>
      </c>
      <c r="B92" t="s">
        <v>204</v>
      </c>
      <c r="C92" t="s">
        <v>378</v>
      </c>
      <c r="D92" t="s">
        <v>118</v>
      </c>
      <c r="E92" t="s">
        <v>816</v>
      </c>
      <c r="F92" t="s">
        <v>871</v>
      </c>
      <c r="G92" t="s">
        <v>872</v>
      </c>
      <c r="H92" t="s">
        <v>37</v>
      </c>
    </row>
    <row r="93" spans="1:8" x14ac:dyDescent="0.2">
      <c r="A93" s="20">
        <v>45472.210659722223</v>
      </c>
      <c r="B93" t="s">
        <v>531</v>
      </c>
      <c r="C93" t="s">
        <v>293</v>
      </c>
      <c r="D93" t="s">
        <v>118</v>
      </c>
      <c r="E93" t="s">
        <v>816</v>
      </c>
      <c r="F93" t="s">
        <v>953</v>
      </c>
      <c r="G93" t="s">
        <v>118</v>
      </c>
      <c r="H93" t="s">
        <v>873</v>
      </c>
    </row>
    <row r="94" spans="1:8" x14ac:dyDescent="0.2">
      <c r="A94" s="20">
        <v>45472.056064814817</v>
      </c>
      <c r="B94" t="s">
        <v>874</v>
      </c>
      <c r="C94" t="s">
        <v>875</v>
      </c>
      <c r="D94" t="s">
        <v>118</v>
      </c>
      <c r="E94" t="s">
        <v>816</v>
      </c>
      <c r="F94" t="s">
        <v>205</v>
      </c>
      <c r="G94" t="s">
        <v>876</v>
      </c>
      <c r="H94" t="s">
        <v>877</v>
      </c>
    </row>
    <row r="95" spans="1:8" x14ac:dyDescent="0.2">
      <c r="A95" s="20">
        <v>45472.055</v>
      </c>
      <c r="B95" t="s">
        <v>28</v>
      </c>
      <c r="C95" t="s">
        <v>323</v>
      </c>
      <c r="D95" t="s">
        <v>118</v>
      </c>
      <c r="E95" t="s">
        <v>816</v>
      </c>
      <c r="F95" t="s">
        <v>878</v>
      </c>
      <c r="G95" t="s">
        <v>879</v>
      </c>
      <c r="H95" t="s">
        <v>2</v>
      </c>
    </row>
    <row r="96" spans="1:8" x14ac:dyDescent="0.2">
      <c r="A96" s="20">
        <v>45472.027106481481</v>
      </c>
      <c r="B96" t="s">
        <v>135</v>
      </c>
      <c r="C96" t="s">
        <v>389</v>
      </c>
      <c r="D96" t="s">
        <v>118</v>
      </c>
      <c r="E96" t="s">
        <v>816</v>
      </c>
      <c r="F96" t="s">
        <v>880</v>
      </c>
      <c r="G96" t="s">
        <v>881</v>
      </c>
      <c r="H96" t="s">
        <v>456</v>
      </c>
    </row>
    <row r="97" spans="1:8" x14ac:dyDescent="0.2">
      <c r="A97" s="20">
        <v>45471.892245370371</v>
      </c>
      <c r="B97" t="s">
        <v>382</v>
      </c>
      <c r="C97" t="s">
        <v>182</v>
      </c>
      <c r="D97" t="s">
        <v>118</v>
      </c>
      <c r="E97" t="s">
        <v>816</v>
      </c>
      <c r="F97" t="s">
        <v>882</v>
      </c>
      <c r="G97" t="s">
        <v>118</v>
      </c>
      <c r="H97" t="s">
        <v>883</v>
      </c>
    </row>
    <row r="98" spans="1:8" x14ac:dyDescent="0.2">
      <c r="A98" s="20">
        <v>45471.740798611114</v>
      </c>
      <c r="B98" t="s">
        <v>384</v>
      </c>
      <c r="C98" t="s">
        <v>315</v>
      </c>
      <c r="D98" t="s">
        <v>118</v>
      </c>
      <c r="E98" t="s">
        <v>816</v>
      </c>
      <c r="F98" t="s">
        <v>884</v>
      </c>
      <c r="G98" t="s">
        <v>118</v>
      </c>
      <c r="H98" t="s">
        <v>317</v>
      </c>
    </row>
    <row r="99" spans="1:8" x14ac:dyDescent="0.2">
      <c r="A99" s="20">
        <v>45471.57099537037</v>
      </c>
      <c r="B99" t="s">
        <v>729</v>
      </c>
      <c r="C99" t="s">
        <v>730</v>
      </c>
      <c r="D99" t="s">
        <v>118</v>
      </c>
      <c r="E99" t="s">
        <v>816</v>
      </c>
      <c r="F99" t="s">
        <v>885</v>
      </c>
      <c r="G99" t="s">
        <v>118</v>
      </c>
      <c r="H99" t="s">
        <v>733</v>
      </c>
    </row>
    <row r="100" spans="1:8" x14ac:dyDescent="0.2">
      <c r="A100" s="20">
        <v>45471.518680555557</v>
      </c>
      <c r="B100" t="s">
        <v>388</v>
      </c>
      <c r="C100" t="s">
        <v>148</v>
      </c>
      <c r="D100" t="s">
        <v>118</v>
      </c>
      <c r="E100" t="s">
        <v>816</v>
      </c>
      <c r="F100" t="s">
        <v>886</v>
      </c>
      <c r="G100" t="s">
        <v>118</v>
      </c>
      <c r="H100" t="s">
        <v>151</v>
      </c>
    </row>
    <row r="101" spans="1:8" x14ac:dyDescent="0.2">
      <c r="A101" s="20">
        <v>45471.462106481478</v>
      </c>
      <c r="B101" t="s">
        <v>72</v>
      </c>
      <c r="C101" t="s">
        <v>124</v>
      </c>
      <c r="D101" t="s">
        <v>118</v>
      </c>
      <c r="E101" t="s">
        <v>816</v>
      </c>
      <c r="F101" t="s">
        <v>887</v>
      </c>
      <c r="G101" t="s">
        <v>888</v>
      </c>
      <c r="H101" t="s">
        <v>542</v>
      </c>
    </row>
    <row r="102" spans="1:8" x14ac:dyDescent="0.2">
      <c r="A102" s="20">
        <v>45471.434328703705</v>
      </c>
      <c r="B102" t="s">
        <v>298</v>
      </c>
      <c r="C102" t="s">
        <v>386</v>
      </c>
      <c r="D102" t="s">
        <v>118</v>
      </c>
      <c r="E102" t="s">
        <v>816</v>
      </c>
      <c r="F102" t="s">
        <v>889</v>
      </c>
      <c r="G102" t="s">
        <v>118</v>
      </c>
      <c r="H102" t="s">
        <v>467</v>
      </c>
    </row>
    <row r="103" spans="1:8" x14ac:dyDescent="0.2">
      <c r="A103" s="20">
        <v>45471.338854166665</v>
      </c>
      <c r="B103" t="s">
        <v>625</v>
      </c>
      <c r="C103" t="s">
        <v>626</v>
      </c>
      <c r="D103" t="s">
        <v>118</v>
      </c>
      <c r="E103" t="s">
        <v>816</v>
      </c>
      <c r="F103" t="s">
        <v>890</v>
      </c>
      <c r="G103" t="s">
        <v>118</v>
      </c>
      <c r="H103" t="s">
        <v>760</v>
      </c>
    </row>
    <row r="104" spans="1:8" x14ac:dyDescent="0.2">
      <c r="A104" s="20">
        <v>45470.89130787037</v>
      </c>
      <c r="B104" t="s">
        <v>383</v>
      </c>
      <c r="C104" t="s">
        <v>326</v>
      </c>
      <c r="D104" t="s">
        <v>118</v>
      </c>
      <c r="E104" t="s">
        <v>816</v>
      </c>
      <c r="F104" t="s">
        <v>891</v>
      </c>
      <c r="G104" t="s">
        <v>118</v>
      </c>
      <c r="H104" t="s">
        <v>328</v>
      </c>
    </row>
    <row r="105" spans="1:8" x14ac:dyDescent="0.2">
      <c r="A105" s="20">
        <v>45470.42496527778</v>
      </c>
      <c r="B105" t="s">
        <v>28</v>
      </c>
      <c r="C105" t="s">
        <v>892</v>
      </c>
      <c r="D105" t="s">
        <v>118</v>
      </c>
      <c r="E105" t="s">
        <v>816</v>
      </c>
      <c r="F105" t="s">
        <v>893</v>
      </c>
      <c r="G105" t="s">
        <v>118</v>
      </c>
      <c r="H105" t="s">
        <v>894</v>
      </c>
    </row>
    <row r="106" spans="1:8" x14ac:dyDescent="0.2">
      <c r="A106" s="20">
        <v>45470.280069444445</v>
      </c>
      <c r="B106" t="s">
        <v>664</v>
      </c>
      <c r="C106" t="s">
        <v>665</v>
      </c>
      <c r="D106" t="s">
        <v>118</v>
      </c>
      <c r="E106" t="s">
        <v>816</v>
      </c>
      <c r="F106" t="s">
        <v>895</v>
      </c>
      <c r="G106" t="s">
        <v>118</v>
      </c>
      <c r="H106" t="s">
        <v>664</v>
      </c>
    </row>
    <row r="107" spans="1:8" x14ac:dyDescent="0.2">
      <c r="A107" s="20">
        <v>45468.945520833331</v>
      </c>
      <c r="B107" t="s">
        <v>160</v>
      </c>
      <c r="C107" t="s">
        <v>635</v>
      </c>
      <c r="D107" t="s">
        <v>118</v>
      </c>
      <c r="E107" t="s">
        <v>816</v>
      </c>
      <c r="F107" t="s">
        <v>896</v>
      </c>
      <c r="G107" t="s">
        <v>118</v>
      </c>
      <c r="H107" t="s">
        <v>637</v>
      </c>
    </row>
    <row r="108" spans="1:8" x14ac:dyDescent="0.2">
      <c r="A108" s="20">
        <v>45468.944247685184</v>
      </c>
      <c r="B108" t="s">
        <v>897</v>
      </c>
      <c r="C108" t="s">
        <v>898</v>
      </c>
      <c r="D108" t="s">
        <v>118</v>
      </c>
      <c r="E108" t="s">
        <v>816</v>
      </c>
      <c r="F108" t="s">
        <v>899</v>
      </c>
      <c r="G108" t="s">
        <v>900</v>
      </c>
      <c r="H108" t="s">
        <v>901</v>
      </c>
    </row>
    <row r="109" spans="1:8" x14ac:dyDescent="0.2">
      <c r="A109" s="20">
        <v>45468.860219907408</v>
      </c>
      <c r="B109" t="s">
        <v>54</v>
      </c>
      <c r="C109" t="s">
        <v>902</v>
      </c>
      <c r="D109" t="s">
        <v>118</v>
      </c>
      <c r="E109" t="s">
        <v>816</v>
      </c>
      <c r="F109" t="s">
        <v>903</v>
      </c>
      <c r="G109" t="s">
        <v>118</v>
      </c>
      <c r="H109" t="s">
        <v>904</v>
      </c>
    </row>
    <row r="110" spans="1:8" x14ac:dyDescent="0.2">
      <c r="A110" s="20">
        <v>45468.757349537038</v>
      </c>
      <c r="B110" t="s">
        <v>131</v>
      </c>
      <c r="C110" t="s">
        <v>132</v>
      </c>
      <c r="D110" t="s">
        <v>118</v>
      </c>
      <c r="E110" t="s">
        <v>816</v>
      </c>
      <c r="F110" t="s">
        <v>105</v>
      </c>
      <c r="G110" t="s">
        <v>118</v>
      </c>
      <c r="H110" t="s">
        <v>464</v>
      </c>
    </row>
    <row r="111" spans="1:8" x14ac:dyDescent="0.2">
      <c r="A111" s="20">
        <v>45468.74664351852</v>
      </c>
      <c r="B111" t="s">
        <v>120</v>
      </c>
      <c r="C111" t="s">
        <v>121</v>
      </c>
      <c r="D111" t="s">
        <v>118</v>
      </c>
      <c r="E111" t="s">
        <v>816</v>
      </c>
      <c r="F111" t="s">
        <v>905</v>
      </c>
      <c r="G111" t="s">
        <v>118</v>
      </c>
      <c r="H111" t="s">
        <v>123</v>
      </c>
    </row>
    <row r="112" spans="1:8" x14ac:dyDescent="0.2">
      <c r="A112" s="20">
        <v>45468.735891203702</v>
      </c>
      <c r="B112" t="s">
        <v>124</v>
      </c>
      <c r="C112" t="s">
        <v>125</v>
      </c>
      <c r="D112" t="s">
        <v>118</v>
      </c>
      <c r="E112" t="s">
        <v>816</v>
      </c>
      <c r="F112" t="s">
        <v>906</v>
      </c>
      <c r="G112" t="s">
        <v>907</v>
      </c>
      <c r="H112" t="s">
        <v>561</v>
      </c>
    </row>
    <row r="113" spans="1:8" x14ac:dyDescent="0.2">
      <c r="A113" s="20">
        <v>45468.681527777779</v>
      </c>
      <c r="B113" t="s">
        <v>130</v>
      </c>
      <c r="C113" t="s">
        <v>86</v>
      </c>
      <c r="D113" t="s">
        <v>118</v>
      </c>
      <c r="E113" t="s">
        <v>816</v>
      </c>
      <c r="F113" t="s">
        <v>954</v>
      </c>
      <c r="G113" t="s">
        <v>908</v>
      </c>
      <c r="H113" t="s">
        <v>462</v>
      </c>
    </row>
    <row r="114" spans="1:8" x14ac:dyDescent="0.2">
      <c r="A114" s="20">
        <v>45468.649652777778</v>
      </c>
      <c r="B114" t="s">
        <v>160</v>
      </c>
      <c r="C114" t="s">
        <v>630</v>
      </c>
      <c r="D114" t="s">
        <v>118</v>
      </c>
      <c r="E114" t="s">
        <v>816</v>
      </c>
      <c r="F114" t="s">
        <v>909</v>
      </c>
      <c r="G114" t="s">
        <v>910</v>
      </c>
      <c r="H114" t="s">
        <v>633</v>
      </c>
    </row>
    <row r="115" spans="1:8" x14ac:dyDescent="0.2">
      <c r="A115" s="20">
        <v>45468.538055555553</v>
      </c>
      <c r="B115" t="s">
        <v>911</v>
      </c>
      <c r="C115" t="s">
        <v>912</v>
      </c>
      <c r="D115" t="s">
        <v>118</v>
      </c>
      <c r="E115" t="s">
        <v>816</v>
      </c>
      <c r="F115" t="s">
        <v>913</v>
      </c>
      <c r="G115" t="s">
        <v>118</v>
      </c>
      <c r="H115" t="s">
        <v>914</v>
      </c>
    </row>
    <row r="116" spans="1:8" x14ac:dyDescent="0.2">
      <c r="A116" s="20">
        <v>45468.532627314817</v>
      </c>
      <c r="B116" t="s">
        <v>28</v>
      </c>
      <c r="C116" t="s">
        <v>390</v>
      </c>
      <c r="D116" t="s">
        <v>118</v>
      </c>
      <c r="E116" t="s">
        <v>816</v>
      </c>
      <c r="F116" t="s">
        <v>915</v>
      </c>
      <c r="G116" t="s">
        <v>118</v>
      </c>
      <c r="H116" t="s">
        <v>242</v>
      </c>
    </row>
    <row r="117" spans="1:8" x14ac:dyDescent="0.2">
      <c r="A117" s="20">
        <v>45468.531643518516</v>
      </c>
      <c r="B117" t="s">
        <v>772</v>
      </c>
      <c r="C117" t="s">
        <v>773</v>
      </c>
      <c r="D117" t="s">
        <v>118</v>
      </c>
      <c r="E117" t="s">
        <v>816</v>
      </c>
      <c r="F117" t="s">
        <v>916</v>
      </c>
      <c r="G117" t="s">
        <v>917</v>
      </c>
      <c r="H117" t="s">
        <v>918</v>
      </c>
    </row>
    <row r="118" spans="1:8" x14ac:dyDescent="0.2">
      <c r="A118" s="20">
        <v>45468.531087962961</v>
      </c>
      <c r="B118" t="s">
        <v>768</v>
      </c>
      <c r="C118" t="s">
        <v>1017</v>
      </c>
      <c r="D118" t="s">
        <v>118</v>
      </c>
      <c r="E118" t="s">
        <v>816</v>
      </c>
      <c r="F118" t="s">
        <v>919</v>
      </c>
      <c r="G118" t="s">
        <v>770</v>
      </c>
      <c r="H118" t="s">
        <v>771</v>
      </c>
    </row>
    <row r="119" spans="1:8" x14ac:dyDescent="0.2">
      <c r="A119" s="20">
        <v>45468.514803240738</v>
      </c>
      <c r="B119" t="s">
        <v>138</v>
      </c>
      <c r="C119" t="s">
        <v>139</v>
      </c>
      <c r="D119" t="s">
        <v>118</v>
      </c>
      <c r="E119" t="s">
        <v>816</v>
      </c>
      <c r="F119" t="s">
        <v>958</v>
      </c>
      <c r="G119" t="s">
        <v>118</v>
      </c>
      <c r="H119" t="s">
        <v>451</v>
      </c>
    </row>
    <row r="120" spans="1:8" x14ac:dyDescent="0.2">
      <c r="A120" s="20">
        <v>45468.480613425927</v>
      </c>
      <c r="B120" t="s">
        <v>103</v>
      </c>
      <c r="C120" t="s">
        <v>104</v>
      </c>
      <c r="D120" t="s">
        <v>118</v>
      </c>
      <c r="E120" t="s">
        <v>816</v>
      </c>
      <c r="F120" t="s">
        <v>921</v>
      </c>
      <c r="G120" t="s">
        <v>118</v>
      </c>
      <c r="H120" t="s">
        <v>103</v>
      </c>
    </row>
    <row r="121" spans="1:8" x14ac:dyDescent="0.2">
      <c r="A121" s="20">
        <v>45468.479097222225</v>
      </c>
      <c r="B121" t="s">
        <v>195</v>
      </c>
      <c r="C121" t="s">
        <v>196</v>
      </c>
      <c r="D121" t="s">
        <v>118</v>
      </c>
      <c r="E121" t="s">
        <v>816</v>
      </c>
      <c r="F121" t="s">
        <v>922</v>
      </c>
      <c r="G121" t="s">
        <v>118</v>
      </c>
      <c r="H121" t="s">
        <v>199</v>
      </c>
    </row>
    <row r="122" spans="1:8" x14ac:dyDescent="0.2">
      <c r="A122" s="20">
        <v>45468.478495370371</v>
      </c>
      <c r="B122" t="s">
        <v>385</v>
      </c>
      <c r="C122" t="s">
        <v>379</v>
      </c>
      <c r="D122" t="s">
        <v>118</v>
      </c>
      <c r="E122" t="s">
        <v>816</v>
      </c>
      <c r="F122" t="s">
        <v>923</v>
      </c>
      <c r="G122" t="s">
        <v>118</v>
      </c>
      <c r="H122" t="s">
        <v>924</v>
      </c>
    </row>
    <row r="123" spans="1:8" x14ac:dyDescent="0.2">
      <c r="A123" s="20">
        <v>45468.445891203701</v>
      </c>
      <c r="B123" t="s">
        <v>46</v>
      </c>
      <c r="C123" t="s">
        <v>47</v>
      </c>
      <c r="D123" t="s">
        <v>118</v>
      </c>
      <c r="E123" t="s">
        <v>816</v>
      </c>
      <c r="F123" t="s">
        <v>925</v>
      </c>
      <c r="G123" t="s">
        <v>118</v>
      </c>
      <c r="H123" t="s">
        <v>159</v>
      </c>
    </row>
    <row r="124" spans="1:8" x14ac:dyDescent="0.2">
      <c r="A124" s="20">
        <v>45468.397893518515</v>
      </c>
      <c r="B124" t="s">
        <v>188</v>
      </c>
      <c r="C124" t="s">
        <v>736</v>
      </c>
      <c r="D124" t="s">
        <v>118</v>
      </c>
      <c r="E124" t="s">
        <v>816</v>
      </c>
      <c r="F124" t="s">
        <v>926</v>
      </c>
      <c r="G124" t="s">
        <v>927</v>
      </c>
      <c r="H124" t="s">
        <v>739</v>
      </c>
    </row>
    <row r="125" spans="1:8" x14ac:dyDescent="0.2">
      <c r="A125" s="20">
        <v>45468.393750000003</v>
      </c>
      <c r="B125" t="s">
        <v>204</v>
      </c>
      <c r="C125" t="s">
        <v>515</v>
      </c>
      <c r="D125" t="s">
        <v>118</v>
      </c>
      <c r="E125" t="s">
        <v>816</v>
      </c>
      <c r="F125" t="s">
        <v>920</v>
      </c>
      <c r="G125" t="s">
        <v>928</v>
      </c>
      <c r="H125" t="s">
        <v>351</v>
      </c>
    </row>
    <row r="126" spans="1:8" x14ac:dyDescent="0.2">
      <c r="A126" s="20">
        <v>45468.393599537034</v>
      </c>
      <c r="B126" t="s">
        <v>929</v>
      </c>
      <c r="C126" t="s">
        <v>930</v>
      </c>
      <c r="D126" t="s">
        <v>118</v>
      </c>
      <c r="E126" t="s">
        <v>816</v>
      </c>
      <c r="F126" t="s">
        <v>931</v>
      </c>
      <c r="G126" t="s">
        <v>118</v>
      </c>
      <c r="H126" t="s">
        <v>932</v>
      </c>
    </row>
    <row r="127" spans="1:8" x14ac:dyDescent="0.2">
      <c r="A127" s="20">
        <v>45468.379166666666</v>
      </c>
      <c r="B127" t="s">
        <v>897</v>
      </c>
      <c r="C127" t="s">
        <v>1008</v>
      </c>
      <c r="D127" t="s">
        <v>118</v>
      </c>
      <c r="E127" t="s">
        <v>816</v>
      </c>
      <c r="F127" t="s">
        <v>933</v>
      </c>
      <c r="G127" t="s">
        <v>934</v>
      </c>
      <c r="H127" t="s">
        <v>935</v>
      </c>
    </row>
    <row r="128" spans="1:8" x14ac:dyDescent="0.2">
      <c r="A128" s="20">
        <v>45468.368368055555</v>
      </c>
      <c r="B128" t="s">
        <v>160</v>
      </c>
      <c r="C128" t="s">
        <v>332</v>
      </c>
      <c r="D128" t="s">
        <v>118</v>
      </c>
      <c r="E128" t="s">
        <v>816</v>
      </c>
      <c r="F128" t="s">
        <v>936</v>
      </c>
      <c r="G128" t="s">
        <v>937</v>
      </c>
      <c r="H128" t="s">
        <v>160</v>
      </c>
    </row>
    <row r="129" spans="1:8" x14ac:dyDescent="0.2">
      <c r="A129" s="20">
        <v>45468.351099537038</v>
      </c>
      <c r="B129" t="s">
        <v>28</v>
      </c>
      <c r="C129" t="s">
        <v>29</v>
      </c>
      <c r="D129" t="s">
        <v>118</v>
      </c>
      <c r="E129" t="s">
        <v>816</v>
      </c>
      <c r="F129" t="s">
        <v>284</v>
      </c>
      <c r="G129" t="s">
        <v>118</v>
      </c>
      <c r="H129" t="s">
        <v>271</v>
      </c>
    </row>
    <row r="130" spans="1:8" x14ac:dyDescent="0.2">
      <c r="A130" s="20">
        <v>45468.349236111113</v>
      </c>
      <c r="B130" t="s">
        <v>67</v>
      </c>
      <c r="C130" t="s">
        <v>68</v>
      </c>
      <c r="D130" t="s">
        <v>118</v>
      </c>
      <c r="E130" t="s">
        <v>816</v>
      </c>
      <c r="F130" t="s">
        <v>938</v>
      </c>
      <c r="G130" t="s">
        <v>939</v>
      </c>
      <c r="H130" t="s">
        <v>67</v>
      </c>
    </row>
    <row r="131" spans="1:8" x14ac:dyDescent="0.2">
      <c r="A131" s="20">
        <v>45453.618252314816</v>
      </c>
      <c r="B131" t="s">
        <v>840</v>
      </c>
      <c r="C131" t="s">
        <v>841</v>
      </c>
      <c r="D131" t="s">
        <v>118</v>
      </c>
      <c r="E131" t="s">
        <v>816</v>
      </c>
      <c r="F131" t="s">
        <v>843</v>
      </c>
      <c r="G131" t="s">
        <v>844</v>
      </c>
      <c r="H131" t="s">
        <v>842</v>
      </c>
    </row>
    <row r="132" spans="1:8" x14ac:dyDescent="0.2">
      <c r="A132" s="20">
        <v>45453.478101851855</v>
      </c>
      <c r="B132" t="s">
        <v>837</v>
      </c>
      <c r="C132" t="s">
        <v>838</v>
      </c>
      <c r="D132" t="s">
        <v>118</v>
      </c>
      <c r="E132" t="s">
        <v>816</v>
      </c>
      <c r="F132" t="s">
        <v>845</v>
      </c>
      <c r="G132" t="s">
        <v>118</v>
      </c>
      <c r="H132" t="s">
        <v>839</v>
      </c>
    </row>
    <row r="133" spans="1:8" x14ac:dyDescent="0.2">
      <c r="A133" s="20">
        <v>45447.583368055559</v>
      </c>
      <c r="B133" t="s">
        <v>813</v>
      </c>
      <c r="C133" t="s">
        <v>814</v>
      </c>
      <c r="D133" t="s">
        <v>118</v>
      </c>
      <c r="E133" t="s">
        <v>816</v>
      </c>
      <c r="F133" t="s">
        <v>817</v>
      </c>
      <c r="G133" t="s">
        <v>818</v>
      </c>
      <c r="H133" t="s">
        <v>813</v>
      </c>
    </row>
    <row r="134" spans="1:8" x14ac:dyDescent="0.2">
      <c r="A134" s="20">
        <v>45443.796226851853</v>
      </c>
      <c r="B134" t="s">
        <v>145</v>
      </c>
      <c r="C134" t="s">
        <v>380</v>
      </c>
      <c r="D134" t="s">
        <v>118</v>
      </c>
      <c r="E134" t="s">
        <v>681</v>
      </c>
      <c r="F134" t="s">
        <v>819</v>
      </c>
      <c r="G134" t="s">
        <v>801</v>
      </c>
      <c r="H134" t="s">
        <v>802</v>
      </c>
    </row>
    <row r="135" spans="1:8" x14ac:dyDescent="0.2">
      <c r="A135" s="20">
        <v>45443.591805555552</v>
      </c>
      <c r="B135" t="s">
        <v>282</v>
      </c>
      <c r="C135" t="s">
        <v>815</v>
      </c>
      <c r="D135" t="s">
        <v>118</v>
      </c>
      <c r="E135" t="s">
        <v>681</v>
      </c>
      <c r="F135" t="s">
        <v>820</v>
      </c>
      <c r="G135" t="s">
        <v>804</v>
      </c>
      <c r="H135" t="s">
        <v>805</v>
      </c>
    </row>
    <row r="136" spans="1:8" x14ac:dyDescent="0.2">
      <c r="A136" s="20">
        <v>45442.992766203701</v>
      </c>
      <c r="B136" t="s">
        <v>342</v>
      </c>
      <c r="C136" t="s">
        <v>211</v>
      </c>
      <c r="D136" t="s">
        <v>118</v>
      </c>
      <c r="E136" t="s">
        <v>681</v>
      </c>
      <c r="F136" t="s">
        <v>821</v>
      </c>
      <c r="G136" t="s">
        <v>118</v>
      </c>
      <c r="H136" t="s">
        <v>213</v>
      </c>
    </row>
    <row r="137" spans="1:8" x14ac:dyDescent="0.2">
      <c r="A137" s="20">
        <v>45442.972094907411</v>
      </c>
      <c r="B137" t="s">
        <v>124</v>
      </c>
      <c r="C137" t="s">
        <v>166</v>
      </c>
      <c r="D137" t="s">
        <v>118</v>
      </c>
      <c r="E137" t="s">
        <v>681</v>
      </c>
      <c r="F137" t="s">
        <v>822</v>
      </c>
      <c r="G137" t="s">
        <v>118</v>
      </c>
      <c r="H137" t="s">
        <v>124</v>
      </c>
    </row>
    <row r="138" spans="1:8" x14ac:dyDescent="0.2">
      <c r="A138" s="20">
        <v>45442.867418981485</v>
      </c>
      <c r="B138" t="s">
        <v>204</v>
      </c>
      <c r="C138" t="s">
        <v>515</v>
      </c>
      <c r="D138" t="s">
        <v>118</v>
      </c>
      <c r="E138" t="s">
        <v>681</v>
      </c>
      <c r="F138" t="s">
        <v>823</v>
      </c>
      <c r="G138" t="s">
        <v>806</v>
      </c>
      <c r="H138" t="s">
        <v>351</v>
      </c>
    </row>
    <row r="139" spans="1:8" x14ac:dyDescent="0.2">
      <c r="A139" s="20">
        <v>45442.845254629632</v>
      </c>
      <c r="B139" t="s">
        <v>175</v>
      </c>
      <c r="C139" t="s">
        <v>23</v>
      </c>
      <c r="D139" t="s">
        <v>118</v>
      </c>
      <c r="E139" t="s">
        <v>681</v>
      </c>
      <c r="F139" t="s">
        <v>798</v>
      </c>
      <c r="G139" t="s">
        <v>799</v>
      </c>
      <c r="H139" t="s">
        <v>178</v>
      </c>
    </row>
    <row r="140" spans="1:8" x14ac:dyDescent="0.2">
      <c r="A140" s="20">
        <v>45442.780740740738</v>
      </c>
      <c r="B140" t="s">
        <v>28</v>
      </c>
      <c r="C140" t="s">
        <v>323</v>
      </c>
      <c r="D140" t="s">
        <v>118</v>
      </c>
      <c r="E140" t="s">
        <v>681</v>
      </c>
      <c r="F140" t="s">
        <v>824</v>
      </c>
      <c r="G140" t="s">
        <v>807</v>
      </c>
      <c r="H140" t="s">
        <v>2</v>
      </c>
    </row>
    <row r="141" spans="1:8" x14ac:dyDescent="0.2">
      <c r="A141" s="20">
        <v>45442.739571759259</v>
      </c>
      <c r="B141" t="s">
        <v>28</v>
      </c>
      <c r="C141" t="s">
        <v>441</v>
      </c>
      <c r="D141" t="s">
        <v>118</v>
      </c>
      <c r="E141" t="s">
        <v>681</v>
      </c>
      <c r="F141" t="s">
        <v>682</v>
      </c>
      <c r="G141" t="s">
        <v>118</v>
      </c>
      <c r="H141" t="s">
        <v>535</v>
      </c>
    </row>
    <row r="142" spans="1:8" x14ac:dyDescent="0.2">
      <c r="A142" s="20">
        <v>45442.716412037036</v>
      </c>
      <c r="B142" t="s">
        <v>135</v>
      </c>
      <c r="C142" t="s">
        <v>389</v>
      </c>
      <c r="D142" t="s">
        <v>118</v>
      </c>
      <c r="E142" t="s">
        <v>681</v>
      </c>
      <c r="F142" t="s">
        <v>683</v>
      </c>
      <c r="G142" t="s">
        <v>684</v>
      </c>
      <c r="H142" t="s">
        <v>456</v>
      </c>
    </row>
    <row r="143" spans="1:8" x14ac:dyDescent="0.2">
      <c r="A143" s="20">
        <v>45442.589004629626</v>
      </c>
      <c r="B143" t="s">
        <v>28</v>
      </c>
      <c r="C143" t="s">
        <v>685</v>
      </c>
      <c r="D143" t="s">
        <v>118</v>
      </c>
      <c r="E143" t="s">
        <v>681</v>
      </c>
      <c r="F143" t="s">
        <v>686</v>
      </c>
      <c r="G143" t="s">
        <v>687</v>
      </c>
      <c r="H143" t="s">
        <v>688</v>
      </c>
    </row>
    <row r="144" spans="1:8" x14ac:dyDescent="0.2">
      <c r="A144" s="20">
        <v>45442.555324074077</v>
      </c>
      <c r="B144" t="s">
        <v>72</v>
      </c>
      <c r="C144" t="s">
        <v>562</v>
      </c>
      <c r="D144" t="s">
        <v>118</v>
      </c>
      <c r="E144" t="s">
        <v>681</v>
      </c>
      <c r="F144" t="s">
        <v>689</v>
      </c>
      <c r="G144" t="s">
        <v>118</v>
      </c>
      <c r="H144" t="s">
        <v>566</v>
      </c>
    </row>
    <row r="145" spans="1:8" x14ac:dyDescent="0.2">
      <c r="A145">
        <v>45442.494826388887</v>
      </c>
      <c r="B145" t="s">
        <v>525</v>
      </c>
      <c r="C145" t="s">
        <v>690</v>
      </c>
      <c r="D145" t="s">
        <v>118</v>
      </c>
      <c r="E145" t="s">
        <v>681</v>
      </c>
      <c r="F145" t="s">
        <v>691</v>
      </c>
      <c r="G145" t="s">
        <v>118</v>
      </c>
      <c r="H145" t="s">
        <v>692</v>
      </c>
    </row>
    <row r="146" spans="1:8" x14ac:dyDescent="0.2">
      <c r="A146">
        <v>45442.370821759258</v>
      </c>
      <c r="B146" t="s">
        <v>204</v>
      </c>
      <c r="C146" t="s">
        <v>378</v>
      </c>
      <c r="D146" t="s">
        <v>118</v>
      </c>
      <c r="E146" t="s">
        <v>681</v>
      </c>
      <c r="F146" t="s">
        <v>693</v>
      </c>
      <c r="G146" t="s">
        <v>694</v>
      </c>
      <c r="H146" t="s">
        <v>37</v>
      </c>
    </row>
    <row r="147" spans="1:8" x14ac:dyDescent="0.2">
      <c r="A147">
        <v>45442.358819444446</v>
      </c>
      <c r="B147" t="s">
        <v>112</v>
      </c>
      <c r="C147" t="s">
        <v>395</v>
      </c>
      <c r="D147" t="s">
        <v>118</v>
      </c>
      <c r="E147" t="s">
        <v>681</v>
      </c>
      <c r="F147" t="s">
        <v>695</v>
      </c>
      <c r="G147" t="s">
        <v>696</v>
      </c>
      <c r="H147" t="s">
        <v>697</v>
      </c>
    </row>
    <row r="148" spans="1:8" x14ac:dyDescent="0.2">
      <c r="A148">
        <v>45442.346099537041</v>
      </c>
      <c r="B148" t="s">
        <v>72</v>
      </c>
      <c r="C148" t="s">
        <v>552</v>
      </c>
      <c r="D148" t="s">
        <v>118</v>
      </c>
      <c r="E148" t="s">
        <v>681</v>
      </c>
      <c r="F148" t="s">
        <v>698</v>
      </c>
      <c r="G148" t="s">
        <v>699</v>
      </c>
      <c r="H148" t="s">
        <v>700</v>
      </c>
    </row>
    <row r="149" spans="1:8" x14ac:dyDescent="0.2">
      <c r="A149">
        <v>45441.860567129632</v>
      </c>
      <c r="B149" t="s">
        <v>76</v>
      </c>
      <c r="C149" t="s">
        <v>77</v>
      </c>
      <c r="D149" t="s">
        <v>118</v>
      </c>
      <c r="E149" t="s">
        <v>681</v>
      </c>
      <c r="F149" t="s">
        <v>701</v>
      </c>
      <c r="G149" t="s">
        <v>118</v>
      </c>
      <c r="H149" t="s">
        <v>76</v>
      </c>
    </row>
    <row r="150" spans="1:8" x14ac:dyDescent="0.2">
      <c r="A150">
        <v>45441.837650462963</v>
      </c>
      <c r="B150" t="s">
        <v>357</v>
      </c>
      <c r="C150" t="s">
        <v>358</v>
      </c>
      <c r="D150" t="s">
        <v>118</v>
      </c>
      <c r="E150" t="s">
        <v>681</v>
      </c>
      <c r="F150" t="s">
        <v>702</v>
      </c>
      <c r="G150" t="s">
        <v>118</v>
      </c>
      <c r="H150" t="s">
        <v>357</v>
      </c>
    </row>
    <row r="151" spans="1:8" x14ac:dyDescent="0.2">
      <c r="A151">
        <v>45441.571400462963</v>
      </c>
      <c r="B151" t="s">
        <v>282</v>
      </c>
      <c r="C151" t="s">
        <v>703</v>
      </c>
      <c r="D151" t="s">
        <v>118</v>
      </c>
      <c r="E151" t="s">
        <v>681</v>
      </c>
      <c r="F151" t="s">
        <v>704</v>
      </c>
      <c r="G151" t="s">
        <v>705</v>
      </c>
      <c r="H151" t="s">
        <v>706</v>
      </c>
    </row>
    <row r="152" spans="1:8" x14ac:dyDescent="0.2">
      <c r="A152">
        <v>45441.453761574077</v>
      </c>
      <c r="B152" t="s">
        <v>72</v>
      </c>
      <c r="C152" t="s">
        <v>707</v>
      </c>
      <c r="D152" t="s">
        <v>118</v>
      </c>
      <c r="E152" t="s">
        <v>681</v>
      </c>
      <c r="F152" t="s">
        <v>708</v>
      </c>
      <c r="G152" t="s">
        <v>118</v>
      </c>
      <c r="H152" t="s">
        <v>709</v>
      </c>
    </row>
    <row r="153" spans="1:8" x14ac:dyDescent="0.2">
      <c r="A153">
        <v>45441.388356481482</v>
      </c>
      <c r="B153" t="s">
        <v>28</v>
      </c>
      <c r="C153" t="s">
        <v>390</v>
      </c>
      <c r="D153" t="s">
        <v>118</v>
      </c>
      <c r="E153" t="s">
        <v>681</v>
      </c>
      <c r="F153" t="s">
        <v>710</v>
      </c>
      <c r="G153" t="s">
        <v>711</v>
      </c>
      <c r="H153" t="s">
        <v>242</v>
      </c>
    </row>
    <row r="154" spans="1:8" x14ac:dyDescent="0.2">
      <c r="A154">
        <v>45441.356458333335</v>
      </c>
      <c r="B154" t="s">
        <v>525</v>
      </c>
      <c r="C154" t="s">
        <v>526</v>
      </c>
      <c r="D154" t="s">
        <v>118</v>
      </c>
      <c r="E154" t="s">
        <v>681</v>
      </c>
      <c r="F154" t="s">
        <v>712</v>
      </c>
      <c r="G154" t="s">
        <v>713</v>
      </c>
      <c r="H154" t="s">
        <v>525</v>
      </c>
    </row>
    <row r="155" spans="1:8" x14ac:dyDescent="0.2">
      <c r="A155">
        <v>45441.35465277778</v>
      </c>
      <c r="B155" t="s">
        <v>72</v>
      </c>
      <c r="C155" t="s">
        <v>124</v>
      </c>
      <c r="D155" t="s">
        <v>118</v>
      </c>
      <c r="E155" t="s">
        <v>681</v>
      </c>
      <c r="F155" t="s">
        <v>795</v>
      </c>
      <c r="G155" t="s">
        <v>715</v>
      </c>
      <c r="H155" t="s">
        <v>542</v>
      </c>
    </row>
    <row r="156" spans="1:8" x14ac:dyDescent="0.2">
      <c r="A156">
        <v>45441.316516203704</v>
      </c>
      <c r="B156" t="s">
        <v>716</v>
      </c>
      <c r="C156" t="s">
        <v>717</v>
      </c>
      <c r="D156" t="s">
        <v>118</v>
      </c>
      <c r="E156" t="s">
        <v>681</v>
      </c>
      <c r="F156" t="s">
        <v>718</v>
      </c>
      <c r="G156" t="s">
        <v>118</v>
      </c>
      <c r="H156" t="s">
        <v>719</v>
      </c>
    </row>
    <row r="157" spans="1:8" x14ac:dyDescent="0.2">
      <c r="A157">
        <v>45441.016157407408</v>
      </c>
      <c r="B157" t="s">
        <v>135</v>
      </c>
      <c r="C157" t="s">
        <v>389</v>
      </c>
      <c r="D157" t="s">
        <v>118</v>
      </c>
      <c r="E157" t="s">
        <v>796</v>
      </c>
      <c r="F157" t="s">
        <v>720</v>
      </c>
      <c r="G157" t="s">
        <v>721</v>
      </c>
      <c r="H157" t="s">
        <v>722</v>
      </c>
    </row>
    <row r="158" spans="1:8" x14ac:dyDescent="0.2">
      <c r="A158">
        <v>45440.98578703704</v>
      </c>
      <c r="B158" t="s">
        <v>124</v>
      </c>
      <c r="C158" t="s">
        <v>125</v>
      </c>
      <c r="D158" t="s">
        <v>118</v>
      </c>
      <c r="E158" t="s">
        <v>681</v>
      </c>
      <c r="F158" t="s">
        <v>568</v>
      </c>
      <c r="G158" t="s">
        <v>723</v>
      </c>
      <c r="H158" t="s">
        <v>124</v>
      </c>
    </row>
    <row r="159" spans="1:8" x14ac:dyDescent="0.2">
      <c r="A159">
        <v>45440.964849537035</v>
      </c>
      <c r="B159" t="s">
        <v>33</v>
      </c>
      <c r="C159" t="s">
        <v>724</v>
      </c>
      <c r="D159" t="s">
        <v>118</v>
      </c>
      <c r="E159" t="s">
        <v>681</v>
      </c>
      <c r="F159" t="s">
        <v>725</v>
      </c>
      <c r="G159" t="s">
        <v>726</v>
      </c>
      <c r="H159" t="s">
        <v>727</v>
      </c>
    </row>
    <row r="160" spans="1:8" x14ac:dyDescent="0.2">
      <c r="A160">
        <v>45440.823553240742</v>
      </c>
      <c r="B160" t="s">
        <v>305</v>
      </c>
      <c r="C160" t="s">
        <v>306</v>
      </c>
      <c r="D160" t="s">
        <v>118</v>
      </c>
      <c r="E160" t="s">
        <v>681</v>
      </c>
      <c r="F160" t="s">
        <v>714</v>
      </c>
      <c r="G160" t="s">
        <v>728</v>
      </c>
      <c r="H160" t="s">
        <v>309</v>
      </c>
    </row>
    <row r="161" spans="1:8" x14ac:dyDescent="0.2">
      <c r="A161">
        <v>45440.813252314816</v>
      </c>
      <c r="B161" t="s">
        <v>729</v>
      </c>
      <c r="C161" t="s">
        <v>730</v>
      </c>
      <c r="D161" t="s">
        <v>118</v>
      </c>
      <c r="E161" t="s">
        <v>681</v>
      </c>
      <c r="F161" t="s">
        <v>731</v>
      </c>
      <c r="G161" t="s">
        <v>732</v>
      </c>
      <c r="H161" t="s">
        <v>733</v>
      </c>
    </row>
    <row r="162" spans="1:8" x14ac:dyDescent="0.2">
      <c r="A162">
        <v>45440.782361111109</v>
      </c>
      <c r="B162" t="s">
        <v>298</v>
      </c>
      <c r="C162" t="s">
        <v>386</v>
      </c>
      <c r="D162" t="s">
        <v>118</v>
      </c>
      <c r="E162" t="s">
        <v>681</v>
      </c>
      <c r="F162" t="s">
        <v>734</v>
      </c>
      <c r="G162" t="s">
        <v>118</v>
      </c>
      <c r="H162" t="s">
        <v>300</v>
      </c>
    </row>
    <row r="163" spans="1:8" x14ac:dyDescent="0.2">
      <c r="A163">
        <v>45440.507245370369</v>
      </c>
      <c r="B163" t="s">
        <v>388</v>
      </c>
      <c r="C163" t="s">
        <v>148</v>
      </c>
      <c r="D163" t="s">
        <v>118</v>
      </c>
      <c r="E163" t="s">
        <v>681</v>
      </c>
      <c r="F163" t="s">
        <v>735</v>
      </c>
      <c r="G163" t="s">
        <v>118</v>
      </c>
      <c r="H163" t="s">
        <v>151</v>
      </c>
    </row>
    <row r="164" spans="1:8" x14ac:dyDescent="0.2">
      <c r="A164">
        <v>45440.4609837963</v>
      </c>
      <c r="B164" t="s">
        <v>188</v>
      </c>
      <c r="C164" t="s">
        <v>736</v>
      </c>
      <c r="D164" t="s">
        <v>118</v>
      </c>
      <c r="E164" t="s">
        <v>681</v>
      </c>
      <c r="F164" t="s">
        <v>737</v>
      </c>
      <c r="G164" t="s">
        <v>738</v>
      </c>
      <c r="H164" t="s">
        <v>739</v>
      </c>
    </row>
    <row r="165" spans="1:8" x14ac:dyDescent="0.2">
      <c r="A165">
        <v>45440.439930555556</v>
      </c>
      <c r="B165" t="s">
        <v>120</v>
      </c>
      <c r="C165" t="s">
        <v>121</v>
      </c>
      <c r="D165" t="s">
        <v>118</v>
      </c>
      <c r="E165" t="s">
        <v>681</v>
      </c>
      <c r="F165" t="s">
        <v>740</v>
      </c>
      <c r="G165" t="s">
        <v>118</v>
      </c>
      <c r="H165" t="s">
        <v>123</v>
      </c>
    </row>
    <row r="166" spans="1:8" x14ac:dyDescent="0.2">
      <c r="A166">
        <v>45439.97855324074</v>
      </c>
      <c r="B166" t="s">
        <v>577</v>
      </c>
      <c r="C166" t="s">
        <v>578</v>
      </c>
      <c r="D166" t="s">
        <v>118</v>
      </c>
      <c r="E166" t="s">
        <v>681</v>
      </c>
      <c r="F166" t="s">
        <v>741</v>
      </c>
      <c r="G166" t="s">
        <v>742</v>
      </c>
      <c r="H166" t="s">
        <v>581</v>
      </c>
    </row>
    <row r="167" spans="1:8" x14ac:dyDescent="0.2">
      <c r="A167">
        <v>45439.543113425927</v>
      </c>
      <c r="B167" t="s">
        <v>160</v>
      </c>
      <c r="C167" t="s">
        <v>630</v>
      </c>
      <c r="D167" t="s">
        <v>118</v>
      </c>
      <c r="E167" t="s">
        <v>681</v>
      </c>
      <c r="F167" t="s">
        <v>743</v>
      </c>
      <c r="G167" t="s">
        <v>118</v>
      </c>
      <c r="H167" t="s">
        <v>633</v>
      </c>
    </row>
    <row r="168" spans="1:8" x14ac:dyDescent="0.2">
      <c r="A168">
        <v>45438.569675925923</v>
      </c>
      <c r="B168" t="s">
        <v>385</v>
      </c>
      <c r="C168" t="s">
        <v>379</v>
      </c>
      <c r="D168" t="s">
        <v>118</v>
      </c>
      <c r="E168" t="s">
        <v>681</v>
      </c>
      <c r="F168" t="s">
        <v>744</v>
      </c>
      <c r="G168" t="s">
        <v>118</v>
      </c>
      <c r="H168" t="s">
        <v>745</v>
      </c>
    </row>
    <row r="169" spans="1:8" x14ac:dyDescent="0.2">
      <c r="A169">
        <v>45438.471701388888</v>
      </c>
      <c r="B169" t="s">
        <v>28</v>
      </c>
      <c r="C169" t="s">
        <v>29</v>
      </c>
      <c r="D169" t="s">
        <v>118</v>
      </c>
      <c r="E169" t="s">
        <v>681</v>
      </c>
      <c r="F169" t="s">
        <v>445</v>
      </c>
      <c r="G169" t="s">
        <v>746</v>
      </c>
      <c r="H169" t="s">
        <v>271</v>
      </c>
    </row>
    <row r="170" spans="1:8" x14ac:dyDescent="0.2">
      <c r="A170">
        <v>45438.420891203707</v>
      </c>
      <c r="B170" t="s">
        <v>301</v>
      </c>
      <c r="C170" t="s">
        <v>747</v>
      </c>
      <c r="D170" t="s">
        <v>118</v>
      </c>
      <c r="E170" t="s">
        <v>681</v>
      </c>
      <c r="F170" t="s">
        <v>797</v>
      </c>
      <c r="G170" t="s">
        <v>118</v>
      </c>
      <c r="H170" t="s">
        <v>203</v>
      </c>
    </row>
    <row r="171" spans="1:8" x14ac:dyDescent="0.2">
      <c r="A171">
        <v>45438.373368055552</v>
      </c>
      <c r="B171" t="s">
        <v>748</v>
      </c>
      <c r="C171" t="s">
        <v>622</v>
      </c>
      <c r="D171" t="s">
        <v>118</v>
      </c>
      <c r="E171" t="s">
        <v>681</v>
      </c>
      <c r="F171" t="s">
        <v>749</v>
      </c>
      <c r="G171" t="s">
        <v>118</v>
      </c>
      <c r="H171" t="s">
        <v>748</v>
      </c>
    </row>
    <row r="172" spans="1:8" x14ac:dyDescent="0.2">
      <c r="A172">
        <v>45437.911851851852</v>
      </c>
      <c r="B172" t="s">
        <v>138</v>
      </c>
      <c r="C172" t="s">
        <v>139</v>
      </c>
      <c r="D172" t="s">
        <v>118</v>
      </c>
      <c r="E172" t="s">
        <v>681</v>
      </c>
      <c r="F172" t="s">
        <v>750</v>
      </c>
      <c r="G172" t="s">
        <v>118</v>
      </c>
      <c r="H172" t="s">
        <v>142</v>
      </c>
    </row>
    <row r="173" spans="1:8" x14ac:dyDescent="0.2">
      <c r="A173">
        <v>45437.714108796295</v>
      </c>
      <c r="B173" t="s">
        <v>28</v>
      </c>
      <c r="C173" t="s">
        <v>751</v>
      </c>
      <c r="D173" t="s">
        <v>118</v>
      </c>
      <c r="E173" t="s">
        <v>681</v>
      </c>
      <c r="F173" t="s">
        <v>752</v>
      </c>
      <c r="G173" t="s">
        <v>118</v>
      </c>
      <c r="H173" t="s">
        <v>753</v>
      </c>
    </row>
    <row r="174" spans="1:8" x14ac:dyDescent="0.2">
      <c r="A174">
        <v>45437.696747685186</v>
      </c>
      <c r="B174" t="s">
        <v>382</v>
      </c>
      <c r="C174" t="s">
        <v>182</v>
      </c>
      <c r="D174" t="s">
        <v>118</v>
      </c>
      <c r="E174" t="s">
        <v>681</v>
      </c>
      <c r="F174" t="s">
        <v>754</v>
      </c>
      <c r="G174" t="s">
        <v>118</v>
      </c>
      <c r="H174" t="s">
        <v>331</v>
      </c>
    </row>
    <row r="175" spans="1:8" x14ac:dyDescent="0.2">
      <c r="A175">
        <v>45437.630011574074</v>
      </c>
      <c r="B175" t="s">
        <v>131</v>
      </c>
      <c r="C175" t="s">
        <v>132</v>
      </c>
      <c r="D175" t="s">
        <v>118</v>
      </c>
      <c r="E175" t="s">
        <v>681</v>
      </c>
      <c r="F175" t="s">
        <v>755</v>
      </c>
      <c r="G175" t="s">
        <v>118</v>
      </c>
      <c r="H175" t="s">
        <v>464</v>
      </c>
    </row>
    <row r="176" spans="1:8" x14ac:dyDescent="0.2">
      <c r="A176">
        <v>45437.52175925926</v>
      </c>
      <c r="B176" t="s">
        <v>160</v>
      </c>
      <c r="C176" t="s">
        <v>332</v>
      </c>
      <c r="D176" t="s">
        <v>118</v>
      </c>
      <c r="E176" t="s">
        <v>681</v>
      </c>
      <c r="F176" t="s">
        <v>756</v>
      </c>
      <c r="G176" t="s">
        <v>757</v>
      </c>
      <c r="H176" t="s">
        <v>758</v>
      </c>
    </row>
    <row r="177" spans="1:8" x14ac:dyDescent="0.2">
      <c r="A177">
        <v>45437.444212962961</v>
      </c>
      <c r="B177" t="s">
        <v>625</v>
      </c>
      <c r="C177" t="s">
        <v>626</v>
      </c>
      <c r="D177" t="s">
        <v>118</v>
      </c>
      <c r="E177" t="s">
        <v>681</v>
      </c>
      <c r="F177" t="s">
        <v>759</v>
      </c>
      <c r="G177" t="s">
        <v>118</v>
      </c>
      <c r="H177" t="s">
        <v>760</v>
      </c>
    </row>
    <row r="178" spans="1:8" x14ac:dyDescent="0.2">
      <c r="A178">
        <v>45437.425567129627</v>
      </c>
      <c r="B178" t="s">
        <v>130</v>
      </c>
      <c r="C178" t="s">
        <v>86</v>
      </c>
      <c r="D178" t="s">
        <v>118</v>
      </c>
      <c r="E178" t="s">
        <v>681</v>
      </c>
      <c r="F178" t="s">
        <v>761</v>
      </c>
      <c r="G178" t="s">
        <v>762</v>
      </c>
      <c r="H178" t="s">
        <v>462</v>
      </c>
    </row>
    <row r="179" spans="1:8" x14ac:dyDescent="0.2">
      <c r="A179">
        <v>45437.414143518516</v>
      </c>
      <c r="B179" t="s">
        <v>195</v>
      </c>
      <c r="C179" t="s">
        <v>196</v>
      </c>
      <c r="D179" t="s">
        <v>118</v>
      </c>
      <c r="E179" t="s">
        <v>681</v>
      </c>
      <c r="F179" t="s">
        <v>763</v>
      </c>
      <c r="G179" t="s">
        <v>764</v>
      </c>
      <c r="H179" t="s">
        <v>199</v>
      </c>
    </row>
    <row r="180" spans="1:8" x14ac:dyDescent="0.2">
      <c r="A180">
        <v>45437.401099537034</v>
      </c>
      <c r="B180" t="s">
        <v>67</v>
      </c>
      <c r="C180" t="s">
        <v>68</v>
      </c>
      <c r="D180" t="s">
        <v>118</v>
      </c>
      <c r="E180" t="s">
        <v>681</v>
      </c>
      <c r="F180" t="s">
        <v>294</v>
      </c>
      <c r="G180" t="s">
        <v>765</v>
      </c>
      <c r="H180" t="s">
        <v>67</v>
      </c>
    </row>
    <row r="181" spans="1:8" x14ac:dyDescent="0.2">
      <c r="A181">
        <v>45437.399328703701</v>
      </c>
      <c r="B181" t="s">
        <v>160</v>
      </c>
      <c r="C181" t="s">
        <v>635</v>
      </c>
      <c r="D181" t="s">
        <v>118</v>
      </c>
      <c r="E181" t="s">
        <v>681</v>
      </c>
      <c r="F181" t="s">
        <v>766</v>
      </c>
      <c r="G181" t="s">
        <v>118</v>
      </c>
      <c r="H181" t="s">
        <v>637</v>
      </c>
    </row>
    <row r="182" spans="1:8" x14ac:dyDescent="0.2">
      <c r="A182">
        <v>45437.395937499998</v>
      </c>
      <c r="B182" t="s">
        <v>103</v>
      </c>
      <c r="C182" t="s">
        <v>104</v>
      </c>
      <c r="D182" t="s">
        <v>118</v>
      </c>
      <c r="E182" t="s">
        <v>681</v>
      </c>
      <c r="F182" t="s">
        <v>767</v>
      </c>
      <c r="G182" t="s">
        <v>118</v>
      </c>
      <c r="H182" t="s">
        <v>103</v>
      </c>
    </row>
    <row r="183" spans="1:8" x14ac:dyDescent="0.2">
      <c r="A183">
        <v>45437.387719907405</v>
      </c>
      <c r="B183" t="s">
        <v>768</v>
      </c>
      <c r="C183" t="s">
        <v>1017</v>
      </c>
      <c r="D183" t="s">
        <v>118</v>
      </c>
      <c r="E183" t="s">
        <v>681</v>
      </c>
      <c r="F183" t="s">
        <v>769</v>
      </c>
      <c r="G183" t="s">
        <v>770</v>
      </c>
      <c r="H183" t="s">
        <v>771</v>
      </c>
    </row>
    <row r="184" spans="1:8" x14ac:dyDescent="0.2">
      <c r="A184">
        <v>45437.372129629628</v>
      </c>
      <c r="B184" t="s">
        <v>772</v>
      </c>
      <c r="C184" t="s">
        <v>773</v>
      </c>
      <c r="D184" t="s">
        <v>118</v>
      </c>
      <c r="E184" t="s">
        <v>681</v>
      </c>
      <c r="F184" t="s">
        <v>774</v>
      </c>
      <c r="G184" t="s">
        <v>118</v>
      </c>
      <c r="H184" t="s">
        <v>775</v>
      </c>
    </row>
    <row r="185" spans="1:8" x14ac:dyDescent="0.2">
      <c r="A185">
        <v>45437.364004629628</v>
      </c>
      <c r="B185" t="s">
        <v>383</v>
      </c>
      <c r="C185" t="s">
        <v>326</v>
      </c>
      <c r="D185" t="s">
        <v>118</v>
      </c>
      <c r="E185" t="s">
        <v>681</v>
      </c>
      <c r="F185" t="s">
        <v>776</v>
      </c>
      <c r="G185" t="s">
        <v>118</v>
      </c>
      <c r="H185" t="s">
        <v>328</v>
      </c>
    </row>
    <row r="186" spans="1:8" x14ac:dyDescent="0.2">
      <c r="A186">
        <v>45437.362800925926</v>
      </c>
      <c r="B186" t="s">
        <v>531</v>
      </c>
      <c r="C186" t="s">
        <v>293</v>
      </c>
      <c r="D186" t="s">
        <v>118</v>
      </c>
      <c r="E186" t="s">
        <v>681</v>
      </c>
      <c r="F186" t="s">
        <v>777</v>
      </c>
      <c r="G186" t="s">
        <v>118</v>
      </c>
      <c r="H186" t="s">
        <v>531</v>
      </c>
    </row>
    <row r="187" spans="1:8" x14ac:dyDescent="0.2">
      <c r="A187">
        <v>45414.456631944442</v>
      </c>
      <c r="B187" t="s">
        <v>664</v>
      </c>
      <c r="C187" t="s">
        <v>665</v>
      </c>
      <c r="D187" t="s">
        <v>118</v>
      </c>
      <c r="E187" t="s">
        <v>681</v>
      </c>
      <c r="F187" t="s">
        <v>778</v>
      </c>
      <c r="G187" t="s">
        <v>118</v>
      </c>
      <c r="H187" t="s">
        <v>664</v>
      </c>
    </row>
    <row r="188" spans="1:8" x14ac:dyDescent="0.2">
      <c r="A188">
        <v>45413.819594907407</v>
      </c>
      <c r="B188" t="s">
        <v>342</v>
      </c>
      <c r="C188" t="s">
        <v>211</v>
      </c>
      <c r="D188" t="s">
        <v>118</v>
      </c>
      <c r="E188" t="s">
        <v>563</v>
      </c>
      <c r="F188" t="s">
        <v>663</v>
      </c>
      <c r="G188" t="s">
        <v>118</v>
      </c>
      <c r="H188" t="s">
        <v>213</v>
      </c>
    </row>
    <row r="189" spans="1:8" x14ac:dyDescent="0.2">
      <c r="A189">
        <v>45412.670046296298</v>
      </c>
      <c r="B189" t="s">
        <v>145</v>
      </c>
      <c r="C189" t="s">
        <v>380</v>
      </c>
      <c r="D189" t="s">
        <v>118</v>
      </c>
      <c r="E189" t="s">
        <v>563</v>
      </c>
      <c r="F189" t="s">
        <v>422</v>
      </c>
      <c r="G189" t="s">
        <v>656</v>
      </c>
      <c r="H189" t="s">
        <v>145</v>
      </c>
    </row>
    <row r="190" spans="1:8" x14ac:dyDescent="0.2">
      <c r="A190">
        <v>45412.104548611111</v>
      </c>
      <c r="B190" t="s">
        <v>28</v>
      </c>
      <c r="C190" t="s">
        <v>323</v>
      </c>
      <c r="D190" t="s">
        <v>118</v>
      </c>
      <c r="E190" t="s">
        <v>563</v>
      </c>
      <c r="F190" t="s">
        <v>660</v>
      </c>
      <c r="G190" t="s">
        <v>657</v>
      </c>
      <c r="H190" t="s">
        <v>2</v>
      </c>
    </row>
    <row r="191" spans="1:8" x14ac:dyDescent="0.2">
      <c r="A191">
        <v>45412.006655092591</v>
      </c>
      <c r="B191" t="s">
        <v>124</v>
      </c>
      <c r="C191" t="s">
        <v>166</v>
      </c>
      <c r="D191" t="s">
        <v>118</v>
      </c>
      <c r="E191" t="s">
        <v>563</v>
      </c>
      <c r="F191" t="s">
        <v>658</v>
      </c>
      <c r="G191" t="s">
        <v>118</v>
      </c>
      <c r="H191" t="s">
        <v>124</v>
      </c>
    </row>
    <row r="192" spans="1:8" x14ac:dyDescent="0.2">
      <c r="A192">
        <v>45411.880879629629</v>
      </c>
      <c r="B192" t="s">
        <v>28</v>
      </c>
      <c r="C192" t="s">
        <v>441</v>
      </c>
      <c r="D192" t="s">
        <v>118</v>
      </c>
      <c r="E192" t="s">
        <v>563</v>
      </c>
      <c r="F192" t="s">
        <v>572</v>
      </c>
      <c r="G192" t="s">
        <v>573</v>
      </c>
      <c r="H192" t="s">
        <v>535</v>
      </c>
    </row>
    <row r="193" spans="1:8" x14ac:dyDescent="0.2">
      <c r="A193">
        <v>45411.801793981482</v>
      </c>
      <c r="B193" t="s">
        <v>525</v>
      </c>
      <c r="C193" t="s">
        <v>526</v>
      </c>
      <c r="D193" t="s">
        <v>118</v>
      </c>
      <c r="E193" t="s">
        <v>563</v>
      </c>
      <c r="F193" t="s">
        <v>465</v>
      </c>
      <c r="G193" t="s">
        <v>574</v>
      </c>
      <c r="H193" t="s">
        <v>525</v>
      </c>
    </row>
    <row r="194" spans="1:8" x14ac:dyDescent="0.2">
      <c r="A194">
        <v>45411.658067129632</v>
      </c>
      <c r="B194" t="s">
        <v>135</v>
      </c>
      <c r="C194" t="s">
        <v>389</v>
      </c>
      <c r="D194" t="s">
        <v>118</v>
      </c>
      <c r="E194" t="s">
        <v>563</v>
      </c>
      <c r="F194" t="s">
        <v>575</v>
      </c>
      <c r="G194" t="s">
        <v>576</v>
      </c>
      <c r="H194" t="s">
        <v>456</v>
      </c>
    </row>
    <row r="195" spans="1:8" x14ac:dyDescent="0.2">
      <c r="A195">
        <v>45411.593726851854</v>
      </c>
      <c r="B195" t="s">
        <v>577</v>
      </c>
      <c r="C195" t="s">
        <v>578</v>
      </c>
      <c r="D195" t="s">
        <v>118</v>
      </c>
      <c r="E195" t="s">
        <v>563</v>
      </c>
      <c r="F195" t="s">
        <v>579</v>
      </c>
      <c r="G195" t="s">
        <v>580</v>
      </c>
      <c r="H195" t="s">
        <v>581</v>
      </c>
    </row>
    <row r="196" spans="1:8" x14ac:dyDescent="0.2">
      <c r="A196">
        <v>45411.494826388887</v>
      </c>
      <c r="B196" t="s">
        <v>305</v>
      </c>
      <c r="C196" t="s">
        <v>306</v>
      </c>
      <c r="D196" t="s">
        <v>118</v>
      </c>
      <c r="E196" t="s">
        <v>563</v>
      </c>
      <c r="F196" t="s">
        <v>582</v>
      </c>
      <c r="G196" t="s">
        <v>583</v>
      </c>
      <c r="H196" t="s">
        <v>309</v>
      </c>
    </row>
    <row r="197" spans="1:8" x14ac:dyDescent="0.2">
      <c r="A197">
        <v>45411.448599537034</v>
      </c>
      <c r="B197" t="s">
        <v>72</v>
      </c>
      <c r="C197" t="s">
        <v>124</v>
      </c>
      <c r="D197" t="s">
        <v>118</v>
      </c>
      <c r="E197" t="s">
        <v>563</v>
      </c>
      <c r="F197" t="s">
        <v>584</v>
      </c>
      <c r="G197" t="s">
        <v>585</v>
      </c>
      <c r="H197" t="s">
        <v>542</v>
      </c>
    </row>
    <row r="198" spans="1:8" x14ac:dyDescent="0.2">
      <c r="A198">
        <v>45411.402326388888</v>
      </c>
      <c r="B198" t="s">
        <v>298</v>
      </c>
      <c r="C198" t="s">
        <v>386</v>
      </c>
      <c r="D198" t="s">
        <v>118</v>
      </c>
      <c r="E198" t="s">
        <v>563</v>
      </c>
      <c r="F198" t="s">
        <v>586</v>
      </c>
      <c r="G198" t="s">
        <v>118</v>
      </c>
      <c r="H198" t="s">
        <v>467</v>
      </c>
    </row>
    <row r="199" spans="1:8" x14ac:dyDescent="0.2">
      <c r="A199">
        <v>45411.400370370371</v>
      </c>
      <c r="B199" t="s">
        <v>175</v>
      </c>
      <c r="C199" t="s">
        <v>23</v>
      </c>
      <c r="D199" t="s">
        <v>118</v>
      </c>
      <c r="E199" t="s">
        <v>563</v>
      </c>
      <c r="F199" t="s">
        <v>587</v>
      </c>
      <c r="G199" t="s">
        <v>588</v>
      </c>
      <c r="H199" t="s">
        <v>178</v>
      </c>
    </row>
    <row r="200" spans="1:8" x14ac:dyDescent="0.2">
      <c r="A200">
        <v>45411.34547453704</v>
      </c>
      <c r="B200" t="s">
        <v>204</v>
      </c>
      <c r="C200" t="s">
        <v>378</v>
      </c>
      <c r="D200" t="s">
        <v>118</v>
      </c>
      <c r="E200" t="s">
        <v>563</v>
      </c>
      <c r="F200" t="s">
        <v>589</v>
      </c>
      <c r="G200" t="s">
        <v>590</v>
      </c>
      <c r="H200" t="s">
        <v>37</v>
      </c>
    </row>
    <row r="201" spans="1:8" x14ac:dyDescent="0.2">
      <c r="A201">
        <v>45410.599421296298</v>
      </c>
      <c r="B201" t="s">
        <v>115</v>
      </c>
      <c r="C201" t="s">
        <v>391</v>
      </c>
      <c r="D201" t="s">
        <v>118</v>
      </c>
      <c r="E201" t="s">
        <v>563</v>
      </c>
      <c r="F201" t="s">
        <v>591</v>
      </c>
      <c r="G201" t="s">
        <v>118</v>
      </c>
      <c r="H201" t="s">
        <v>194</v>
      </c>
    </row>
    <row r="202" spans="1:8" x14ac:dyDescent="0.2">
      <c r="A202">
        <v>45410.509571759256</v>
      </c>
      <c r="B202" t="s">
        <v>200</v>
      </c>
      <c r="C202" t="s">
        <v>201</v>
      </c>
      <c r="D202" t="s">
        <v>118</v>
      </c>
      <c r="E202" t="s">
        <v>563</v>
      </c>
      <c r="F202" t="s">
        <v>592</v>
      </c>
      <c r="G202" t="s">
        <v>118</v>
      </c>
      <c r="H202" t="s">
        <v>593</v>
      </c>
    </row>
    <row r="203" spans="1:8" x14ac:dyDescent="0.2">
      <c r="A203">
        <v>45410.506620370368</v>
      </c>
      <c r="B203" t="s">
        <v>76</v>
      </c>
      <c r="C203" t="s">
        <v>77</v>
      </c>
      <c r="D203" t="s">
        <v>118</v>
      </c>
      <c r="E203" t="s">
        <v>563</v>
      </c>
      <c r="F203" t="s">
        <v>594</v>
      </c>
      <c r="G203" t="s">
        <v>595</v>
      </c>
      <c r="H203" t="s">
        <v>76</v>
      </c>
    </row>
    <row r="204" spans="1:8" x14ac:dyDescent="0.2">
      <c r="A204">
        <v>45409.480254629627</v>
      </c>
      <c r="B204" t="s">
        <v>72</v>
      </c>
      <c r="C204" t="s">
        <v>552</v>
      </c>
      <c r="D204" t="s">
        <v>118</v>
      </c>
      <c r="E204" t="s">
        <v>563</v>
      </c>
      <c r="F204" t="s">
        <v>596</v>
      </c>
      <c r="G204" t="s">
        <v>118</v>
      </c>
      <c r="H204" t="s">
        <v>597</v>
      </c>
    </row>
    <row r="205" spans="1:8" x14ac:dyDescent="0.2">
      <c r="A205">
        <v>45409.40861111111</v>
      </c>
      <c r="B205" t="s">
        <v>28</v>
      </c>
      <c r="C205" t="s">
        <v>390</v>
      </c>
      <c r="D205" t="s">
        <v>118</v>
      </c>
      <c r="E205" t="s">
        <v>563</v>
      </c>
      <c r="F205" t="s">
        <v>598</v>
      </c>
      <c r="G205" t="s">
        <v>118</v>
      </c>
      <c r="H205" t="s">
        <v>242</v>
      </c>
    </row>
    <row r="206" spans="1:8" x14ac:dyDescent="0.2">
      <c r="A206">
        <v>45408.033993055556</v>
      </c>
      <c r="B206" t="s">
        <v>599</v>
      </c>
      <c r="C206" t="s">
        <v>600</v>
      </c>
      <c r="D206" t="s">
        <v>118</v>
      </c>
      <c r="E206" t="s">
        <v>563</v>
      </c>
      <c r="F206" t="s">
        <v>601</v>
      </c>
      <c r="G206" t="s">
        <v>118</v>
      </c>
      <c r="H206" t="s">
        <v>599</v>
      </c>
    </row>
    <row r="207" spans="1:8" x14ac:dyDescent="0.2">
      <c r="A207">
        <v>45407.698101851849</v>
      </c>
      <c r="B207" t="s">
        <v>383</v>
      </c>
      <c r="C207" t="s">
        <v>326</v>
      </c>
      <c r="D207" t="s">
        <v>118</v>
      </c>
      <c r="E207" t="s">
        <v>563</v>
      </c>
      <c r="F207" t="s">
        <v>602</v>
      </c>
      <c r="G207" t="s">
        <v>118</v>
      </c>
      <c r="H207" t="s">
        <v>328</v>
      </c>
    </row>
    <row r="208" spans="1:8" x14ac:dyDescent="0.2">
      <c r="A208">
        <v>45407.691041666665</v>
      </c>
      <c r="B208" t="s">
        <v>112</v>
      </c>
      <c r="C208" t="s">
        <v>395</v>
      </c>
      <c r="D208" t="s">
        <v>118</v>
      </c>
      <c r="E208" t="s">
        <v>563</v>
      </c>
      <c r="F208" t="s">
        <v>603</v>
      </c>
      <c r="G208" t="s">
        <v>604</v>
      </c>
      <c r="H208" t="s">
        <v>112</v>
      </c>
    </row>
    <row r="209" spans="1:8" x14ac:dyDescent="0.2">
      <c r="A209">
        <v>45407.675312500003</v>
      </c>
      <c r="B209" t="s">
        <v>605</v>
      </c>
      <c r="C209" t="s">
        <v>606</v>
      </c>
      <c r="D209" t="s">
        <v>118</v>
      </c>
      <c r="E209" t="s">
        <v>563</v>
      </c>
      <c r="F209" t="s">
        <v>607</v>
      </c>
      <c r="G209" t="s">
        <v>118</v>
      </c>
      <c r="H209" t="s">
        <v>608</v>
      </c>
    </row>
    <row r="210" spans="1:8" x14ac:dyDescent="0.2">
      <c r="A210">
        <v>45407.649259259262</v>
      </c>
      <c r="B210" t="s">
        <v>385</v>
      </c>
      <c r="C210" t="s">
        <v>379</v>
      </c>
      <c r="D210" t="s">
        <v>118</v>
      </c>
      <c r="E210" t="s">
        <v>563</v>
      </c>
      <c r="F210" t="s">
        <v>609</v>
      </c>
      <c r="G210" t="s">
        <v>610</v>
      </c>
      <c r="H210" t="s">
        <v>611</v>
      </c>
    </row>
    <row r="211" spans="1:8" x14ac:dyDescent="0.2">
      <c r="A211">
        <v>45407.607916666668</v>
      </c>
      <c r="B211" t="s">
        <v>130</v>
      </c>
      <c r="C211" t="s">
        <v>86</v>
      </c>
      <c r="D211" t="s">
        <v>118</v>
      </c>
      <c r="E211" t="s">
        <v>563</v>
      </c>
      <c r="F211" t="s">
        <v>612</v>
      </c>
      <c r="G211" t="s">
        <v>613</v>
      </c>
      <c r="H211" t="s">
        <v>462</v>
      </c>
    </row>
    <row r="212" spans="1:8" x14ac:dyDescent="0.2">
      <c r="A212">
        <v>45407.460613425923</v>
      </c>
      <c r="B212" t="s">
        <v>72</v>
      </c>
      <c r="C212" t="s">
        <v>614</v>
      </c>
      <c r="D212" t="s">
        <v>118</v>
      </c>
      <c r="E212" t="s">
        <v>563</v>
      </c>
      <c r="F212" t="s">
        <v>615</v>
      </c>
      <c r="G212" t="s">
        <v>616</v>
      </c>
      <c r="H212" t="s">
        <v>617</v>
      </c>
    </row>
    <row r="213" spans="1:8" x14ac:dyDescent="0.2">
      <c r="A213">
        <v>45407.428831018522</v>
      </c>
      <c r="B213" t="s">
        <v>382</v>
      </c>
      <c r="C213" t="s">
        <v>182</v>
      </c>
      <c r="D213" t="s">
        <v>118</v>
      </c>
      <c r="E213" t="s">
        <v>563</v>
      </c>
      <c r="F213" t="s">
        <v>618</v>
      </c>
      <c r="G213" t="s">
        <v>118</v>
      </c>
      <c r="H213" t="s">
        <v>619</v>
      </c>
    </row>
    <row r="214" spans="1:8" x14ac:dyDescent="0.2">
      <c r="A214">
        <v>45407.398020833331</v>
      </c>
      <c r="B214" t="s">
        <v>138</v>
      </c>
      <c r="C214" t="s">
        <v>139</v>
      </c>
      <c r="D214" t="s">
        <v>118</v>
      </c>
      <c r="E214" t="s">
        <v>563</v>
      </c>
      <c r="F214" t="s">
        <v>620</v>
      </c>
      <c r="G214" t="s">
        <v>621</v>
      </c>
      <c r="H214" t="s">
        <v>451</v>
      </c>
    </row>
    <row r="215" spans="1:8" x14ac:dyDescent="0.2">
      <c r="A215">
        <v>45407.333564814813</v>
      </c>
      <c r="B215" t="s">
        <v>384</v>
      </c>
      <c r="C215" t="s">
        <v>315</v>
      </c>
      <c r="D215" t="s">
        <v>118</v>
      </c>
      <c r="E215" t="s">
        <v>563</v>
      </c>
      <c r="F215" t="s">
        <v>549</v>
      </c>
      <c r="G215" t="s">
        <v>118</v>
      </c>
      <c r="H215" t="s">
        <v>317</v>
      </c>
    </row>
    <row r="216" spans="1:8" x14ac:dyDescent="0.2">
      <c r="A216">
        <v>45406.956793981481</v>
      </c>
      <c r="B216" t="s">
        <v>748</v>
      </c>
      <c r="C216" t="s">
        <v>622</v>
      </c>
      <c r="D216" t="s">
        <v>118</v>
      </c>
      <c r="E216" t="s">
        <v>563</v>
      </c>
      <c r="F216" t="s">
        <v>439</v>
      </c>
      <c r="G216" t="s">
        <v>623</v>
      </c>
      <c r="H216" t="s">
        <v>624</v>
      </c>
    </row>
    <row r="217" spans="1:8" x14ac:dyDescent="0.2">
      <c r="A217">
        <v>45406.920335648145</v>
      </c>
      <c r="B217" t="s">
        <v>625</v>
      </c>
      <c r="C217" t="s">
        <v>626</v>
      </c>
      <c r="D217" t="s">
        <v>118</v>
      </c>
      <c r="E217" t="s">
        <v>563</v>
      </c>
      <c r="F217" t="s">
        <v>419</v>
      </c>
      <c r="G217" t="s">
        <v>118</v>
      </c>
      <c r="H217" t="s">
        <v>625</v>
      </c>
    </row>
    <row r="218" spans="1:8" x14ac:dyDescent="0.2">
      <c r="A218">
        <v>45406.907986111109</v>
      </c>
      <c r="B218" t="s">
        <v>357</v>
      </c>
      <c r="C218" t="s">
        <v>358</v>
      </c>
      <c r="D218" t="s">
        <v>118</v>
      </c>
      <c r="E218" t="s">
        <v>563</v>
      </c>
      <c r="F218" t="s">
        <v>627</v>
      </c>
      <c r="G218" t="s">
        <v>118</v>
      </c>
      <c r="H218" t="s">
        <v>361</v>
      </c>
    </row>
    <row r="219" spans="1:8" x14ac:dyDescent="0.2">
      <c r="A219">
        <v>45406.907708333332</v>
      </c>
      <c r="B219" t="s">
        <v>204</v>
      </c>
      <c r="C219" t="s">
        <v>515</v>
      </c>
      <c r="D219" t="s">
        <v>118</v>
      </c>
      <c r="E219" t="s">
        <v>563</v>
      </c>
      <c r="F219" t="s">
        <v>628</v>
      </c>
      <c r="G219" t="s">
        <v>629</v>
      </c>
      <c r="H219" t="s">
        <v>351</v>
      </c>
    </row>
    <row r="220" spans="1:8" x14ac:dyDescent="0.2">
      <c r="A220">
        <v>45406.90525462963</v>
      </c>
      <c r="B220" t="s">
        <v>160</v>
      </c>
      <c r="C220" t="s">
        <v>630</v>
      </c>
      <c r="D220" t="s">
        <v>118</v>
      </c>
      <c r="E220" t="s">
        <v>563</v>
      </c>
      <c r="F220" t="s">
        <v>631</v>
      </c>
      <c r="G220" t="s">
        <v>632</v>
      </c>
      <c r="H220" t="s">
        <v>633</v>
      </c>
    </row>
    <row r="221" spans="1:8" x14ac:dyDescent="0.2">
      <c r="A221">
        <v>45406.860115740739</v>
      </c>
      <c r="B221" t="s">
        <v>103</v>
      </c>
      <c r="C221" t="s">
        <v>104</v>
      </c>
      <c r="D221" t="s">
        <v>118</v>
      </c>
      <c r="E221" t="s">
        <v>563</v>
      </c>
      <c r="F221" t="s">
        <v>634</v>
      </c>
      <c r="G221" t="s">
        <v>118</v>
      </c>
      <c r="H221" t="s">
        <v>103</v>
      </c>
    </row>
    <row r="222" spans="1:8" x14ac:dyDescent="0.2">
      <c r="A222">
        <v>45406.8281712963</v>
      </c>
      <c r="B222" t="s">
        <v>160</v>
      </c>
      <c r="C222" t="s">
        <v>635</v>
      </c>
      <c r="D222" t="s">
        <v>118</v>
      </c>
      <c r="E222" t="s">
        <v>563</v>
      </c>
      <c r="F222" t="s">
        <v>636</v>
      </c>
      <c r="G222" t="s">
        <v>118</v>
      </c>
      <c r="H222" t="s">
        <v>637</v>
      </c>
    </row>
    <row r="223" spans="1:8" x14ac:dyDescent="0.2">
      <c r="A223">
        <v>45406.824918981481</v>
      </c>
      <c r="B223" t="s">
        <v>195</v>
      </c>
      <c r="C223" t="s">
        <v>196</v>
      </c>
      <c r="D223" t="s">
        <v>118</v>
      </c>
      <c r="E223" t="s">
        <v>563</v>
      </c>
      <c r="F223" t="s">
        <v>638</v>
      </c>
      <c r="G223" t="s">
        <v>639</v>
      </c>
      <c r="H223" t="s">
        <v>199</v>
      </c>
    </row>
    <row r="224" spans="1:8" x14ac:dyDescent="0.2">
      <c r="A224">
        <v>45406.823078703703</v>
      </c>
      <c r="B224" t="s">
        <v>160</v>
      </c>
      <c r="C224" t="s">
        <v>332</v>
      </c>
      <c r="D224" t="s">
        <v>118</v>
      </c>
      <c r="E224" t="s">
        <v>563</v>
      </c>
      <c r="F224" t="s">
        <v>640</v>
      </c>
      <c r="G224" t="s">
        <v>641</v>
      </c>
      <c r="H224" t="s">
        <v>642</v>
      </c>
    </row>
    <row r="225" spans="1:8" x14ac:dyDescent="0.2">
      <c r="A225">
        <v>45406.822442129633</v>
      </c>
      <c r="B225" t="s">
        <v>67</v>
      </c>
      <c r="C225" t="s">
        <v>68</v>
      </c>
      <c r="D225" t="s">
        <v>118</v>
      </c>
      <c r="E225" t="s">
        <v>563</v>
      </c>
      <c r="F225" t="s">
        <v>643</v>
      </c>
      <c r="G225" t="s">
        <v>644</v>
      </c>
      <c r="H225" t="s">
        <v>171</v>
      </c>
    </row>
    <row r="226" spans="1:8" x14ac:dyDescent="0.2">
      <c r="A226">
        <v>45406.777581018519</v>
      </c>
      <c r="B226" t="s">
        <v>72</v>
      </c>
      <c r="C226" t="s">
        <v>562</v>
      </c>
      <c r="D226" t="s">
        <v>118</v>
      </c>
      <c r="E226" t="s">
        <v>563</v>
      </c>
      <c r="F226" t="s">
        <v>564</v>
      </c>
      <c r="G226" t="s">
        <v>565</v>
      </c>
      <c r="H226" t="s">
        <v>566</v>
      </c>
    </row>
    <row r="227" spans="1:8" x14ac:dyDescent="0.2">
      <c r="A227">
        <v>45406.767824074072</v>
      </c>
      <c r="B227" t="s">
        <v>28</v>
      </c>
      <c r="C227" t="s">
        <v>29</v>
      </c>
      <c r="D227" t="s">
        <v>118</v>
      </c>
      <c r="E227" t="s">
        <v>563</v>
      </c>
      <c r="F227" t="s">
        <v>567</v>
      </c>
      <c r="G227" t="s">
        <v>118</v>
      </c>
      <c r="H227" t="s">
        <v>471</v>
      </c>
    </row>
    <row r="228" spans="1:8" x14ac:dyDescent="0.2">
      <c r="A228">
        <v>45406.767256944448</v>
      </c>
      <c r="B228" t="s">
        <v>120</v>
      </c>
      <c r="C228" t="s">
        <v>121</v>
      </c>
      <c r="D228" t="s">
        <v>118</v>
      </c>
      <c r="E228" t="s">
        <v>563</v>
      </c>
      <c r="F228" t="s">
        <v>491</v>
      </c>
      <c r="G228" t="s">
        <v>118</v>
      </c>
      <c r="H228" t="s">
        <v>123</v>
      </c>
    </row>
    <row r="229" spans="1:8" x14ac:dyDescent="0.2">
      <c r="A229">
        <v>45406.434571759259</v>
      </c>
      <c r="B229" t="s">
        <v>124</v>
      </c>
      <c r="C229" t="s">
        <v>125</v>
      </c>
      <c r="D229" t="s">
        <v>118</v>
      </c>
      <c r="E229" t="s">
        <v>563</v>
      </c>
      <c r="F229" t="s">
        <v>568</v>
      </c>
      <c r="G229" t="s">
        <v>569</v>
      </c>
      <c r="H229" t="s">
        <v>561</v>
      </c>
    </row>
    <row r="230" spans="1:8" x14ac:dyDescent="0.2">
      <c r="A230">
        <v>45400.576053240744</v>
      </c>
      <c r="B230" t="s">
        <v>131</v>
      </c>
      <c r="C230" t="s">
        <v>132</v>
      </c>
      <c r="D230" t="s">
        <v>118</v>
      </c>
      <c r="E230" t="s">
        <v>563</v>
      </c>
      <c r="F230" t="s">
        <v>570</v>
      </c>
      <c r="G230" t="s">
        <v>571</v>
      </c>
      <c r="H230" t="s">
        <v>464</v>
      </c>
    </row>
    <row r="231" spans="1:8" x14ac:dyDescent="0.2">
      <c r="A231">
        <v>45382.794340277775</v>
      </c>
      <c r="B231" t="s">
        <v>200</v>
      </c>
      <c r="C231" t="s">
        <v>201</v>
      </c>
      <c r="D231" t="s">
        <v>118</v>
      </c>
      <c r="E231" t="s">
        <v>146</v>
      </c>
      <c r="F231" t="s">
        <v>548</v>
      </c>
      <c r="G231" t="s">
        <v>118</v>
      </c>
      <c r="H231" t="s">
        <v>203</v>
      </c>
    </row>
    <row r="232" spans="1:8" x14ac:dyDescent="0.2">
      <c r="A232">
        <v>45382.498784722222</v>
      </c>
      <c r="B232" t="s">
        <v>525</v>
      </c>
      <c r="C232" t="s">
        <v>526</v>
      </c>
      <c r="D232" t="s">
        <v>118</v>
      </c>
      <c r="E232" t="s">
        <v>146</v>
      </c>
      <c r="F232" t="s">
        <v>527</v>
      </c>
      <c r="G232" t="s">
        <v>528</v>
      </c>
      <c r="H232" t="s">
        <v>525</v>
      </c>
    </row>
    <row r="233" spans="1:8" x14ac:dyDescent="0.2">
      <c r="A233">
        <v>45382.031504629631</v>
      </c>
      <c r="B233" t="s">
        <v>28</v>
      </c>
      <c r="C233" t="s">
        <v>323</v>
      </c>
      <c r="D233" t="s">
        <v>118</v>
      </c>
      <c r="E233" t="s">
        <v>146</v>
      </c>
      <c r="F233" t="s">
        <v>529</v>
      </c>
      <c r="G233" t="s">
        <v>530</v>
      </c>
      <c r="H233" t="s">
        <v>2</v>
      </c>
    </row>
    <row r="234" spans="1:8" x14ac:dyDescent="0.2">
      <c r="A234">
        <v>45381.989479166667</v>
      </c>
      <c r="B234" t="s">
        <v>342</v>
      </c>
      <c r="C234" t="s">
        <v>211</v>
      </c>
      <c r="D234" t="s">
        <v>118</v>
      </c>
      <c r="E234" t="s">
        <v>146</v>
      </c>
      <c r="F234" t="s">
        <v>534</v>
      </c>
      <c r="G234" t="s">
        <v>118</v>
      </c>
      <c r="H234" t="s">
        <v>213</v>
      </c>
    </row>
    <row r="235" spans="1:8" x14ac:dyDescent="0.2">
      <c r="A235">
        <v>45381.771481481483</v>
      </c>
      <c r="B235" t="s">
        <v>28</v>
      </c>
      <c r="C235" t="s">
        <v>441</v>
      </c>
      <c r="D235" t="s">
        <v>118</v>
      </c>
      <c r="E235" t="s">
        <v>146</v>
      </c>
      <c r="F235" t="s">
        <v>524</v>
      </c>
      <c r="G235" t="s">
        <v>118</v>
      </c>
      <c r="H235" t="s">
        <v>535</v>
      </c>
    </row>
    <row r="236" spans="1:8" x14ac:dyDescent="0.2">
      <c r="A236">
        <v>45381.456250000003</v>
      </c>
      <c r="B236" t="s">
        <v>124</v>
      </c>
      <c r="C236" t="s">
        <v>166</v>
      </c>
      <c r="D236" t="s">
        <v>118</v>
      </c>
      <c r="E236" t="s">
        <v>146</v>
      </c>
      <c r="F236" t="s">
        <v>536</v>
      </c>
      <c r="G236" t="s">
        <v>118</v>
      </c>
      <c r="H236" t="s">
        <v>124</v>
      </c>
    </row>
    <row r="237" spans="1:8" x14ac:dyDescent="0.2">
      <c r="A237">
        <v>45381.121782407405</v>
      </c>
      <c r="B237" t="s">
        <v>531</v>
      </c>
      <c r="C237" t="s">
        <v>293</v>
      </c>
      <c r="D237" t="s">
        <v>118</v>
      </c>
      <c r="E237" t="s">
        <v>146</v>
      </c>
      <c r="F237" t="s">
        <v>532</v>
      </c>
      <c r="G237" t="s">
        <v>118</v>
      </c>
      <c r="H237" t="s">
        <v>531</v>
      </c>
    </row>
    <row r="238" spans="1:8" x14ac:dyDescent="0.2">
      <c r="A238">
        <v>45381.093217592592</v>
      </c>
      <c r="B238" t="s">
        <v>28</v>
      </c>
      <c r="C238" t="s">
        <v>390</v>
      </c>
      <c r="D238" t="s">
        <v>118</v>
      </c>
      <c r="E238" t="s">
        <v>146</v>
      </c>
      <c r="F238" t="s">
        <v>533</v>
      </c>
      <c r="G238" t="s">
        <v>118</v>
      </c>
      <c r="H238" t="s">
        <v>242</v>
      </c>
    </row>
    <row r="239" spans="1:8" x14ac:dyDescent="0.2">
      <c r="A239">
        <v>45380.456597222219</v>
      </c>
      <c r="B239" t="s">
        <v>175</v>
      </c>
      <c r="C239" t="s">
        <v>23</v>
      </c>
      <c r="D239" t="s">
        <v>118</v>
      </c>
      <c r="E239" t="s">
        <v>146</v>
      </c>
      <c r="F239" t="s">
        <v>539</v>
      </c>
      <c r="G239" t="s">
        <v>540</v>
      </c>
      <c r="H239" t="s">
        <v>178</v>
      </c>
    </row>
    <row r="240" spans="1:8" x14ac:dyDescent="0.2">
      <c r="A240">
        <v>45380.05872685185</v>
      </c>
      <c r="B240" t="s">
        <v>135</v>
      </c>
      <c r="C240" t="s">
        <v>389</v>
      </c>
      <c r="D240" t="s">
        <v>118</v>
      </c>
      <c r="E240" t="s">
        <v>146</v>
      </c>
      <c r="F240" t="s">
        <v>537</v>
      </c>
      <c r="G240" t="s">
        <v>538</v>
      </c>
      <c r="H240" t="s">
        <v>456</v>
      </c>
    </row>
    <row r="241" spans="1:8" x14ac:dyDescent="0.2">
      <c r="A241">
        <v>45378.957407407404</v>
      </c>
      <c r="B241" t="s">
        <v>305</v>
      </c>
      <c r="C241" t="s">
        <v>306</v>
      </c>
      <c r="D241" t="s">
        <v>118</v>
      </c>
      <c r="E241" t="s">
        <v>146</v>
      </c>
      <c r="F241" t="s">
        <v>549</v>
      </c>
      <c r="G241" t="s">
        <v>492</v>
      </c>
      <c r="H241" t="s">
        <v>309</v>
      </c>
    </row>
    <row r="242" spans="1:8" x14ac:dyDescent="0.2">
      <c r="A242">
        <v>45378.904641203706</v>
      </c>
      <c r="B242" t="s">
        <v>124</v>
      </c>
      <c r="C242" t="s">
        <v>125</v>
      </c>
      <c r="D242" t="s">
        <v>118</v>
      </c>
      <c r="E242" t="s">
        <v>146</v>
      </c>
      <c r="F242" t="s">
        <v>493</v>
      </c>
      <c r="G242" t="s">
        <v>494</v>
      </c>
      <c r="H242" t="s">
        <v>128</v>
      </c>
    </row>
    <row r="243" spans="1:8" x14ac:dyDescent="0.2">
      <c r="A243">
        <v>45378.721030092594</v>
      </c>
      <c r="B243" t="s">
        <v>76</v>
      </c>
      <c r="C243" t="s">
        <v>77</v>
      </c>
      <c r="D243" t="s">
        <v>118</v>
      </c>
      <c r="E243" t="s">
        <v>146</v>
      </c>
      <c r="F243" t="s">
        <v>495</v>
      </c>
      <c r="G243" t="s">
        <v>496</v>
      </c>
      <c r="H243" t="s">
        <v>76</v>
      </c>
    </row>
    <row r="244" spans="1:8" x14ac:dyDescent="0.2">
      <c r="A244">
        <v>45378.518819444442</v>
      </c>
      <c r="B244" t="s">
        <v>382</v>
      </c>
      <c r="C244" t="s">
        <v>182</v>
      </c>
      <c r="D244" t="s">
        <v>118</v>
      </c>
      <c r="E244" t="s">
        <v>146</v>
      </c>
      <c r="F244" t="s">
        <v>497</v>
      </c>
      <c r="G244" t="s">
        <v>118</v>
      </c>
      <c r="H244" t="s">
        <v>331</v>
      </c>
    </row>
    <row r="245" spans="1:8" x14ac:dyDescent="0.2">
      <c r="A245">
        <v>45378.500856481478</v>
      </c>
      <c r="B245" t="s">
        <v>195</v>
      </c>
      <c r="C245" t="s">
        <v>196</v>
      </c>
      <c r="D245" t="s">
        <v>118</v>
      </c>
      <c r="E245" t="s">
        <v>146</v>
      </c>
      <c r="F245" t="s">
        <v>498</v>
      </c>
      <c r="G245" t="s">
        <v>499</v>
      </c>
      <c r="H245" t="s">
        <v>199</v>
      </c>
    </row>
    <row r="246" spans="1:8" x14ac:dyDescent="0.2">
      <c r="A246">
        <v>45377.987604166665</v>
      </c>
      <c r="B246" t="s">
        <v>130</v>
      </c>
      <c r="C246" t="s">
        <v>86</v>
      </c>
      <c r="D246" t="s">
        <v>118</v>
      </c>
      <c r="E246" t="s">
        <v>146</v>
      </c>
      <c r="F246" t="s">
        <v>505</v>
      </c>
      <c r="G246" t="s">
        <v>118</v>
      </c>
      <c r="H246" t="s">
        <v>462</v>
      </c>
    </row>
    <row r="247" spans="1:8" x14ac:dyDescent="0.2">
      <c r="A247">
        <v>45377.818877314814</v>
      </c>
      <c r="B247" t="s">
        <v>357</v>
      </c>
      <c r="C247" t="s">
        <v>358</v>
      </c>
      <c r="D247" t="s">
        <v>118</v>
      </c>
      <c r="E247" t="s">
        <v>146</v>
      </c>
      <c r="F247" t="s">
        <v>506</v>
      </c>
      <c r="G247" t="s">
        <v>118</v>
      </c>
      <c r="H247" t="s">
        <v>364</v>
      </c>
    </row>
    <row r="248" spans="1:8" x14ac:dyDescent="0.2">
      <c r="A248">
        <v>45377.735034722224</v>
      </c>
      <c r="B248" t="s">
        <v>298</v>
      </c>
      <c r="C248" t="s">
        <v>386</v>
      </c>
      <c r="D248" t="s">
        <v>118</v>
      </c>
      <c r="E248" t="s">
        <v>146</v>
      </c>
      <c r="F248" t="s">
        <v>550</v>
      </c>
      <c r="G248" t="s">
        <v>118</v>
      </c>
      <c r="H248" t="s">
        <v>467</v>
      </c>
    </row>
    <row r="249" spans="1:8" x14ac:dyDescent="0.2">
      <c r="A249">
        <v>45377.675949074073</v>
      </c>
      <c r="B249" t="s">
        <v>120</v>
      </c>
      <c r="C249" t="s">
        <v>121</v>
      </c>
      <c r="D249" t="s">
        <v>118</v>
      </c>
      <c r="E249" t="s">
        <v>146</v>
      </c>
      <c r="F249" t="s">
        <v>491</v>
      </c>
      <c r="G249" t="s">
        <v>118</v>
      </c>
      <c r="H249" t="s">
        <v>123</v>
      </c>
    </row>
    <row r="250" spans="1:8" x14ac:dyDescent="0.2">
      <c r="A250">
        <v>45377.403796296298</v>
      </c>
      <c r="B250" t="s">
        <v>67</v>
      </c>
      <c r="C250" t="s">
        <v>68</v>
      </c>
      <c r="D250" t="s">
        <v>118</v>
      </c>
      <c r="E250" t="s">
        <v>146</v>
      </c>
      <c r="F250" t="s">
        <v>500</v>
      </c>
      <c r="G250" t="s">
        <v>501</v>
      </c>
      <c r="H250" t="s">
        <v>171</v>
      </c>
    </row>
    <row r="251" spans="1:8" x14ac:dyDescent="0.2">
      <c r="A251">
        <v>45377.40047453704</v>
      </c>
      <c r="B251" t="s">
        <v>72</v>
      </c>
      <c r="C251" t="s">
        <v>124</v>
      </c>
      <c r="D251" t="s">
        <v>118</v>
      </c>
      <c r="E251" t="s">
        <v>146</v>
      </c>
      <c r="F251" t="s">
        <v>502</v>
      </c>
      <c r="G251" t="s">
        <v>503</v>
      </c>
      <c r="H251" t="s">
        <v>504</v>
      </c>
    </row>
    <row r="252" spans="1:8" x14ac:dyDescent="0.2">
      <c r="A252">
        <v>45376.900763888887</v>
      </c>
      <c r="B252" t="s">
        <v>383</v>
      </c>
      <c r="C252" t="s">
        <v>326</v>
      </c>
      <c r="D252" t="s">
        <v>118</v>
      </c>
      <c r="E252" t="s">
        <v>146</v>
      </c>
      <c r="F252" t="s">
        <v>514</v>
      </c>
      <c r="G252" t="s">
        <v>118</v>
      </c>
      <c r="H252" t="s">
        <v>328</v>
      </c>
    </row>
    <row r="253" spans="1:8" x14ac:dyDescent="0.2">
      <c r="A253">
        <v>45376.736666666664</v>
      </c>
      <c r="B253" t="s">
        <v>204</v>
      </c>
      <c r="C253" t="s">
        <v>515</v>
      </c>
      <c r="D253" t="s">
        <v>118</v>
      </c>
      <c r="E253" t="s">
        <v>146</v>
      </c>
      <c r="F253" t="s">
        <v>516</v>
      </c>
      <c r="G253" t="s">
        <v>517</v>
      </c>
      <c r="H253" t="s">
        <v>351</v>
      </c>
    </row>
    <row r="254" spans="1:8" x14ac:dyDescent="0.2">
      <c r="A254">
        <v>45376.714166666665</v>
      </c>
      <c r="B254" t="s">
        <v>385</v>
      </c>
      <c r="C254" t="s">
        <v>379</v>
      </c>
      <c r="D254" t="s">
        <v>118</v>
      </c>
      <c r="E254" t="s">
        <v>146</v>
      </c>
      <c r="F254" t="s">
        <v>518</v>
      </c>
      <c r="G254" t="s">
        <v>519</v>
      </c>
      <c r="H254" t="s">
        <v>520</v>
      </c>
    </row>
    <row r="255" spans="1:8" x14ac:dyDescent="0.2">
      <c r="A255">
        <v>45376.675266203703</v>
      </c>
      <c r="B255" t="s">
        <v>521</v>
      </c>
      <c r="C255" t="s">
        <v>522</v>
      </c>
      <c r="D255" t="s">
        <v>118</v>
      </c>
      <c r="E255" t="s">
        <v>146</v>
      </c>
      <c r="F255" t="s">
        <v>507</v>
      </c>
      <c r="G255" t="s">
        <v>118</v>
      </c>
      <c r="H255" t="s">
        <v>523</v>
      </c>
    </row>
    <row r="256" spans="1:8" x14ac:dyDescent="0.2">
      <c r="A256">
        <v>45376.405150462961</v>
      </c>
      <c r="B256" t="s">
        <v>131</v>
      </c>
      <c r="C256" t="s">
        <v>132</v>
      </c>
      <c r="D256" t="s">
        <v>118</v>
      </c>
      <c r="E256" t="s">
        <v>146</v>
      </c>
      <c r="F256" t="s">
        <v>508</v>
      </c>
      <c r="G256" t="s">
        <v>118</v>
      </c>
      <c r="H256" t="s">
        <v>464</v>
      </c>
    </row>
    <row r="257" spans="1:8" x14ac:dyDescent="0.2">
      <c r="A257">
        <v>45376.402581018519</v>
      </c>
      <c r="B257" t="s">
        <v>112</v>
      </c>
      <c r="C257" t="s">
        <v>395</v>
      </c>
      <c r="D257" t="s">
        <v>118</v>
      </c>
      <c r="E257" t="s">
        <v>146</v>
      </c>
      <c r="F257" t="s">
        <v>509</v>
      </c>
      <c r="G257" t="s">
        <v>118</v>
      </c>
      <c r="H257" t="s">
        <v>510</v>
      </c>
    </row>
    <row r="258" spans="1:8" x14ac:dyDescent="0.2">
      <c r="A258">
        <v>45376.390185185184</v>
      </c>
      <c r="B258" t="s">
        <v>103</v>
      </c>
      <c r="C258" t="s">
        <v>104</v>
      </c>
      <c r="D258" t="s">
        <v>118</v>
      </c>
      <c r="E258" t="s">
        <v>146</v>
      </c>
      <c r="F258" t="s">
        <v>511</v>
      </c>
      <c r="G258" t="s">
        <v>118</v>
      </c>
      <c r="H258" t="s">
        <v>103</v>
      </c>
    </row>
    <row r="259" spans="1:8" x14ac:dyDescent="0.2">
      <c r="A259">
        <v>45376.347546296296</v>
      </c>
      <c r="B259" t="s">
        <v>28</v>
      </c>
      <c r="C259" t="s">
        <v>29</v>
      </c>
      <c r="D259" t="s">
        <v>118</v>
      </c>
      <c r="E259" t="s">
        <v>146</v>
      </c>
      <c r="F259" t="s">
        <v>512</v>
      </c>
      <c r="G259" t="s">
        <v>513</v>
      </c>
      <c r="H259" t="s">
        <v>271</v>
      </c>
    </row>
    <row r="260" spans="1:8" x14ac:dyDescent="0.2">
      <c r="A260">
        <v>45351.02076388889</v>
      </c>
      <c r="B260" t="s">
        <v>124</v>
      </c>
      <c r="C260" t="s">
        <v>166</v>
      </c>
      <c r="D260" t="s">
        <v>118</v>
      </c>
      <c r="E260" t="s">
        <v>417</v>
      </c>
      <c r="F260" t="s">
        <v>418</v>
      </c>
      <c r="G260" t="s">
        <v>118</v>
      </c>
      <c r="H260" t="s">
        <v>124</v>
      </c>
    </row>
    <row r="261" spans="1:8" x14ac:dyDescent="0.2">
      <c r="A261">
        <v>45350.99145833333</v>
      </c>
      <c r="B261" t="s">
        <v>342</v>
      </c>
      <c r="C261" t="s">
        <v>211</v>
      </c>
      <c r="D261" t="s">
        <v>118</v>
      </c>
      <c r="E261" t="s">
        <v>417</v>
      </c>
      <c r="F261" t="s">
        <v>419</v>
      </c>
      <c r="G261" t="s">
        <v>118</v>
      </c>
      <c r="H261" t="s">
        <v>420</v>
      </c>
    </row>
    <row r="262" spans="1:8" x14ac:dyDescent="0.2">
      <c r="A262">
        <v>45350.949861111112</v>
      </c>
      <c r="B262" t="s">
        <v>200</v>
      </c>
      <c r="C262" t="s">
        <v>201</v>
      </c>
      <c r="D262" t="s">
        <v>118</v>
      </c>
      <c r="E262" t="s">
        <v>417</v>
      </c>
      <c r="F262" t="s">
        <v>421</v>
      </c>
      <c r="G262" t="s">
        <v>118</v>
      </c>
      <c r="H262" t="s">
        <v>203</v>
      </c>
    </row>
    <row r="263" spans="1:8" x14ac:dyDescent="0.2">
      <c r="A263">
        <v>45350.926423611112</v>
      </c>
      <c r="B263" t="s">
        <v>175</v>
      </c>
      <c r="C263" t="s">
        <v>23</v>
      </c>
      <c r="D263" t="s">
        <v>118</v>
      </c>
      <c r="E263" t="s">
        <v>417</v>
      </c>
      <c r="F263" t="s">
        <v>422</v>
      </c>
      <c r="G263" t="s">
        <v>423</v>
      </c>
      <c r="H263" t="s">
        <v>178</v>
      </c>
    </row>
    <row r="264" spans="1:8" x14ac:dyDescent="0.2">
      <c r="A264">
        <v>45350.895486111112</v>
      </c>
      <c r="B264" t="s">
        <v>424</v>
      </c>
      <c r="C264" t="s">
        <v>424</v>
      </c>
      <c r="D264" t="s">
        <v>118</v>
      </c>
      <c r="E264" t="s">
        <v>417</v>
      </c>
      <c r="F264" t="s">
        <v>425</v>
      </c>
      <c r="G264" t="s">
        <v>426</v>
      </c>
      <c r="H264" t="s">
        <v>424</v>
      </c>
    </row>
    <row r="265" spans="1:8" x14ac:dyDescent="0.2">
      <c r="A265">
        <v>45350.842199074075</v>
      </c>
      <c r="B265" t="s">
        <v>531</v>
      </c>
      <c r="C265" t="s">
        <v>293</v>
      </c>
      <c r="D265" t="s">
        <v>118</v>
      </c>
      <c r="E265" t="s">
        <v>417</v>
      </c>
      <c r="F265" t="s">
        <v>427</v>
      </c>
      <c r="G265" t="s">
        <v>118</v>
      </c>
      <c r="H265" t="s">
        <v>428</v>
      </c>
    </row>
    <row r="266" spans="1:8" x14ac:dyDescent="0.2">
      <c r="A266">
        <v>45350.741678240738</v>
      </c>
      <c r="B266" t="s">
        <v>76</v>
      </c>
      <c r="C266" t="s">
        <v>77</v>
      </c>
      <c r="D266" t="s">
        <v>118</v>
      </c>
      <c r="E266" t="s">
        <v>417</v>
      </c>
      <c r="F266" t="s">
        <v>429</v>
      </c>
      <c r="G266" t="s">
        <v>430</v>
      </c>
      <c r="H266" t="s">
        <v>76</v>
      </c>
    </row>
    <row r="267" spans="1:8" x14ac:dyDescent="0.2">
      <c r="A267">
        <v>45350.474490740744</v>
      </c>
      <c r="B267" t="s">
        <v>195</v>
      </c>
      <c r="C267" t="s">
        <v>196</v>
      </c>
      <c r="D267" t="s">
        <v>118</v>
      </c>
      <c r="E267" t="s">
        <v>417</v>
      </c>
      <c r="F267" t="s">
        <v>431</v>
      </c>
      <c r="G267" t="s">
        <v>432</v>
      </c>
      <c r="H267" t="s">
        <v>199</v>
      </c>
    </row>
    <row r="268" spans="1:8" x14ac:dyDescent="0.2">
      <c r="A268">
        <v>45350.451516203706</v>
      </c>
      <c r="B268" t="s">
        <v>124</v>
      </c>
      <c r="C268" t="s">
        <v>125</v>
      </c>
      <c r="D268" t="s">
        <v>118</v>
      </c>
      <c r="E268" t="s">
        <v>417</v>
      </c>
      <c r="F268" t="s">
        <v>433</v>
      </c>
      <c r="G268" t="s">
        <v>434</v>
      </c>
      <c r="H268" t="s">
        <v>124</v>
      </c>
    </row>
    <row r="269" spans="1:8" x14ac:dyDescent="0.2">
      <c r="A269">
        <v>45350.436064814814</v>
      </c>
      <c r="B269" t="s">
        <v>435</v>
      </c>
      <c r="C269" t="s">
        <v>436</v>
      </c>
      <c r="D269" t="s">
        <v>118</v>
      </c>
      <c r="E269" t="s">
        <v>417</v>
      </c>
      <c r="F269" t="s">
        <v>437</v>
      </c>
      <c r="G269" t="s">
        <v>438</v>
      </c>
      <c r="H269" t="s">
        <v>435</v>
      </c>
    </row>
    <row r="270" spans="1:8" x14ac:dyDescent="0.2">
      <c r="A270">
        <v>45350.062245370369</v>
      </c>
      <c r="B270" t="s">
        <v>28</v>
      </c>
      <c r="C270" t="s">
        <v>323</v>
      </c>
      <c r="D270" t="s">
        <v>118</v>
      </c>
      <c r="E270" t="s">
        <v>417</v>
      </c>
      <c r="F270" t="s">
        <v>439</v>
      </c>
      <c r="G270" t="s">
        <v>440</v>
      </c>
      <c r="H270" t="s">
        <v>2</v>
      </c>
    </row>
    <row r="271" spans="1:8" x14ac:dyDescent="0.2">
      <c r="A271">
        <v>45350.04478009259</v>
      </c>
      <c r="B271" t="s">
        <v>28</v>
      </c>
      <c r="C271" t="s">
        <v>441</v>
      </c>
      <c r="D271" t="s">
        <v>118</v>
      </c>
      <c r="E271" t="s">
        <v>417</v>
      </c>
      <c r="F271" t="s">
        <v>442</v>
      </c>
      <c r="G271" t="s">
        <v>443</v>
      </c>
      <c r="H271" t="s">
        <v>444</v>
      </c>
    </row>
    <row r="272" spans="1:8" x14ac:dyDescent="0.2">
      <c r="A272">
        <v>45349.576631944445</v>
      </c>
      <c r="B272" t="s">
        <v>382</v>
      </c>
      <c r="C272" t="s">
        <v>182</v>
      </c>
      <c r="D272" t="s">
        <v>118</v>
      </c>
      <c r="E272" t="s">
        <v>417</v>
      </c>
      <c r="F272" t="s">
        <v>445</v>
      </c>
      <c r="G272" t="s">
        <v>118</v>
      </c>
      <c r="H272" t="s">
        <v>331</v>
      </c>
    </row>
    <row r="273" spans="1:8" x14ac:dyDescent="0.2">
      <c r="A273">
        <v>45348.74318287037</v>
      </c>
      <c r="B273" t="s">
        <v>388</v>
      </c>
      <c r="C273" t="s">
        <v>148</v>
      </c>
      <c r="D273" t="s">
        <v>118</v>
      </c>
      <c r="E273" t="s">
        <v>417</v>
      </c>
      <c r="F273" t="s">
        <v>446</v>
      </c>
      <c r="G273" t="s">
        <v>118</v>
      </c>
      <c r="H273" t="s">
        <v>388</v>
      </c>
    </row>
    <row r="274" spans="1:8" x14ac:dyDescent="0.2">
      <c r="A274">
        <v>45348.647581018522</v>
      </c>
      <c r="B274" t="s">
        <v>160</v>
      </c>
      <c r="C274" t="s">
        <v>447</v>
      </c>
      <c r="D274" t="s">
        <v>118</v>
      </c>
      <c r="E274" t="s">
        <v>417</v>
      </c>
      <c r="F274" t="s">
        <v>448</v>
      </c>
      <c r="G274" t="s">
        <v>118</v>
      </c>
      <c r="H274" t="s">
        <v>449</v>
      </c>
    </row>
    <row r="275" spans="1:8" x14ac:dyDescent="0.2">
      <c r="A275">
        <v>45348.514166666668</v>
      </c>
      <c r="B275" t="s">
        <v>138</v>
      </c>
      <c r="C275" t="s">
        <v>139</v>
      </c>
      <c r="D275" t="s">
        <v>118</v>
      </c>
      <c r="E275" t="s">
        <v>417</v>
      </c>
      <c r="F275" t="s">
        <v>450</v>
      </c>
      <c r="G275" t="s">
        <v>118</v>
      </c>
      <c r="H275" t="s">
        <v>451</v>
      </c>
    </row>
    <row r="276" spans="1:8" x14ac:dyDescent="0.2">
      <c r="A276">
        <v>45347.630613425928</v>
      </c>
      <c r="B276" t="s">
        <v>357</v>
      </c>
      <c r="C276" t="s">
        <v>358</v>
      </c>
      <c r="D276" t="s">
        <v>118</v>
      </c>
      <c r="E276" t="s">
        <v>417</v>
      </c>
      <c r="F276" t="s">
        <v>452</v>
      </c>
      <c r="G276" t="s">
        <v>118</v>
      </c>
      <c r="H276" t="s">
        <v>453</v>
      </c>
    </row>
    <row r="277" spans="1:8" x14ac:dyDescent="0.2">
      <c r="A277">
        <v>45347.522094907406</v>
      </c>
      <c r="B277" t="s">
        <v>135</v>
      </c>
      <c r="C277" t="s">
        <v>389</v>
      </c>
      <c r="D277" t="s">
        <v>118</v>
      </c>
      <c r="E277" t="s">
        <v>417</v>
      </c>
      <c r="F277" t="s">
        <v>454</v>
      </c>
      <c r="G277" t="s">
        <v>455</v>
      </c>
      <c r="H277" t="s">
        <v>456</v>
      </c>
    </row>
    <row r="278" spans="1:8" x14ac:dyDescent="0.2">
      <c r="A278">
        <v>45347.082615740743</v>
      </c>
      <c r="B278" t="s">
        <v>120</v>
      </c>
      <c r="C278" t="s">
        <v>121</v>
      </c>
      <c r="D278" t="s">
        <v>118</v>
      </c>
      <c r="E278" t="s">
        <v>417</v>
      </c>
      <c r="F278" t="s">
        <v>457</v>
      </c>
      <c r="G278" t="s">
        <v>118</v>
      </c>
      <c r="H278" t="s">
        <v>458</v>
      </c>
    </row>
    <row r="279" spans="1:8" x14ac:dyDescent="0.2">
      <c r="A279">
        <v>45347.001666666663</v>
      </c>
      <c r="B279" t="s">
        <v>204</v>
      </c>
      <c r="C279" t="s">
        <v>515</v>
      </c>
      <c r="D279" t="s">
        <v>118</v>
      </c>
      <c r="E279" t="s">
        <v>417</v>
      </c>
      <c r="F279" t="s">
        <v>459</v>
      </c>
      <c r="G279" t="s">
        <v>460</v>
      </c>
      <c r="H279" t="s">
        <v>351</v>
      </c>
    </row>
    <row r="280" spans="1:8" x14ac:dyDescent="0.2">
      <c r="A280">
        <v>45346.929282407407</v>
      </c>
      <c r="B280" t="s">
        <v>130</v>
      </c>
      <c r="C280" t="s">
        <v>86</v>
      </c>
      <c r="D280" t="s">
        <v>118</v>
      </c>
      <c r="E280" t="s">
        <v>417</v>
      </c>
      <c r="F280" t="s">
        <v>477</v>
      </c>
      <c r="G280" t="s">
        <v>461</v>
      </c>
      <c r="H280" t="s">
        <v>462</v>
      </c>
    </row>
    <row r="281" spans="1:8" x14ac:dyDescent="0.2">
      <c r="A281">
        <v>45346.848576388889</v>
      </c>
      <c r="B281" t="s">
        <v>131</v>
      </c>
      <c r="C281" t="s">
        <v>132</v>
      </c>
      <c r="D281" t="s">
        <v>118</v>
      </c>
      <c r="E281" t="s">
        <v>417</v>
      </c>
      <c r="F281" t="s">
        <v>463</v>
      </c>
      <c r="G281" t="s">
        <v>118</v>
      </c>
      <c r="H281" t="s">
        <v>464</v>
      </c>
    </row>
    <row r="282" spans="1:8" x14ac:dyDescent="0.2">
      <c r="A282">
        <v>45346.843807870369</v>
      </c>
      <c r="B282" t="s">
        <v>298</v>
      </c>
      <c r="C282" t="s">
        <v>386</v>
      </c>
      <c r="D282" t="s">
        <v>118</v>
      </c>
      <c r="E282" t="s">
        <v>417</v>
      </c>
      <c r="F282" t="s">
        <v>465</v>
      </c>
      <c r="G282" t="s">
        <v>466</v>
      </c>
      <c r="H282" t="s">
        <v>467</v>
      </c>
    </row>
    <row r="283" spans="1:8" x14ac:dyDescent="0.2">
      <c r="A283">
        <v>45346.840046296296</v>
      </c>
      <c r="B283" t="s">
        <v>385</v>
      </c>
      <c r="C283" t="s">
        <v>379</v>
      </c>
      <c r="D283" t="s">
        <v>118</v>
      </c>
      <c r="E283" t="s">
        <v>417</v>
      </c>
      <c r="F283" t="s">
        <v>468</v>
      </c>
      <c r="G283" t="s">
        <v>469</v>
      </c>
      <c r="H283" t="s">
        <v>102</v>
      </c>
    </row>
    <row r="284" spans="1:8" x14ac:dyDescent="0.2">
      <c r="A284">
        <v>45346.8200462963</v>
      </c>
      <c r="B284" t="s">
        <v>28</v>
      </c>
      <c r="C284" t="s">
        <v>29</v>
      </c>
      <c r="D284" t="s">
        <v>118</v>
      </c>
      <c r="E284" t="s">
        <v>417</v>
      </c>
      <c r="F284" t="s">
        <v>470</v>
      </c>
      <c r="G284" t="s">
        <v>118</v>
      </c>
      <c r="H284" t="s">
        <v>471</v>
      </c>
    </row>
    <row r="285" spans="1:8" x14ac:dyDescent="0.2">
      <c r="A285">
        <v>45323.772314814814</v>
      </c>
      <c r="B285" t="s">
        <v>204</v>
      </c>
      <c r="C285" t="s">
        <v>378</v>
      </c>
      <c r="D285" t="s">
        <v>118</v>
      </c>
      <c r="E285" t="s">
        <v>266</v>
      </c>
      <c r="F285" t="s">
        <v>366</v>
      </c>
      <c r="G285" t="s">
        <v>367</v>
      </c>
      <c r="H285" t="s">
        <v>37</v>
      </c>
    </row>
    <row r="286" spans="1:8" x14ac:dyDescent="0.2">
      <c r="A286">
        <v>45321.981203703705</v>
      </c>
      <c r="B286" t="s">
        <v>342</v>
      </c>
      <c r="C286" t="s">
        <v>211</v>
      </c>
      <c r="D286" t="s">
        <v>118</v>
      </c>
      <c r="E286" t="s">
        <v>266</v>
      </c>
      <c r="F286" t="s">
        <v>343</v>
      </c>
      <c r="G286" t="s">
        <v>118</v>
      </c>
      <c r="H286" t="s">
        <v>344</v>
      </c>
    </row>
    <row r="287" spans="1:8" x14ac:dyDescent="0.2">
      <c r="A287">
        <v>45321.837905092594</v>
      </c>
      <c r="B287" t="s">
        <v>188</v>
      </c>
      <c r="C287" t="s">
        <v>189</v>
      </c>
      <c r="D287" t="s">
        <v>118</v>
      </c>
      <c r="E287" t="s">
        <v>266</v>
      </c>
      <c r="F287" t="s">
        <v>345</v>
      </c>
      <c r="G287" t="s">
        <v>346</v>
      </c>
      <c r="H287" t="s">
        <v>188</v>
      </c>
    </row>
    <row r="288" spans="1:8" x14ac:dyDescent="0.2">
      <c r="A288">
        <v>45321.810567129629</v>
      </c>
      <c r="B288" t="s">
        <v>200</v>
      </c>
      <c r="C288" t="s">
        <v>201</v>
      </c>
      <c r="D288" t="s">
        <v>118</v>
      </c>
      <c r="E288" t="s">
        <v>266</v>
      </c>
      <c r="F288" t="s">
        <v>347</v>
      </c>
      <c r="G288" t="s">
        <v>348</v>
      </c>
      <c r="H288" t="s">
        <v>203</v>
      </c>
    </row>
    <row r="289" spans="1:8" x14ac:dyDescent="0.2">
      <c r="A289">
        <v>45321.803402777776</v>
      </c>
      <c r="B289" t="s">
        <v>204</v>
      </c>
      <c r="C289" t="s">
        <v>515</v>
      </c>
      <c r="D289" t="s">
        <v>118</v>
      </c>
      <c r="E289" t="s">
        <v>266</v>
      </c>
      <c r="F289" t="s">
        <v>349</v>
      </c>
      <c r="G289" t="s">
        <v>350</v>
      </c>
      <c r="H289" t="s">
        <v>351</v>
      </c>
    </row>
    <row r="290" spans="1:8" x14ac:dyDescent="0.2">
      <c r="A290">
        <v>45321.800138888888</v>
      </c>
      <c r="B290" t="s">
        <v>124</v>
      </c>
      <c r="C290" t="s">
        <v>166</v>
      </c>
      <c r="D290" t="s">
        <v>118</v>
      </c>
      <c r="E290" t="s">
        <v>266</v>
      </c>
      <c r="F290" t="s">
        <v>352</v>
      </c>
      <c r="G290" t="s">
        <v>118</v>
      </c>
      <c r="H290" t="s">
        <v>124</v>
      </c>
    </row>
    <row r="291" spans="1:8" x14ac:dyDescent="0.2">
      <c r="A291">
        <v>45321.741238425922</v>
      </c>
      <c r="B291" t="s">
        <v>72</v>
      </c>
      <c r="C291" t="s">
        <v>552</v>
      </c>
      <c r="D291" t="s">
        <v>118</v>
      </c>
      <c r="E291" t="s">
        <v>266</v>
      </c>
      <c r="F291" t="s">
        <v>354</v>
      </c>
      <c r="G291" t="s">
        <v>118</v>
      </c>
      <c r="H291" t="s">
        <v>353</v>
      </c>
    </row>
    <row r="292" spans="1:8" x14ac:dyDescent="0.2">
      <c r="A292">
        <v>45321.740046296298</v>
      </c>
      <c r="B292" t="s">
        <v>76</v>
      </c>
      <c r="C292" t="s">
        <v>77</v>
      </c>
      <c r="D292" t="s">
        <v>118</v>
      </c>
      <c r="E292" t="s">
        <v>266</v>
      </c>
      <c r="F292" t="s">
        <v>355</v>
      </c>
      <c r="G292" t="s">
        <v>356</v>
      </c>
      <c r="H292" t="s">
        <v>76</v>
      </c>
    </row>
    <row r="293" spans="1:8" x14ac:dyDescent="0.2">
      <c r="A293">
        <v>45321.702766203707</v>
      </c>
      <c r="B293" t="s">
        <v>357</v>
      </c>
      <c r="C293" t="s">
        <v>358</v>
      </c>
      <c r="D293" t="s">
        <v>118</v>
      </c>
      <c r="E293" t="s">
        <v>266</v>
      </c>
      <c r="F293" t="s">
        <v>359</v>
      </c>
      <c r="G293" t="s">
        <v>360</v>
      </c>
      <c r="H293" t="s">
        <v>361</v>
      </c>
    </row>
    <row r="294" spans="1:8" x14ac:dyDescent="0.2">
      <c r="A294">
        <v>45321.521817129629</v>
      </c>
      <c r="B294" t="s">
        <v>160</v>
      </c>
      <c r="C294" t="s">
        <v>332</v>
      </c>
      <c r="D294" t="s">
        <v>118</v>
      </c>
      <c r="E294" t="s">
        <v>266</v>
      </c>
      <c r="F294" t="s">
        <v>333</v>
      </c>
      <c r="G294" t="s">
        <v>334</v>
      </c>
      <c r="H294" t="s">
        <v>335</v>
      </c>
    </row>
    <row r="295" spans="1:8" x14ac:dyDescent="0.2">
      <c r="A295">
        <v>45320.830590277779</v>
      </c>
      <c r="B295" t="s">
        <v>382</v>
      </c>
      <c r="C295" t="s">
        <v>182</v>
      </c>
      <c r="D295" t="s">
        <v>118</v>
      </c>
      <c r="E295" t="s">
        <v>266</v>
      </c>
      <c r="F295" t="s">
        <v>154</v>
      </c>
      <c r="G295" t="s">
        <v>118</v>
      </c>
      <c r="H295" t="s">
        <v>331</v>
      </c>
    </row>
    <row r="296" spans="1:8" x14ac:dyDescent="0.2">
      <c r="A296">
        <v>45320.815127314818</v>
      </c>
      <c r="B296" t="s">
        <v>175</v>
      </c>
      <c r="C296" t="s">
        <v>23</v>
      </c>
      <c r="D296" t="s">
        <v>118</v>
      </c>
      <c r="E296" t="s">
        <v>266</v>
      </c>
      <c r="F296" t="s">
        <v>329</v>
      </c>
      <c r="G296" t="s">
        <v>330</v>
      </c>
      <c r="H296" t="s">
        <v>178</v>
      </c>
    </row>
    <row r="297" spans="1:8" x14ac:dyDescent="0.2">
      <c r="A297">
        <v>45320.243738425925</v>
      </c>
      <c r="B297" t="s">
        <v>383</v>
      </c>
      <c r="C297" t="s">
        <v>326</v>
      </c>
      <c r="D297" t="s">
        <v>118</v>
      </c>
      <c r="E297" t="s">
        <v>266</v>
      </c>
      <c r="F297" t="s">
        <v>327</v>
      </c>
      <c r="G297" t="s">
        <v>118</v>
      </c>
      <c r="H297" t="s">
        <v>328</v>
      </c>
    </row>
    <row r="298" spans="1:8" x14ac:dyDescent="0.2">
      <c r="A298">
        <v>45320.076574074075</v>
      </c>
      <c r="B298" t="s">
        <v>28</v>
      </c>
      <c r="C298" t="s">
        <v>323</v>
      </c>
      <c r="D298" t="s">
        <v>118</v>
      </c>
      <c r="E298" t="s">
        <v>266</v>
      </c>
      <c r="F298" t="s">
        <v>324</v>
      </c>
      <c r="G298" t="s">
        <v>325</v>
      </c>
      <c r="H298" t="s">
        <v>2</v>
      </c>
    </row>
    <row r="299" spans="1:8" x14ac:dyDescent="0.2">
      <c r="A299">
        <v>45319.976145833331</v>
      </c>
      <c r="B299" t="s">
        <v>195</v>
      </c>
      <c r="C299" t="s">
        <v>196</v>
      </c>
      <c r="D299" t="s">
        <v>118</v>
      </c>
      <c r="E299" t="s">
        <v>266</v>
      </c>
      <c r="F299" t="s">
        <v>321</v>
      </c>
      <c r="G299" t="s">
        <v>322</v>
      </c>
      <c r="H299" t="s">
        <v>199</v>
      </c>
    </row>
    <row r="300" spans="1:8" x14ac:dyDescent="0.2">
      <c r="A300">
        <v>45319.806828703702</v>
      </c>
      <c r="B300" t="s">
        <v>145</v>
      </c>
      <c r="C300" t="s">
        <v>380</v>
      </c>
      <c r="D300" t="s">
        <v>118</v>
      </c>
      <c r="E300" t="s">
        <v>266</v>
      </c>
      <c r="F300" t="s">
        <v>318</v>
      </c>
      <c r="G300" t="s">
        <v>319</v>
      </c>
      <c r="H300" t="s">
        <v>320</v>
      </c>
    </row>
    <row r="301" spans="1:8" x14ac:dyDescent="0.2">
      <c r="A301">
        <v>45319.366562499999</v>
      </c>
      <c r="B301" t="s">
        <v>384</v>
      </c>
      <c r="C301" t="s">
        <v>315</v>
      </c>
      <c r="D301" t="s">
        <v>118</v>
      </c>
      <c r="E301" t="s">
        <v>266</v>
      </c>
      <c r="F301" t="s">
        <v>316</v>
      </c>
      <c r="G301" t="s">
        <v>118</v>
      </c>
      <c r="H301" t="s">
        <v>317</v>
      </c>
    </row>
    <row r="302" spans="1:8" x14ac:dyDescent="0.2">
      <c r="A302">
        <v>45319.066504629627</v>
      </c>
      <c r="B302" t="s">
        <v>385</v>
      </c>
      <c r="C302" t="s">
        <v>379</v>
      </c>
      <c r="D302" t="s">
        <v>118</v>
      </c>
      <c r="E302" t="s">
        <v>266</v>
      </c>
      <c r="F302" t="s">
        <v>313</v>
      </c>
      <c r="G302" t="s">
        <v>314</v>
      </c>
      <c r="H302" t="s">
        <v>90</v>
      </c>
    </row>
    <row r="303" spans="1:8" x14ac:dyDescent="0.2">
      <c r="A303">
        <v>45318.504988425928</v>
      </c>
      <c r="B303" t="s">
        <v>305</v>
      </c>
      <c r="C303" t="s">
        <v>306</v>
      </c>
      <c r="D303" t="s">
        <v>118</v>
      </c>
      <c r="E303" t="s">
        <v>266</v>
      </c>
      <c r="F303" t="s">
        <v>307</v>
      </c>
      <c r="G303" t="s">
        <v>308</v>
      </c>
      <c r="H303" t="s">
        <v>309</v>
      </c>
    </row>
    <row r="304" spans="1:8" x14ac:dyDescent="0.2">
      <c r="A304">
        <v>45318.457280092596</v>
      </c>
      <c r="B304" t="s">
        <v>301</v>
      </c>
      <c r="C304" t="s">
        <v>302</v>
      </c>
      <c r="D304" t="s">
        <v>118</v>
      </c>
      <c r="E304" t="s">
        <v>266</v>
      </c>
      <c r="F304" t="s">
        <v>303</v>
      </c>
      <c r="G304" t="s">
        <v>304</v>
      </c>
      <c r="H304" t="s">
        <v>301</v>
      </c>
    </row>
    <row r="305" spans="1:8" x14ac:dyDescent="0.2">
      <c r="A305">
        <v>45318.359120370369</v>
      </c>
      <c r="B305" t="s">
        <v>298</v>
      </c>
      <c r="C305" t="s">
        <v>386</v>
      </c>
      <c r="D305" t="s">
        <v>118</v>
      </c>
      <c r="E305" t="s">
        <v>266</v>
      </c>
      <c r="F305" t="s">
        <v>299</v>
      </c>
      <c r="G305" t="s">
        <v>118</v>
      </c>
      <c r="H305" t="s">
        <v>300</v>
      </c>
    </row>
    <row r="306" spans="1:8" x14ac:dyDescent="0.2">
      <c r="A306">
        <v>45317.949618055558</v>
      </c>
      <c r="B306" t="s">
        <v>130</v>
      </c>
      <c r="C306" t="s">
        <v>86</v>
      </c>
      <c r="D306" t="s">
        <v>118</v>
      </c>
      <c r="E306" t="s">
        <v>266</v>
      </c>
      <c r="F306" t="s">
        <v>297</v>
      </c>
      <c r="G306" t="s">
        <v>118</v>
      </c>
      <c r="H306" t="s">
        <v>130</v>
      </c>
    </row>
    <row r="307" spans="1:8" x14ac:dyDescent="0.2">
      <c r="A307">
        <v>45317.738321759258</v>
      </c>
      <c r="B307" t="s">
        <v>120</v>
      </c>
      <c r="C307" t="s">
        <v>121</v>
      </c>
      <c r="D307" t="s">
        <v>118</v>
      </c>
      <c r="E307" t="s">
        <v>266</v>
      </c>
      <c r="F307" t="s">
        <v>296</v>
      </c>
      <c r="G307" t="s">
        <v>118</v>
      </c>
      <c r="H307" t="s">
        <v>123</v>
      </c>
    </row>
    <row r="308" spans="1:8" x14ac:dyDescent="0.2">
      <c r="A308">
        <v>45317.382870370369</v>
      </c>
      <c r="B308" t="s">
        <v>531</v>
      </c>
      <c r="C308" t="s">
        <v>293</v>
      </c>
      <c r="D308" t="s">
        <v>118</v>
      </c>
      <c r="E308" t="s">
        <v>266</v>
      </c>
      <c r="F308" t="s">
        <v>294</v>
      </c>
      <c r="G308" t="s">
        <v>118</v>
      </c>
      <c r="H308" t="s">
        <v>295</v>
      </c>
    </row>
    <row r="309" spans="1:8" x14ac:dyDescent="0.2">
      <c r="A309">
        <v>45317.004953703705</v>
      </c>
      <c r="B309" t="s">
        <v>290</v>
      </c>
      <c r="C309" t="s">
        <v>387</v>
      </c>
      <c r="D309" t="s">
        <v>118</v>
      </c>
      <c r="E309" t="s">
        <v>266</v>
      </c>
      <c r="F309" t="s">
        <v>291</v>
      </c>
      <c r="G309" t="s">
        <v>118</v>
      </c>
      <c r="H309" t="s">
        <v>290</v>
      </c>
    </row>
    <row r="310" spans="1:8" x14ac:dyDescent="0.2">
      <c r="A310">
        <v>45317.002812500003</v>
      </c>
      <c r="B310" t="s">
        <v>204</v>
      </c>
      <c r="C310" t="s">
        <v>286</v>
      </c>
      <c r="D310" t="s">
        <v>118</v>
      </c>
      <c r="E310" t="s">
        <v>266</v>
      </c>
      <c r="F310" t="s">
        <v>287</v>
      </c>
      <c r="G310" t="s">
        <v>288</v>
      </c>
      <c r="H310" t="s">
        <v>289</v>
      </c>
    </row>
    <row r="311" spans="1:8" x14ac:dyDescent="0.2">
      <c r="A311">
        <v>45316.993101851855</v>
      </c>
      <c r="B311" t="s">
        <v>124</v>
      </c>
      <c r="C311" t="s">
        <v>125</v>
      </c>
      <c r="D311" t="s">
        <v>118</v>
      </c>
      <c r="E311" t="s">
        <v>266</v>
      </c>
      <c r="F311" t="s">
        <v>284</v>
      </c>
      <c r="G311" t="s">
        <v>285</v>
      </c>
      <c r="H311" t="s">
        <v>128</v>
      </c>
    </row>
    <row r="312" spans="1:8" x14ac:dyDescent="0.2">
      <c r="A312">
        <v>45316.916180555556</v>
      </c>
      <c r="B312" t="s">
        <v>103</v>
      </c>
      <c r="C312" t="s">
        <v>104</v>
      </c>
      <c r="D312" t="s">
        <v>118</v>
      </c>
      <c r="E312" t="s">
        <v>266</v>
      </c>
      <c r="F312" t="s">
        <v>283</v>
      </c>
      <c r="G312" t="s">
        <v>118</v>
      </c>
      <c r="H312" t="s">
        <v>103</v>
      </c>
    </row>
    <row r="313" spans="1:8" x14ac:dyDescent="0.2">
      <c r="A313">
        <v>45316.907199074078</v>
      </c>
      <c r="B313" t="s">
        <v>131</v>
      </c>
      <c r="C313" t="s">
        <v>132</v>
      </c>
      <c r="D313" t="s">
        <v>118</v>
      </c>
      <c r="E313" t="s">
        <v>266</v>
      </c>
      <c r="F313" t="s">
        <v>281</v>
      </c>
      <c r="G313" t="s">
        <v>118</v>
      </c>
      <c r="H313" t="s">
        <v>282</v>
      </c>
    </row>
    <row r="314" spans="1:8" x14ac:dyDescent="0.2">
      <c r="A314">
        <v>45316.556284722225</v>
      </c>
      <c r="B314" t="s">
        <v>388</v>
      </c>
      <c r="C314" t="s">
        <v>148</v>
      </c>
      <c r="D314" t="s">
        <v>118</v>
      </c>
      <c r="E314" t="s">
        <v>266</v>
      </c>
      <c r="F314" t="s">
        <v>279</v>
      </c>
      <c r="G314" t="s">
        <v>118</v>
      </c>
      <c r="H314" t="s">
        <v>280</v>
      </c>
    </row>
    <row r="315" spans="1:8" x14ac:dyDescent="0.2">
      <c r="A315">
        <v>45316.547268518516</v>
      </c>
      <c r="B315" t="s">
        <v>72</v>
      </c>
      <c r="C315" t="s">
        <v>73</v>
      </c>
      <c r="D315" t="s">
        <v>118</v>
      </c>
      <c r="E315" t="s">
        <v>266</v>
      </c>
      <c r="F315" t="s">
        <v>276</v>
      </c>
      <c r="G315" t="s">
        <v>277</v>
      </c>
      <c r="H315" t="s">
        <v>278</v>
      </c>
    </row>
    <row r="316" spans="1:8" x14ac:dyDescent="0.2">
      <c r="A316">
        <v>45316.542824074073</v>
      </c>
      <c r="B316" t="s">
        <v>138</v>
      </c>
      <c r="C316" t="s">
        <v>139</v>
      </c>
      <c r="D316" t="s">
        <v>118</v>
      </c>
      <c r="E316" t="s">
        <v>266</v>
      </c>
      <c r="F316" t="s">
        <v>274</v>
      </c>
      <c r="G316" t="s">
        <v>118</v>
      </c>
      <c r="H316" t="s">
        <v>275</v>
      </c>
    </row>
    <row r="317" spans="1:8" x14ac:dyDescent="0.2">
      <c r="A317">
        <v>45316.463750000003</v>
      </c>
      <c r="B317" t="s">
        <v>135</v>
      </c>
      <c r="C317" t="s">
        <v>389</v>
      </c>
      <c r="D317" t="s">
        <v>118</v>
      </c>
      <c r="E317" t="s">
        <v>266</v>
      </c>
      <c r="F317" t="s">
        <v>272</v>
      </c>
      <c r="G317" t="s">
        <v>273</v>
      </c>
      <c r="H317" t="s">
        <v>42</v>
      </c>
    </row>
    <row r="318" spans="1:8" x14ac:dyDescent="0.2">
      <c r="A318">
        <v>45316.33934027778</v>
      </c>
      <c r="B318" t="s">
        <v>28</v>
      </c>
      <c r="C318" t="s">
        <v>29</v>
      </c>
      <c r="D318" t="s">
        <v>118</v>
      </c>
      <c r="E318" t="s">
        <v>266</v>
      </c>
      <c r="F318" t="s">
        <v>269</v>
      </c>
      <c r="G318" t="s">
        <v>270</v>
      </c>
      <c r="H318" t="s">
        <v>271</v>
      </c>
    </row>
    <row r="319" spans="1:8" x14ac:dyDescent="0.2">
      <c r="A319">
        <v>45315.717592592591</v>
      </c>
      <c r="B319" t="s">
        <v>264</v>
      </c>
      <c r="C319" t="s">
        <v>265</v>
      </c>
      <c r="D319" t="s">
        <v>118</v>
      </c>
      <c r="E319" t="s">
        <v>266</v>
      </c>
      <c r="F319" t="s">
        <v>267</v>
      </c>
      <c r="G319" t="s">
        <v>118</v>
      </c>
      <c r="H319" t="s">
        <v>264</v>
      </c>
    </row>
    <row r="320" spans="1:8" x14ac:dyDescent="0.2">
      <c r="A320">
        <v>45308.841666666667</v>
      </c>
      <c r="B320" t="s">
        <v>160</v>
      </c>
      <c r="C320" t="s">
        <v>260</v>
      </c>
      <c r="D320" t="s">
        <v>118</v>
      </c>
      <c r="E320" t="s">
        <v>99</v>
      </c>
      <c r="F320" t="s">
        <v>261</v>
      </c>
      <c r="G320" t="s">
        <v>262</v>
      </c>
      <c r="H320" t="s">
        <v>263</v>
      </c>
    </row>
    <row r="321" spans="1:8" x14ac:dyDescent="0.2">
      <c r="A321">
        <v>45292.95820601852</v>
      </c>
      <c r="B321" t="s">
        <v>28</v>
      </c>
      <c r="C321" t="s">
        <v>390</v>
      </c>
      <c r="D321" t="s">
        <v>118</v>
      </c>
      <c r="E321" t="s">
        <v>99</v>
      </c>
      <c r="F321" t="s">
        <v>259</v>
      </c>
      <c r="G321" t="s">
        <v>241</v>
      </c>
      <c r="H321" t="s">
        <v>242</v>
      </c>
    </row>
    <row r="322" spans="1:8" x14ac:dyDescent="0.2">
      <c r="A322">
        <v>45292.790462962963</v>
      </c>
      <c r="B322" t="s">
        <v>256</v>
      </c>
      <c r="C322" t="s">
        <v>257</v>
      </c>
      <c r="D322" t="s">
        <v>118</v>
      </c>
      <c r="E322" t="s">
        <v>99</v>
      </c>
      <c r="F322" t="s">
        <v>258</v>
      </c>
      <c r="G322" t="s">
        <v>118</v>
      </c>
      <c r="H322" t="s">
        <v>240</v>
      </c>
    </row>
    <row r="323" spans="1:8" x14ac:dyDescent="0.2">
      <c r="A323">
        <v>45292.578611111108</v>
      </c>
      <c r="B323" t="s">
        <v>72</v>
      </c>
      <c r="C323" t="s">
        <v>552</v>
      </c>
      <c r="D323" t="s">
        <v>118</v>
      </c>
      <c r="E323" t="s">
        <v>99</v>
      </c>
      <c r="F323" t="s">
        <v>255</v>
      </c>
      <c r="G323" t="s">
        <v>118</v>
      </c>
      <c r="H323" t="s">
        <v>238</v>
      </c>
    </row>
    <row r="324" spans="1:8" x14ac:dyDescent="0.2">
      <c r="A324">
        <v>45290.998888888891</v>
      </c>
      <c r="B324" t="s">
        <v>342</v>
      </c>
      <c r="C324" t="s">
        <v>211</v>
      </c>
      <c r="D324" t="s">
        <v>118</v>
      </c>
      <c r="E324" t="s">
        <v>99</v>
      </c>
      <c r="F324" t="s">
        <v>212</v>
      </c>
      <c r="G324" t="s">
        <v>118</v>
      </c>
      <c r="H324" t="s">
        <v>213</v>
      </c>
    </row>
    <row r="325" spans="1:8" x14ac:dyDescent="0.2">
      <c r="A325">
        <v>45290.920243055552</v>
      </c>
      <c r="B325" t="s">
        <v>207</v>
      </c>
      <c r="C325" t="s">
        <v>208</v>
      </c>
      <c r="D325" t="s">
        <v>118</v>
      </c>
      <c r="E325" t="s">
        <v>99</v>
      </c>
      <c r="F325" t="s">
        <v>209</v>
      </c>
      <c r="G325" t="s">
        <v>210</v>
      </c>
      <c r="H325" t="s">
        <v>207</v>
      </c>
    </row>
    <row r="326" spans="1:8" x14ac:dyDescent="0.2">
      <c r="A326">
        <v>45290.901643518519</v>
      </c>
      <c r="B326" t="s">
        <v>204</v>
      </c>
      <c r="C326" t="s">
        <v>378</v>
      </c>
      <c r="D326" t="s">
        <v>118</v>
      </c>
      <c r="E326" t="s">
        <v>99</v>
      </c>
      <c r="F326" t="s">
        <v>205</v>
      </c>
      <c r="G326" t="s">
        <v>206</v>
      </c>
      <c r="H326" t="s">
        <v>37</v>
      </c>
    </row>
    <row r="327" spans="1:8" x14ac:dyDescent="0.2">
      <c r="A327">
        <v>45290.842523148145</v>
      </c>
      <c r="B327" t="s">
        <v>200</v>
      </c>
      <c r="C327" t="s">
        <v>201</v>
      </c>
      <c r="D327" t="s">
        <v>118</v>
      </c>
      <c r="E327" t="s">
        <v>99</v>
      </c>
      <c r="F327" t="s">
        <v>202</v>
      </c>
      <c r="G327" t="s">
        <v>118</v>
      </c>
      <c r="H327" t="s">
        <v>203</v>
      </c>
    </row>
    <row r="328" spans="1:8" x14ac:dyDescent="0.2">
      <c r="A328">
        <v>45290.582708333335</v>
      </c>
      <c r="B328" t="s">
        <v>195</v>
      </c>
      <c r="C328" t="s">
        <v>196</v>
      </c>
      <c r="D328" t="s">
        <v>118</v>
      </c>
      <c r="E328" t="s">
        <v>99</v>
      </c>
      <c r="F328" t="s">
        <v>197</v>
      </c>
      <c r="G328" t="s">
        <v>198</v>
      </c>
      <c r="H328" t="s">
        <v>199</v>
      </c>
    </row>
    <row r="329" spans="1:8" x14ac:dyDescent="0.2">
      <c r="A329">
        <v>45290.557592592595</v>
      </c>
      <c r="B329" t="s">
        <v>115</v>
      </c>
      <c r="C329" t="s">
        <v>391</v>
      </c>
      <c r="D329" t="s">
        <v>118</v>
      </c>
      <c r="E329" t="s">
        <v>99</v>
      </c>
      <c r="F329" t="s">
        <v>192</v>
      </c>
      <c r="G329" t="s">
        <v>193</v>
      </c>
      <c r="H329" t="s">
        <v>194</v>
      </c>
    </row>
    <row r="330" spans="1:8" x14ac:dyDescent="0.2">
      <c r="A330">
        <v>45290.553182870368</v>
      </c>
      <c r="B330" t="s">
        <v>188</v>
      </c>
      <c r="C330" t="s">
        <v>189</v>
      </c>
      <c r="D330" t="s">
        <v>118</v>
      </c>
      <c r="E330" t="s">
        <v>99</v>
      </c>
      <c r="F330" t="s">
        <v>190</v>
      </c>
      <c r="G330" t="s">
        <v>118</v>
      </c>
      <c r="H330" t="s">
        <v>191</v>
      </c>
    </row>
    <row r="331" spans="1:8" x14ac:dyDescent="0.2">
      <c r="A331">
        <v>45290.494930555556</v>
      </c>
      <c r="B331" t="s">
        <v>28</v>
      </c>
      <c r="C331" t="s">
        <v>185</v>
      </c>
      <c r="D331" t="s">
        <v>118</v>
      </c>
      <c r="E331" t="s">
        <v>99</v>
      </c>
      <c r="F331" t="s">
        <v>186</v>
      </c>
      <c r="G331" t="s">
        <v>118</v>
      </c>
      <c r="H331" t="s">
        <v>187</v>
      </c>
    </row>
    <row r="332" spans="1:8" x14ac:dyDescent="0.2">
      <c r="A332">
        <v>45290.419479166667</v>
      </c>
      <c r="B332" t="s">
        <v>382</v>
      </c>
      <c r="C332" t="s">
        <v>182</v>
      </c>
      <c r="D332" t="s">
        <v>118</v>
      </c>
      <c r="E332" t="s">
        <v>99</v>
      </c>
      <c r="F332" t="s">
        <v>183</v>
      </c>
      <c r="G332" t="s">
        <v>118</v>
      </c>
      <c r="H332" t="s">
        <v>184</v>
      </c>
    </row>
    <row r="333" spans="1:8" x14ac:dyDescent="0.2">
      <c r="A333">
        <v>45289.776620370372</v>
      </c>
      <c r="B333" t="s">
        <v>392</v>
      </c>
      <c r="C333" t="s">
        <v>393</v>
      </c>
      <c r="D333" t="s">
        <v>118</v>
      </c>
      <c r="E333" t="s">
        <v>99</v>
      </c>
      <c r="F333" t="s">
        <v>179</v>
      </c>
      <c r="G333" t="s">
        <v>180</v>
      </c>
      <c r="H333" t="s">
        <v>181</v>
      </c>
    </row>
    <row r="334" spans="1:8" x14ac:dyDescent="0.2">
      <c r="A334">
        <v>45289.317233796297</v>
      </c>
      <c r="B334" t="s">
        <v>175</v>
      </c>
      <c r="C334" t="s">
        <v>23</v>
      </c>
      <c r="D334" t="s">
        <v>118</v>
      </c>
      <c r="E334" t="s">
        <v>99</v>
      </c>
      <c r="F334" t="s">
        <v>176</v>
      </c>
      <c r="G334" t="s">
        <v>177</v>
      </c>
      <c r="H334" t="s">
        <v>178</v>
      </c>
    </row>
    <row r="335" spans="1:8" x14ac:dyDescent="0.2">
      <c r="A335">
        <v>45289.047546296293</v>
      </c>
      <c r="B335" t="s">
        <v>28</v>
      </c>
      <c r="C335" t="s">
        <v>323</v>
      </c>
      <c r="D335" t="s">
        <v>118</v>
      </c>
      <c r="E335" t="s">
        <v>99</v>
      </c>
      <c r="F335" t="s">
        <v>173</v>
      </c>
      <c r="G335" t="s">
        <v>174</v>
      </c>
      <c r="H335" t="s">
        <v>2</v>
      </c>
    </row>
    <row r="336" spans="1:8" x14ac:dyDescent="0.2">
      <c r="A336">
        <v>45288.396469907406</v>
      </c>
      <c r="B336" t="s">
        <v>67</v>
      </c>
      <c r="C336" t="s">
        <v>68</v>
      </c>
      <c r="D336" t="s">
        <v>118</v>
      </c>
      <c r="E336" t="s">
        <v>99</v>
      </c>
      <c r="F336" t="s">
        <v>169</v>
      </c>
      <c r="G336" t="s">
        <v>170</v>
      </c>
      <c r="H336" t="s">
        <v>171</v>
      </c>
    </row>
    <row r="337" spans="1:8" x14ac:dyDescent="0.2">
      <c r="A337">
        <v>45288.008425925924</v>
      </c>
      <c r="B337" t="s">
        <v>124</v>
      </c>
      <c r="C337" t="s">
        <v>166</v>
      </c>
      <c r="D337" t="s">
        <v>118</v>
      </c>
      <c r="E337" t="s">
        <v>99</v>
      </c>
      <c r="F337" t="s">
        <v>167</v>
      </c>
      <c r="G337" t="s">
        <v>118</v>
      </c>
      <c r="H337" t="s">
        <v>168</v>
      </c>
    </row>
    <row r="338" spans="1:8" x14ac:dyDescent="0.2">
      <c r="A338">
        <v>45287.630069444444</v>
      </c>
      <c r="B338" t="s">
        <v>145</v>
      </c>
      <c r="C338" t="s">
        <v>380</v>
      </c>
      <c r="D338" t="s">
        <v>118</v>
      </c>
      <c r="E338" t="s">
        <v>99</v>
      </c>
      <c r="F338" t="s">
        <v>164</v>
      </c>
      <c r="G338" t="s">
        <v>165</v>
      </c>
      <c r="H338" t="s">
        <v>147</v>
      </c>
    </row>
    <row r="339" spans="1:8" x14ac:dyDescent="0.2">
      <c r="A339">
        <v>45287.622916666667</v>
      </c>
      <c r="B339" t="s">
        <v>160</v>
      </c>
      <c r="C339" t="s">
        <v>332</v>
      </c>
      <c r="D339" t="s">
        <v>118</v>
      </c>
      <c r="E339" t="s">
        <v>99</v>
      </c>
      <c r="F339" t="s">
        <v>161</v>
      </c>
      <c r="G339" t="s">
        <v>162</v>
      </c>
      <c r="H339" t="s">
        <v>163</v>
      </c>
    </row>
    <row r="340" spans="1:8" x14ac:dyDescent="0.2">
      <c r="A340">
        <v>45287.567766203705</v>
      </c>
      <c r="B340" t="s">
        <v>46</v>
      </c>
      <c r="C340" t="s">
        <v>47</v>
      </c>
      <c r="D340" t="s">
        <v>118</v>
      </c>
      <c r="E340" t="s">
        <v>99</v>
      </c>
      <c r="F340" t="s">
        <v>157</v>
      </c>
      <c r="G340" t="s">
        <v>158</v>
      </c>
      <c r="H340" t="s">
        <v>159</v>
      </c>
    </row>
    <row r="341" spans="1:8" x14ac:dyDescent="0.2">
      <c r="A341">
        <v>45287.557025462964</v>
      </c>
      <c r="B341" t="s">
        <v>28</v>
      </c>
      <c r="C341" t="s">
        <v>29</v>
      </c>
      <c r="D341" t="s">
        <v>118</v>
      </c>
      <c r="E341" t="s">
        <v>99</v>
      </c>
      <c r="F341" t="s">
        <v>154</v>
      </c>
      <c r="G341" t="s">
        <v>155</v>
      </c>
      <c r="H341" t="s">
        <v>156</v>
      </c>
    </row>
    <row r="342" spans="1:8" x14ac:dyDescent="0.2">
      <c r="A342">
        <v>45287.555706018517</v>
      </c>
      <c r="B342" t="s">
        <v>8</v>
      </c>
      <c r="C342" t="s">
        <v>152</v>
      </c>
      <c r="D342" t="s">
        <v>118</v>
      </c>
      <c r="E342" t="s">
        <v>99</v>
      </c>
      <c r="F342" t="s">
        <v>153</v>
      </c>
      <c r="G342" t="s">
        <v>118</v>
      </c>
      <c r="H342" t="s">
        <v>8</v>
      </c>
    </row>
    <row r="343" spans="1:8" x14ac:dyDescent="0.2">
      <c r="A343">
        <v>45287.524317129632</v>
      </c>
      <c r="B343" t="s">
        <v>388</v>
      </c>
      <c r="C343" t="s">
        <v>148</v>
      </c>
      <c r="D343" t="s">
        <v>118</v>
      </c>
      <c r="E343" t="s">
        <v>99</v>
      </c>
      <c r="F343" t="s">
        <v>149</v>
      </c>
      <c r="G343" t="s">
        <v>150</v>
      </c>
      <c r="H343" t="s">
        <v>151</v>
      </c>
    </row>
    <row r="344" spans="1:8" x14ac:dyDescent="0.2">
      <c r="A344">
        <v>45287.507048611114</v>
      </c>
      <c r="B344" t="s">
        <v>76</v>
      </c>
      <c r="C344" t="s">
        <v>77</v>
      </c>
      <c r="D344" t="s">
        <v>118</v>
      </c>
      <c r="E344" t="s">
        <v>99</v>
      </c>
      <c r="F344" t="s">
        <v>143</v>
      </c>
      <c r="G344" t="s">
        <v>144</v>
      </c>
      <c r="H344" t="s">
        <v>76</v>
      </c>
    </row>
    <row r="345" spans="1:8" x14ac:dyDescent="0.2">
      <c r="A345">
        <v>45287.436030092591</v>
      </c>
      <c r="B345" t="s">
        <v>138</v>
      </c>
      <c r="C345" t="s">
        <v>139</v>
      </c>
      <c r="D345" t="s">
        <v>118</v>
      </c>
      <c r="E345" t="s">
        <v>99</v>
      </c>
      <c r="F345" t="s">
        <v>140</v>
      </c>
      <c r="G345" t="s">
        <v>141</v>
      </c>
      <c r="H345" t="s">
        <v>142</v>
      </c>
    </row>
    <row r="346" spans="1:8" x14ac:dyDescent="0.2">
      <c r="A346">
        <v>45286.765601851854</v>
      </c>
      <c r="B346" t="s">
        <v>135</v>
      </c>
      <c r="C346" t="s">
        <v>389</v>
      </c>
      <c r="D346" t="s">
        <v>118</v>
      </c>
      <c r="E346" t="s">
        <v>99</v>
      </c>
      <c r="F346" t="s">
        <v>136</v>
      </c>
      <c r="G346" t="s">
        <v>137</v>
      </c>
      <c r="H346" t="s">
        <v>42</v>
      </c>
    </row>
    <row r="347" spans="1:8" x14ac:dyDescent="0.2">
      <c r="A347">
        <v>45284.588472222225</v>
      </c>
      <c r="B347" t="s">
        <v>131</v>
      </c>
      <c r="C347" t="s">
        <v>132</v>
      </c>
      <c r="D347" t="s">
        <v>118</v>
      </c>
      <c r="E347" t="s">
        <v>99</v>
      </c>
      <c r="F347" t="s">
        <v>133</v>
      </c>
      <c r="G347" t="s">
        <v>118</v>
      </c>
      <c r="H347" t="s">
        <v>134</v>
      </c>
    </row>
    <row r="348" spans="1:8" x14ac:dyDescent="0.2">
      <c r="A348">
        <v>45284.322118055556</v>
      </c>
      <c r="B348" t="s">
        <v>130</v>
      </c>
      <c r="C348" t="s">
        <v>86</v>
      </c>
      <c r="D348" t="s">
        <v>118</v>
      </c>
      <c r="E348" t="s">
        <v>99</v>
      </c>
      <c r="F348" t="s">
        <v>129</v>
      </c>
      <c r="G348" t="s">
        <v>118</v>
      </c>
      <c r="H348" t="s">
        <v>130</v>
      </c>
    </row>
    <row r="349" spans="1:8" x14ac:dyDescent="0.2">
      <c r="A349">
        <v>45284.07</v>
      </c>
      <c r="B349" t="s">
        <v>124</v>
      </c>
      <c r="C349" t="s">
        <v>125</v>
      </c>
      <c r="D349" t="s">
        <v>118</v>
      </c>
      <c r="E349" t="s">
        <v>99</v>
      </c>
      <c r="F349" t="s">
        <v>126</v>
      </c>
      <c r="G349" t="s">
        <v>127</v>
      </c>
      <c r="H349" t="s">
        <v>128</v>
      </c>
    </row>
    <row r="350" spans="1:8" x14ac:dyDescent="0.2">
      <c r="A350">
        <v>45283.995694444442</v>
      </c>
      <c r="B350" t="s">
        <v>120</v>
      </c>
      <c r="C350" t="s">
        <v>121</v>
      </c>
      <c r="D350" t="s">
        <v>118</v>
      </c>
      <c r="E350" t="s">
        <v>99</v>
      </c>
      <c r="F350" t="s">
        <v>122</v>
      </c>
      <c r="G350" t="s">
        <v>118</v>
      </c>
      <c r="H350" t="s">
        <v>123</v>
      </c>
    </row>
    <row r="351" spans="1:8" x14ac:dyDescent="0.2">
      <c r="A351">
        <v>45283.682013888887</v>
      </c>
      <c r="B351" t="s">
        <v>115</v>
      </c>
      <c r="C351" t="s">
        <v>394</v>
      </c>
      <c r="D351" t="s">
        <v>118</v>
      </c>
      <c r="E351" t="s">
        <v>99</v>
      </c>
      <c r="F351" t="s">
        <v>116</v>
      </c>
      <c r="G351" t="s">
        <v>118</v>
      </c>
      <c r="H351" t="s">
        <v>117</v>
      </c>
    </row>
    <row r="352" spans="1:8" x14ac:dyDescent="0.2">
      <c r="A352">
        <v>45283.64875</v>
      </c>
      <c r="B352" t="s">
        <v>112</v>
      </c>
      <c r="C352" t="s">
        <v>395</v>
      </c>
      <c r="D352" t="s">
        <v>118</v>
      </c>
      <c r="E352" t="s">
        <v>99</v>
      </c>
      <c r="F352" t="s">
        <v>113</v>
      </c>
      <c r="G352" t="s">
        <v>118</v>
      </c>
      <c r="H352" t="s">
        <v>114</v>
      </c>
    </row>
    <row r="353" spans="1:8" x14ac:dyDescent="0.2">
      <c r="A353">
        <v>45283.532418981478</v>
      </c>
      <c r="B353" t="s">
        <v>107</v>
      </c>
      <c r="C353" t="s">
        <v>108</v>
      </c>
      <c r="D353" t="s">
        <v>118</v>
      </c>
      <c r="E353" t="s">
        <v>99</v>
      </c>
      <c r="F353" t="s">
        <v>109</v>
      </c>
      <c r="G353" t="s">
        <v>110</v>
      </c>
      <c r="H353" t="s">
        <v>111</v>
      </c>
    </row>
    <row r="354" spans="1:8" x14ac:dyDescent="0.2">
      <c r="A354">
        <v>45283.365474537037</v>
      </c>
      <c r="B354" t="s">
        <v>103</v>
      </c>
      <c r="C354" t="s">
        <v>104</v>
      </c>
      <c r="D354" t="s">
        <v>118</v>
      </c>
      <c r="E354" t="s">
        <v>99</v>
      </c>
      <c r="F354" t="s">
        <v>105</v>
      </c>
      <c r="G354" t="s">
        <v>118</v>
      </c>
      <c r="H354" t="s">
        <v>106</v>
      </c>
    </row>
    <row r="355" spans="1:8" x14ac:dyDescent="0.2">
      <c r="A355">
        <v>45283.361006944448</v>
      </c>
      <c r="B355" t="s">
        <v>385</v>
      </c>
      <c r="C355" t="s">
        <v>379</v>
      </c>
      <c r="D355" t="s">
        <v>118</v>
      </c>
      <c r="E355" t="s">
        <v>99</v>
      </c>
      <c r="F355" t="s">
        <v>100</v>
      </c>
      <c r="G355" t="s">
        <v>101</v>
      </c>
      <c r="H355" t="s">
        <v>102</v>
      </c>
    </row>
    <row r="356" spans="1:8" x14ac:dyDescent="0.2">
      <c r="A356">
        <v>45278.658449074072</v>
      </c>
      <c r="B356" t="s">
        <v>94</v>
      </c>
      <c r="C356" t="s">
        <v>95</v>
      </c>
      <c r="D356" t="s">
        <v>96</v>
      </c>
      <c r="E356" t="s">
        <v>57</v>
      </c>
      <c r="F356" t="s">
        <v>97</v>
      </c>
      <c r="G356" t="s">
        <v>98</v>
      </c>
      <c r="H356" t="s">
        <v>118</v>
      </c>
    </row>
    <row r="357" spans="1:8" x14ac:dyDescent="0.2">
      <c r="A357">
        <v>45261.792870370373</v>
      </c>
      <c r="B357" t="s">
        <v>396</v>
      </c>
      <c r="C357" t="s">
        <v>379</v>
      </c>
      <c r="D357" t="s">
        <v>91</v>
      </c>
      <c r="E357" t="s">
        <v>25</v>
      </c>
      <c r="F357" t="s">
        <v>92</v>
      </c>
      <c r="G357" t="s">
        <v>93</v>
      </c>
      <c r="H357" t="s">
        <v>118</v>
      </c>
    </row>
    <row r="358" spans="1:8" x14ac:dyDescent="0.2">
      <c r="A358">
        <v>45260.915312500001</v>
      </c>
      <c r="B358" t="s">
        <v>130</v>
      </c>
      <c r="C358" t="s">
        <v>86</v>
      </c>
      <c r="D358" t="s">
        <v>87</v>
      </c>
      <c r="E358" t="s">
        <v>25</v>
      </c>
      <c r="F358" t="s">
        <v>88</v>
      </c>
      <c r="G358" t="s">
        <v>89</v>
      </c>
      <c r="H358" t="s">
        <v>118</v>
      </c>
    </row>
    <row r="359" spans="1:8" x14ac:dyDescent="0.2">
      <c r="A359">
        <v>45260.507997685185</v>
      </c>
      <c r="B359" t="s">
        <v>397</v>
      </c>
      <c r="C359" t="s">
        <v>83</v>
      </c>
      <c r="D359" t="s">
        <v>84</v>
      </c>
      <c r="E359" t="s">
        <v>25</v>
      </c>
      <c r="F359" t="s">
        <v>85</v>
      </c>
      <c r="G359" t="s">
        <v>119</v>
      </c>
      <c r="H359" t="s">
        <v>118</v>
      </c>
    </row>
    <row r="360" spans="1:8" x14ac:dyDescent="0.2">
      <c r="A360">
        <v>45260.092152777775</v>
      </c>
      <c r="B360" t="s">
        <v>28</v>
      </c>
      <c r="C360" t="s">
        <v>172</v>
      </c>
      <c r="D360" t="s">
        <v>80</v>
      </c>
      <c r="E360" t="s">
        <v>25</v>
      </c>
      <c r="F360" t="s">
        <v>81</v>
      </c>
      <c r="G360" t="s">
        <v>82</v>
      </c>
      <c r="H360" t="s">
        <v>118</v>
      </c>
    </row>
    <row r="361" spans="1:8" x14ac:dyDescent="0.2">
      <c r="A361">
        <v>45259.776666666665</v>
      </c>
      <c r="B361" t="s">
        <v>76</v>
      </c>
      <c r="C361" t="s">
        <v>77</v>
      </c>
      <c r="D361" t="s">
        <v>118</v>
      </c>
      <c r="E361" t="s">
        <v>25</v>
      </c>
      <c r="F361" t="s">
        <v>78</v>
      </c>
      <c r="G361" t="s">
        <v>79</v>
      </c>
      <c r="H361" t="s">
        <v>118</v>
      </c>
    </row>
    <row r="362" spans="1:8" x14ac:dyDescent="0.2">
      <c r="A362">
        <v>45259.677465277775</v>
      </c>
      <c r="B362" t="s">
        <v>72</v>
      </c>
      <c r="C362" t="s">
        <v>73</v>
      </c>
      <c r="D362" t="s">
        <v>118</v>
      </c>
      <c r="E362" t="s">
        <v>25</v>
      </c>
      <c r="F362" t="s">
        <v>74</v>
      </c>
      <c r="G362" t="s">
        <v>75</v>
      </c>
      <c r="H362" t="s">
        <v>118</v>
      </c>
    </row>
    <row r="363" spans="1:8" x14ac:dyDescent="0.2">
      <c r="A363">
        <v>45259.546273148146</v>
      </c>
      <c r="B363" t="s">
        <v>67</v>
      </c>
      <c r="C363" t="s">
        <v>68</v>
      </c>
      <c r="D363" t="s">
        <v>69</v>
      </c>
      <c r="E363" t="s">
        <v>25</v>
      </c>
      <c r="F363" t="s">
        <v>70</v>
      </c>
      <c r="G363" t="s">
        <v>71</v>
      </c>
      <c r="H363" t="s">
        <v>118</v>
      </c>
    </row>
    <row r="364" spans="1:8" x14ac:dyDescent="0.2">
      <c r="A364">
        <v>45258.841527777775</v>
      </c>
      <c r="B364" t="s">
        <v>64</v>
      </c>
      <c r="C364" t="s">
        <v>398</v>
      </c>
      <c r="D364" t="s">
        <v>65</v>
      </c>
      <c r="E364" t="s">
        <v>25</v>
      </c>
      <c r="F364" t="s">
        <v>66</v>
      </c>
      <c r="G364" t="s">
        <v>118</v>
      </c>
      <c r="H364" t="s">
        <v>118</v>
      </c>
    </row>
    <row r="365" spans="1:8" x14ac:dyDescent="0.2">
      <c r="A365">
        <v>45258.596354166664</v>
      </c>
      <c r="B365" t="s">
        <v>60</v>
      </c>
      <c r="C365" t="s">
        <v>61</v>
      </c>
      <c r="D365" t="s">
        <v>62</v>
      </c>
      <c r="E365" t="s">
        <v>25</v>
      </c>
      <c r="F365" t="s">
        <v>63</v>
      </c>
      <c r="G365" t="s">
        <v>118</v>
      </c>
      <c r="H365" t="s">
        <v>118</v>
      </c>
    </row>
    <row r="366" spans="1:8" x14ac:dyDescent="0.2">
      <c r="A366">
        <v>45258.501655092594</v>
      </c>
      <c r="B366" t="s">
        <v>54</v>
      </c>
      <c r="C366" t="s">
        <v>55</v>
      </c>
      <c r="D366" t="s">
        <v>56</v>
      </c>
      <c r="E366" t="s">
        <v>57</v>
      </c>
      <c r="F366" t="s">
        <v>58</v>
      </c>
      <c r="G366" t="s">
        <v>59</v>
      </c>
      <c r="H366" t="s">
        <v>118</v>
      </c>
    </row>
    <row r="367" spans="1:8" x14ac:dyDescent="0.2">
      <c r="A367">
        <v>45258.395405092589</v>
      </c>
      <c r="B367" t="s">
        <v>138</v>
      </c>
      <c r="C367" t="s">
        <v>51</v>
      </c>
      <c r="D367" t="s">
        <v>52</v>
      </c>
      <c r="E367" t="s">
        <v>25</v>
      </c>
      <c r="F367" t="s">
        <v>53</v>
      </c>
      <c r="G367" t="s">
        <v>118</v>
      </c>
      <c r="H367" t="s">
        <v>118</v>
      </c>
    </row>
    <row r="368" spans="1:8" x14ac:dyDescent="0.2">
      <c r="A368">
        <v>45258.363553240742</v>
      </c>
      <c r="B368" t="s">
        <v>46</v>
      </c>
      <c r="C368" t="s">
        <v>47</v>
      </c>
      <c r="D368" t="s">
        <v>48</v>
      </c>
      <c r="E368" t="s">
        <v>25</v>
      </c>
      <c r="F368" t="s">
        <v>49</v>
      </c>
      <c r="G368" t="s">
        <v>50</v>
      </c>
      <c r="H368" t="s">
        <v>118</v>
      </c>
    </row>
    <row r="369" spans="1:8" x14ac:dyDescent="0.2">
      <c r="A369">
        <v>45258.352916666663</v>
      </c>
      <c r="B369" t="s">
        <v>135</v>
      </c>
      <c r="C369" t="s">
        <v>389</v>
      </c>
      <c r="D369" t="s">
        <v>43</v>
      </c>
      <c r="E369" t="s">
        <v>25</v>
      </c>
      <c r="F369" t="s">
        <v>44</v>
      </c>
      <c r="G369" t="s">
        <v>45</v>
      </c>
      <c r="H369" t="s">
        <v>118</v>
      </c>
    </row>
    <row r="370" spans="1:8" x14ac:dyDescent="0.2">
      <c r="A370">
        <v>45257.696655092594</v>
      </c>
      <c r="B370" t="s">
        <v>37</v>
      </c>
      <c r="C370" t="s">
        <v>38</v>
      </c>
      <c r="D370" t="s">
        <v>39</v>
      </c>
      <c r="E370" t="s">
        <v>25</v>
      </c>
      <c r="F370" t="s">
        <v>40</v>
      </c>
      <c r="G370" t="s">
        <v>41</v>
      </c>
      <c r="H370" t="s">
        <v>118</v>
      </c>
    </row>
    <row r="371" spans="1:8" x14ac:dyDescent="0.2">
      <c r="A371">
        <v>45257.586273148147</v>
      </c>
      <c r="B371" t="s">
        <v>33</v>
      </c>
      <c r="C371" t="s">
        <v>34</v>
      </c>
      <c r="D371" t="s">
        <v>118</v>
      </c>
      <c r="E371" t="s">
        <v>25</v>
      </c>
      <c r="F371" t="s">
        <v>35</v>
      </c>
      <c r="G371" t="s">
        <v>36</v>
      </c>
      <c r="H371" t="s">
        <v>118</v>
      </c>
    </row>
    <row r="372" spans="1:8" x14ac:dyDescent="0.2">
      <c r="A372">
        <v>45257.418854166666</v>
      </c>
      <c r="B372" t="s">
        <v>28</v>
      </c>
      <c r="C372" t="s">
        <v>29</v>
      </c>
      <c r="D372" t="s">
        <v>30</v>
      </c>
      <c r="E372" t="s">
        <v>25</v>
      </c>
      <c r="F372" t="s">
        <v>31</v>
      </c>
      <c r="G372" t="s">
        <v>32</v>
      </c>
      <c r="H372" t="s">
        <v>118</v>
      </c>
    </row>
    <row r="373" spans="1:8" x14ac:dyDescent="0.2">
      <c r="A373">
        <v>45255.743344907409</v>
      </c>
      <c r="B373" t="s">
        <v>22</v>
      </c>
      <c r="C373" t="s">
        <v>23</v>
      </c>
      <c r="D373" t="s">
        <v>24</v>
      </c>
      <c r="E373" t="s">
        <v>25</v>
      </c>
      <c r="F373" t="s">
        <v>26</v>
      </c>
      <c r="G373" t="s">
        <v>27</v>
      </c>
      <c r="H373"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AJ298"/>
  <sheetViews>
    <sheetView zoomScale="130" zoomScaleNormal="130" workbookViewId="0">
      <selection activeCell="AE5" sqref="AE5"/>
    </sheetView>
  </sheetViews>
  <sheetFormatPr baseColWidth="10" defaultRowHeight="12" x14ac:dyDescent="0.2"/>
  <cols>
    <col min="1" max="1" width="10" bestFit="1" customWidth="1"/>
    <col min="2" max="2" width="7" bestFit="1"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6" bestFit="1" customWidth="1"/>
    <col min="12" max="12" width="0.85546875" customWidth="1"/>
    <col min="13" max="13" width="9.85546875" bestFit="1" customWidth="1"/>
    <col min="14" max="14" width="6" style="4" bestFit="1" customWidth="1"/>
    <col min="15" max="15" width="1.28515625" customWidth="1"/>
    <col min="16" max="16" width="9.85546875" style="4" bestFit="1" customWidth="1"/>
    <col min="17" max="17" width="6" style="4" bestFit="1" customWidth="1"/>
    <col min="18" max="18" width="1.5703125" customWidth="1"/>
    <col min="19" max="19" width="10" bestFit="1" customWidth="1"/>
    <col min="20" max="20" width="6" bestFit="1" customWidth="1"/>
    <col min="21" max="21" width="1.140625" customWidth="1"/>
    <col min="22" max="22" width="9.85546875" bestFit="1" customWidth="1"/>
    <col min="23" max="23" width="6" bestFit="1" customWidth="1"/>
    <col min="24" max="24" width="1.7109375" customWidth="1"/>
    <col min="25" max="25" width="9.85546875" bestFit="1" customWidth="1"/>
    <col min="26" max="26" width="7" bestFit="1" customWidth="1"/>
    <col min="27" max="27" width="1.28515625" customWidth="1"/>
    <col min="28" max="28" width="9.85546875" bestFit="1" customWidth="1"/>
    <col min="29" max="29" width="7" bestFit="1" customWidth="1"/>
    <col min="30" max="30" width="2.42578125" customWidth="1"/>
    <col min="31" max="31" width="9.85546875" bestFit="1" customWidth="1"/>
    <col min="32" max="32" width="7" bestFit="1" customWidth="1"/>
    <col min="34" max="34" width="22.28515625" customWidth="1"/>
  </cols>
  <sheetData>
    <row r="1" spans="1:36" ht="18" x14ac:dyDescent="0.2">
      <c r="A1" s="114" t="s">
        <v>341</v>
      </c>
      <c r="B1" s="114"/>
      <c r="D1" s="113" t="s">
        <v>237</v>
      </c>
      <c r="E1" s="113"/>
      <c r="G1" s="113" t="s">
        <v>368</v>
      </c>
      <c r="H1" s="113"/>
      <c r="J1" s="113" t="s">
        <v>476</v>
      </c>
      <c r="K1" s="113"/>
      <c r="M1" s="113" t="s">
        <v>551</v>
      </c>
      <c r="N1" s="113"/>
      <c r="P1" s="113" t="s">
        <v>659</v>
      </c>
      <c r="Q1" s="113"/>
      <c r="S1" s="113" t="s">
        <v>800</v>
      </c>
      <c r="T1" s="113"/>
      <c r="V1" s="113" t="s">
        <v>955</v>
      </c>
      <c r="W1" s="113"/>
      <c r="X1" s="93"/>
      <c r="Y1" s="113" t="s">
        <v>1030</v>
      </c>
      <c r="Z1" s="113"/>
      <c r="AA1" s="93"/>
      <c r="AB1" s="113" t="s">
        <v>1101</v>
      </c>
      <c r="AC1" s="113"/>
      <c r="AD1" s="93"/>
      <c r="AE1" s="113" t="s">
        <v>1138</v>
      </c>
      <c r="AF1" s="113"/>
      <c r="AG1" s="93"/>
      <c r="AH1" s="95" t="s">
        <v>486</v>
      </c>
      <c r="AI1" s="2">
        <f>MIN(omie[valor])</f>
        <v>0.44</v>
      </c>
      <c r="AJ1" s="96">
        <f>INDEX(omie[fecha],MATCH(AI1,omie[valor],0))</f>
        <v>45387</v>
      </c>
    </row>
    <row r="2" spans="1:36" ht="18" x14ac:dyDescent="0.2">
      <c r="A2" s="114"/>
      <c r="B2" s="114"/>
      <c r="D2" s="113"/>
      <c r="E2" s="113"/>
      <c r="G2" s="113"/>
      <c r="H2" s="113"/>
      <c r="J2" s="113"/>
      <c r="K2" s="113"/>
      <c r="M2" s="113"/>
      <c r="N2" s="113"/>
      <c r="P2" s="113"/>
      <c r="Q2" s="113"/>
      <c r="S2" s="113"/>
      <c r="T2" s="113"/>
      <c r="V2" s="113"/>
      <c r="W2" s="113"/>
      <c r="X2" s="93"/>
      <c r="Y2" s="113"/>
      <c r="Z2" s="113"/>
      <c r="AA2" s="93"/>
      <c r="AB2" s="113"/>
      <c r="AC2" s="113"/>
      <c r="AD2" s="93"/>
      <c r="AE2" s="113"/>
      <c r="AF2" s="113"/>
      <c r="AG2" s="93"/>
      <c r="AH2" s="95" t="s">
        <v>956</v>
      </c>
      <c r="AI2" s="2">
        <f>MAX(omie[valor])</f>
        <v>120.37</v>
      </c>
      <c r="AJ2" s="96">
        <f>INDEX(omie[fecha],MATCH(AI2,omie[valor],0))</f>
        <v>45533</v>
      </c>
    </row>
    <row r="3" spans="1:36" x14ac:dyDescent="0.2">
      <c r="A3" s="114"/>
      <c r="B3" s="114"/>
      <c r="D3" s="15" t="s">
        <v>14</v>
      </c>
      <c r="E3" s="25">
        <f>ROUND(AVERAGE(omie_enero[valor]),2)</f>
        <v>74.099999999999994</v>
      </c>
      <c r="G3" s="15" t="s">
        <v>14</v>
      </c>
      <c r="H3" s="25">
        <f>ROUND(AVERAGE(omie_febrero[valor]),2)</f>
        <v>40</v>
      </c>
      <c r="J3" s="15" t="s">
        <v>14</v>
      </c>
      <c r="K3" s="97">
        <f>ROUND(AVERAGE(omie_marzo[valor]),2)</f>
        <v>20.28</v>
      </c>
      <c r="M3" s="15" t="s">
        <v>14</v>
      </c>
      <c r="N3" s="25">
        <f>ROUND(AVERAGE(omie_abril[valor]),2)</f>
        <v>13.67</v>
      </c>
      <c r="P3" s="15" t="s">
        <v>14</v>
      </c>
      <c r="Q3" s="25">
        <f>ROUND(AVERAGE(omie_mayo[valor]),2)</f>
        <v>30.4</v>
      </c>
      <c r="S3" s="15" t="s">
        <v>14</v>
      </c>
      <c r="T3" s="25">
        <f>ROUND(AVERAGE(omie_junio[valor]),2)</f>
        <v>56.08</v>
      </c>
      <c r="V3" s="15" t="s">
        <v>14</v>
      </c>
      <c r="W3" s="25">
        <f>ROUND(AVERAGE(omie_julio[valor]),2)</f>
        <v>72.31</v>
      </c>
      <c r="X3" s="94"/>
      <c r="Y3" s="15" t="s">
        <v>14</v>
      </c>
      <c r="Z3" s="25">
        <f>ROUND(AVERAGE(omie_agosto[valor]),2)</f>
        <v>91.05</v>
      </c>
      <c r="AA3" s="25"/>
      <c r="AB3" s="15" t="s">
        <v>14</v>
      </c>
      <c r="AC3" s="25">
        <f>ROUND(AVERAGE(omie_septiembre[valor]),2)</f>
        <v>72.62</v>
      </c>
      <c r="AD3" s="94"/>
      <c r="AE3" s="15" t="s">
        <v>14</v>
      </c>
      <c r="AF3" s="25">
        <f>ROUND(AVERAGE(omie_octubre[valor]),2)</f>
        <v>63.42</v>
      </c>
      <c r="AG3" s="94"/>
    </row>
    <row r="4" spans="1:36" x14ac:dyDescent="0.2">
      <c r="A4" s="2" t="s">
        <v>10</v>
      </c>
      <c r="B4" s="2" t="s">
        <v>11</v>
      </c>
      <c r="D4" s="4" t="s">
        <v>10</v>
      </c>
      <c r="E4" s="4" t="s">
        <v>11</v>
      </c>
      <c r="G4" s="4" t="s">
        <v>10</v>
      </c>
      <c r="H4" s="4" t="s">
        <v>11</v>
      </c>
      <c r="I4"/>
      <c r="J4" s="4" t="s">
        <v>10</v>
      </c>
      <c r="K4" t="s">
        <v>11</v>
      </c>
      <c r="M4" s="4" t="s">
        <v>10</v>
      </c>
      <c r="N4" s="4" t="s">
        <v>11</v>
      </c>
      <c r="P4" s="4" t="s">
        <v>10</v>
      </c>
      <c r="Q4" s="4" t="s">
        <v>11</v>
      </c>
      <c r="S4" s="4" t="s">
        <v>10</v>
      </c>
      <c r="T4" s="4" t="s">
        <v>11</v>
      </c>
      <c r="V4" s="4" t="s">
        <v>10</v>
      </c>
      <c r="W4" s="4" t="s">
        <v>11</v>
      </c>
      <c r="Y4" t="s">
        <v>10</v>
      </c>
      <c r="Z4" t="s">
        <v>11</v>
      </c>
      <c r="AB4" t="s">
        <v>10</v>
      </c>
      <c r="AC4" t="s">
        <v>11</v>
      </c>
      <c r="AE4" t="s">
        <v>10</v>
      </c>
      <c r="AF4" t="s">
        <v>11</v>
      </c>
    </row>
    <row r="5" spans="1:36" x14ac:dyDescent="0.2">
      <c r="A5" s="5">
        <v>45585</v>
      </c>
      <c r="B5" s="4">
        <v>44.66</v>
      </c>
      <c r="D5" s="24">
        <v>45292</v>
      </c>
      <c r="E5" s="21">
        <v>36.24</v>
      </c>
      <c r="G5" s="5">
        <v>45323</v>
      </c>
      <c r="H5" s="4">
        <v>70.95</v>
      </c>
      <c r="I5"/>
      <c r="J5" s="24">
        <v>45352</v>
      </c>
      <c r="K5">
        <v>2.14</v>
      </c>
      <c r="M5" s="5">
        <v>45383</v>
      </c>
      <c r="N5" s="4">
        <v>2.76</v>
      </c>
      <c r="P5" s="5">
        <v>45413</v>
      </c>
      <c r="Q5" s="4">
        <v>12.53</v>
      </c>
      <c r="S5" s="5">
        <v>45444</v>
      </c>
      <c r="T5" s="4">
        <v>1.76</v>
      </c>
      <c r="V5" s="24">
        <v>45474</v>
      </c>
      <c r="W5" s="4">
        <v>53.22</v>
      </c>
      <c r="Y5" s="24">
        <v>45505</v>
      </c>
      <c r="Z5">
        <v>107.32</v>
      </c>
      <c r="AB5" s="24">
        <v>45536</v>
      </c>
      <c r="AC5">
        <v>99.64</v>
      </c>
      <c r="AE5" s="24">
        <v>45566</v>
      </c>
      <c r="AF5" s="158">
        <v>97.9</v>
      </c>
    </row>
    <row r="6" spans="1:36" x14ac:dyDescent="0.2">
      <c r="A6" s="5">
        <v>45584</v>
      </c>
      <c r="B6" s="4">
        <v>48.71</v>
      </c>
      <c r="D6" s="24">
        <v>45293</v>
      </c>
      <c r="E6" s="21">
        <v>40.909999999999997</v>
      </c>
      <c r="G6" s="5">
        <v>45324</v>
      </c>
      <c r="H6" s="4">
        <v>65.319999999999993</v>
      </c>
      <c r="J6" s="24">
        <v>45353</v>
      </c>
      <c r="K6">
        <v>4.16</v>
      </c>
      <c r="M6" s="5">
        <v>45384</v>
      </c>
      <c r="N6" s="4">
        <v>9.85</v>
      </c>
      <c r="P6" s="5">
        <v>45414</v>
      </c>
      <c r="Q6" s="4">
        <v>15.6</v>
      </c>
      <c r="S6" s="5">
        <v>45445</v>
      </c>
      <c r="T6" s="4">
        <v>4.26</v>
      </c>
      <c r="V6" s="24">
        <v>45475</v>
      </c>
      <c r="W6" s="4">
        <v>46.97</v>
      </c>
      <c r="Y6" s="24">
        <v>45506</v>
      </c>
      <c r="Z6">
        <v>93.5</v>
      </c>
      <c r="AB6" s="24">
        <v>45537</v>
      </c>
      <c r="AC6">
        <v>116.66</v>
      </c>
      <c r="AE6" s="24">
        <v>45567</v>
      </c>
      <c r="AF6" s="158">
        <v>93.59</v>
      </c>
    </row>
    <row r="7" spans="1:36" x14ac:dyDescent="0.2">
      <c r="A7" s="5">
        <v>45583</v>
      </c>
      <c r="B7" s="4">
        <v>51.99</v>
      </c>
      <c r="D7" s="24">
        <v>45294</v>
      </c>
      <c r="E7" s="21">
        <v>55.08</v>
      </c>
      <c r="G7" s="5">
        <v>45325</v>
      </c>
      <c r="H7" s="4">
        <v>60.32</v>
      </c>
      <c r="J7" s="24">
        <v>45354</v>
      </c>
      <c r="K7">
        <v>3.79</v>
      </c>
      <c r="M7" s="24">
        <v>45385</v>
      </c>
      <c r="N7" s="4">
        <v>9.0299999999999994</v>
      </c>
      <c r="P7" s="5">
        <v>45415</v>
      </c>
      <c r="Q7" s="4">
        <v>26.11</v>
      </c>
      <c r="S7" s="5">
        <v>45446</v>
      </c>
      <c r="T7" s="4">
        <v>28.56</v>
      </c>
      <c r="V7" s="24">
        <v>45476</v>
      </c>
      <c r="W7" s="4">
        <v>61.71</v>
      </c>
      <c r="Y7" s="24">
        <v>45507</v>
      </c>
      <c r="Z7">
        <v>77.64</v>
      </c>
      <c r="AB7" s="24">
        <v>45538</v>
      </c>
      <c r="AC7">
        <v>108.44</v>
      </c>
      <c r="AE7" s="24">
        <v>45568</v>
      </c>
      <c r="AF7" s="158">
        <v>57.92</v>
      </c>
    </row>
    <row r="8" spans="1:36" x14ac:dyDescent="0.2">
      <c r="A8" s="5">
        <v>45582</v>
      </c>
      <c r="B8" s="4">
        <v>51.25</v>
      </c>
      <c r="D8" s="24">
        <v>45295</v>
      </c>
      <c r="E8" s="21">
        <v>91.36</v>
      </c>
      <c r="G8" s="5">
        <v>45326</v>
      </c>
      <c r="H8" s="4">
        <v>63.1</v>
      </c>
      <c r="J8" s="24">
        <v>45355</v>
      </c>
      <c r="K8">
        <v>7.95</v>
      </c>
      <c r="M8" s="24">
        <v>45386</v>
      </c>
      <c r="N8" s="4">
        <v>4</v>
      </c>
      <c r="P8" s="5">
        <v>45416</v>
      </c>
      <c r="Q8" s="4">
        <v>14.8</v>
      </c>
      <c r="S8" s="5">
        <v>45447</v>
      </c>
      <c r="T8" s="4">
        <v>87.64</v>
      </c>
      <c r="V8" s="24">
        <v>45477</v>
      </c>
      <c r="W8" s="4">
        <v>51.85</v>
      </c>
      <c r="Y8" s="24">
        <v>45508</v>
      </c>
      <c r="Z8">
        <v>75.48</v>
      </c>
      <c r="AB8" s="24">
        <v>45539</v>
      </c>
      <c r="AC8">
        <v>95.41</v>
      </c>
      <c r="AE8" s="24">
        <v>45569</v>
      </c>
      <c r="AF8" s="158">
        <v>98.98</v>
      </c>
    </row>
    <row r="9" spans="1:36" x14ac:dyDescent="0.2">
      <c r="A9" s="5">
        <v>45581</v>
      </c>
      <c r="B9" s="4">
        <v>48.84</v>
      </c>
      <c r="D9" s="24">
        <v>45296</v>
      </c>
      <c r="E9" s="21">
        <v>68.62</v>
      </c>
      <c r="G9" s="5">
        <v>45327</v>
      </c>
      <c r="H9" s="4">
        <v>80.92</v>
      </c>
      <c r="J9" s="24">
        <v>45356</v>
      </c>
      <c r="K9">
        <v>33.450000000000003</v>
      </c>
      <c r="M9" s="24">
        <v>45387</v>
      </c>
      <c r="N9" s="4">
        <v>0.44</v>
      </c>
      <c r="P9" s="5">
        <v>45417</v>
      </c>
      <c r="Q9" s="4">
        <v>17.53</v>
      </c>
      <c r="S9" s="5">
        <v>45448</v>
      </c>
      <c r="T9" s="4">
        <v>93.26</v>
      </c>
      <c r="V9" s="24">
        <v>45478</v>
      </c>
      <c r="W9" s="4">
        <v>59.88</v>
      </c>
      <c r="Y9" s="24">
        <v>45509</v>
      </c>
      <c r="Z9">
        <v>109.82</v>
      </c>
      <c r="AB9" s="24">
        <v>45540</v>
      </c>
      <c r="AC9">
        <v>104.28</v>
      </c>
      <c r="AE9" s="24">
        <v>45570</v>
      </c>
      <c r="AF9" s="158">
        <v>60.4</v>
      </c>
    </row>
    <row r="10" spans="1:36" x14ac:dyDescent="0.2">
      <c r="A10" s="5">
        <v>45580</v>
      </c>
      <c r="B10" s="4">
        <v>87.23</v>
      </c>
      <c r="D10" s="24">
        <v>45297</v>
      </c>
      <c r="E10" s="21">
        <v>43.97</v>
      </c>
      <c r="G10" s="5">
        <v>45328</v>
      </c>
      <c r="H10" s="4">
        <v>74.03</v>
      </c>
      <c r="J10" s="24">
        <v>45357</v>
      </c>
      <c r="K10">
        <v>45.97</v>
      </c>
      <c r="M10" s="24">
        <v>45388</v>
      </c>
      <c r="N10" s="4">
        <v>0.74</v>
      </c>
      <c r="P10" s="5">
        <v>45418</v>
      </c>
      <c r="Q10" s="4">
        <v>47.8</v>
      </c>
      <c r="S10" s="5">
        <v>45449</v>
      </c>
      <c r="T10" s="4">
        <v>93.42</v>
      </c>
      <c r="V10" s="24">
        <v>45479</v>
      </c>
      <c r="W10" s="4">
        <v>33.979999999999997</v>
      </c>
      <c r="Y10" s="24">
        <v>45510</v>
      </c>
      <c r="Z10">
        <v>105.56</v>
      </c>
      <c r="AB10" s="24">
        <v>45541</v>
      </c>
      <c r="AC10">
        <v>86.72</v>
      </c>
      <c r="AE10" s="24">
        <v>45571</v>
      </c>
      <c r="AF10" s="158">
        <v>21.96</v>
      </c>
    </row>
    <row r="11" spans="1:36" x14ac:dyDescent="0.2">
      <c r="A11" s="5">
        <v>45579</v>
      </c>
      <c r="B11" s="4">
        <v>104.17</v>
      </c>
      <c r="D11" s="24">
        <v>45298</v>
      </c>
      <c r="E11" s="21">
        <v>76</v>
      </c>
      <c r="G11" s="5">
        <v>45329</v>
      </c>
      <c r="H11" s="4">
        <v>50.11</v>
      </c>
      <c r="J11" s="24">
        <v>45358</v>
      </c>
      <c r="K11">
        <v>8.52</v>
      </c>
      <c r="M11" s="24">
        <v>45389</v>
      </c>
      <c r="N11" s="4">
        <v>4.05</v>
      </c>
      <c r="P11" s="5">
        <v>45419</v>
      </c>
      <c r="Q11" s="4">
        <v>42.04</v>
      </c>
      <c r="S11" s="5">
        <v>45450</v>
      </c>
      <c r="T11" s="4">
        <v>79.13</v>
      </c>
      <c r="V11" s="24">
        <v>45480</v>
      </c>
      <c r="W11" s="4">
        <v>34.71</v>
      </c>
      <c r="Y11" s="24">
        <v>45511</v>
      </c>
      <c r="Z11">
        <v>97.43</v>
      </c>
      <c r="AB11" s="24">
        <v>45542</v>
      </c>
      <c r="AC11">
        <v>79.010000000000005</v>
      </c>
      <c r="AE11" s="24">
        <v>45572</v>
      </c>
      <c r="AF11" s="158">
        <v>55.46</v>
      </c>
    </row>
    <row r="12" spans="1:36" x14ac:dyDescent="0.2">
      <c r="A12" s="5">
        <v>45578</v>
      </c>
      <c r="B12" s="4">
        <v>52.75</v>
      </c>
      <c r="D12" s="24">
        <v>45299</v>
      </c>
      <c r="E12" s="21">
        <v>105.51</v>
      </c>
      <c r="G12" s="5">
        <v>45330</v>
      </c>
      <c r="H12" s="4">
        <v>38.67</v>
      </c>
      <c r="J12" s="24">
        <v>45359</v>
      </c>
      <c r="K12">
        <v>1.67</v>
      </c>
      <c r="M12" s="24">
        <v>45390</v>
      </c>
      <c r="N12" s="4">
        <v>0.52</v>
      </c>
      <c r="P12" s="5">
        <v>45420</v>
      </c>
      <c r="Q12" s="4">
        <v>21.24</v>
      </c>
      <c r="S12" s="5">
        <v>45451</v>
      </c>
      <c r="T12" s="4">
        <v>71.42</v>
      </c>
      <c r="V12" s="24">
        <v>45481</v>
      </c>
      <c r="W12" s="4">
        <v>73.19</v>
      </c>
      <c r="Y12" s="24">
        <v>45512</v>
      </c>
      <c r="Z12">
        <v>101.19</v>
      </c>
      <c r="AB12" s="24">
        <v>45543</v>
      </c>
      <c r="AC12">
        <v>67.760000000000005</v>
      </c>
      <c r="AE12" s="24">
        <v>45573</v>
      </c>
      <c r="AF12" s="158">
        <v>31.37</v>
      </c>
    </row>
    <row r="13" spans="1:36" x14ac:dyDescent="0.2">
      <c r="A13" s="5">
        <v>45577</v>
      </c>
      <c r="B13" s="4">
        <v>69.86</v>
      </c>
      <c r="D13" s="24">
        <v>45300</v>
      </c>
      <c r="E13" s="21">
        <v>113.83</v>
      </c>
      <c r="G13" s="5">
        <v>45331</v>
      </c>
      <c r="H13" s="4">
        <v>40.18</v>
      </c>
      <c r="J13" s="24">
        <v>45360</v>
      </c>
      <c r="K13">
        <v>0.59</v>
      </c>
      <c r="M13" s="24">
        <v>45391</v>
      </c>
      <c r="N13" s="4">
        <v>1.29</v>
      </c>
      <c r="P13" s="5">
        <v>45421</v>
      </c>
      <c r="Q13" s="4">
        <v>33.54</v>
      </c>
      <c r="S13" s="5">
        <v>45452</v>
      </c>
      <c r="T13" s="4">
        <v>16.43</v>
      </c>
      <c r="V13" s="24">
        <v>45482</v>
      </c>
      <c r="W13" s="4">
        <v>69.55</v>
      </c>
      <c r="Y13" s="24">
        <v>45513</v>
      </c>
      <c r="Z13">
        <v>102.32</v>
      </c>
      <c r="AB13" s="24">
        <v>45544</v>
      </c>
      <c r="AC13">
        <v>86.54</v>
      </c>
      <c r="AE13" s="24">
        <v>45574</v>
      </c>
      <c r="AF13" s="158">
        <v>24.52</v>
      </c>
    </row>
    <row r="14" spans="1:36" x14ac:dyDescent="0.2">
      <c r="A14" s="5">
        <v>45576</v>
      </c>
      <c r="B14" s="4">
        <v>90.66</v>
      </c>
      <c r="D14" s="24">
        <v>45301</v>
      </c>
      <c r="E14" s="21">
        <v>100.88</v>
      </c>
      <c r="G14" s="5">
        <v>45332</v>
      </c>
      <c r="H14" s="4">
        <v>9.4700000000000006</v>
      </c>
      <c r="J14" s="24">
        <v>45361</v>
      </c>
      <c r="K14">
        <v>0.54</v>
      </c>
      <c r="M14" s="24">
        <v>45392</v>
      </c>
      <c r="N14" s="4">
        <v>4.3099999999999996</v>
      </c>
      <c r="P14" s="5">
        <v>45422</v>
      </c>
      <c r="Q14" s="4">
        <v>28.95</v>
      </c>
      <c r="S14" s="5">
        <v>45453</v>
      </c>
      <c r="T14" s="4">
        <v>44.61</v>
      </c>
      <c r="V14" s="24">
        <v>45483</v>
      </c>
      <c r="W14" s="4">
        <v>87.61</v>
      </c>
      <c r="Y14" s="24">
        <v>45514</v>
      </c>
      <c r="Z14">
        <v>71.36</v>
      </c>
      <c r="AB14" s="24">
        <v>45545</v>
      </c>
      <c r="AC14">
        <v>75.209999999999994</v>
      </c>
      <c r="AE14" s="24">
        <v>45575</v>
      </c>
      <c r="AF14" s="158">
        <v>76.180000000000007</v>
      </c>
    </row>
    <row r="15" spans="1:36" x14ac:dyDescent="0.2">
      <c r="A15" s="5">
        <v>45575</v>
      </c>
      <c r="B15" s="4">
        <v>76.180000000000007</v>
      </c>
      <c r="D15" s="24">
        <v>45302</v>
      </c>
      <c r="E15" s="21">
        <v>96.97</v>
      </c>
      <c r="G15" s="5">
        <v>45333</v>
      </c>
      <c r="H15" s="4">
        <v>44.83</v>
      </c>
      <c r="J15" s="24">
        <v>45362</v>
      </c>
      <c r="K15">
        <v>14.63</v>
      </c>
      <c r="M15" s="24">
        <v>45393</v>
      </c>
      <c r="N15" s="4">
        <v>12.03</v>
      </c>
      <c r="P15" s="5">
        <v>45423</v>
      </c>
      <c r="Q15" s="4">
        <v>20.59</v>
      </c>
      <c r="S15" s="5">
        <v>45454</v>
      </c>
      <c r="T15" s="4">
        <v>65.48</v>
      </c>
      <c r="V15" s="24">
        <v>45484</v>
      </c>
      <c r="W15" s="4">
        <v>85.53</v>
      </c>
      <c r="Y15" s="24">
        <v>45515</v>
      </c>
      <c r="Z15">
        <v>69.22</v>
      </c>
      <c r="AB15" s="24">
        <v>45546</v>
      </c>
      <c r="AC15">
        <v>76.739999999999995</v>
      </c>
      <c r="AE15" s="24">
        <v>45576</v>
      </c>
      <c r="AF15" s="158">
        <v>90.66</v>
      </c>
    </row>
    <row r="16" spans="1:36" x14ac:dyDescent="0.2">
      <c r="A16" s="5">
        <v>45574</v>
      </c>
      <c r="B16" s="4">
        <v>24.52</v>
      </c>
      <c r="D16" s="24">
        <v>45303</v>
      </c>
      <c r="E16" s="21">
        <v>97.56</v>
      </c>
      <c r="G16" s="5">
        <v>45334</v>
      </c>
      <c r="H16" s="4">
        <v>45.85</v>
      </c>
      <c r="J16" s="24">
        <v>45363</v>
      </c>
      <c r="K16">
        <v>42.28</v>
      </c>
      <c r="M16" s="24">
        <v>45394</v>
      </c>
      <c r="N16" s="4">
        <v>19.940000000000001</v>
      </c>
      <c r="P16" s="5">
        <v>45424</v>
      </c>
      <c r="Q16" s="4">
        <v>21.53</v>
      </c>
      <c r="S16" s="5">
        <v>45455</v>
      </c>
      <c r="T16" s="4">
        <v>55.15</v>
      </c>
      <c r="V16" s="24">
        <v>45485</v>
      </c>
      <c r="W16" s="4">
        <v>58.78</v>
      </c>
      <c r="Y16" s="24">
        <v>45516</v>
      </c>
      <c r="Z16">
        <v>105.81</v>
      </c>
      <c r="AB16" s="24">
        <v>45547</v>
      </c>
      <c r="AC16">
        <v>72.209999999999994</v>
      </c>
      <c r="AE16" s="24">
        <v>45577</v>
      </c>
      <c r="AF16" s="158">
        <v>69.86</v>
      </c>
    </row>
    <row r="17" spans="1:32" x14ac:dyDescent="0.2">
      <c r="A17" s="5">
        <v>45573</v>
      </c>
      <c r="B17" s="4">
        <v>31.37</v>
      </c>
      <c r="D17" s="24">
        <v>45304</v>
      </c>
      <c r="E17" s="21">
        <v>87.35</v>
      </c>
      <c r="G17" s="5">
        <v>45335</v>
      </c>
      <c r="H17" s="4">
        <v>62.72</v>
      </c>
      <c r="J17" s="24">
        <v>45364</v>
      </c>
      <c r="K17">
        <v>42.36</v>
      </c>
      <c r="M17" s="24">
        <v>45395</v>
      </c>
      <c r="N17" s="4">
        <v>9.17</v>
      </c>
      <c r="P17" s="5">
        <v>45425</v>
      </c>
      <c r="Q17" s="4">
        <v>23.34</v>
      </c>
      <c r="S17" s="5">
        <v>45456</v>
      </c>
      <c r="T17" s="4">
        <v>65.22</v>
      </c>
      <c r="V17" s="24">
        <v>45486</v>
      </c>
      <c r="W17" s="4">
        <v>51.38</v>
      </c>
      <c r="Y17" s="24">
        <v>45517</v>
      </c>
      <c r="Z17">
        <v>106.37</v>
      </c>
      <c r="AB17" s="24">
        <v>45548</v>
      </c>
      <c r="AC17">
        <v>47.1</v>
      </c>
      <c r="AE17" s="24">
        <v>45578</v>
      </c>
      <c r="AF17" s="158">
        <v>52.75</v>
      </c>
    </row>
    <row r="18" spans="1:32" x14ac:dyDescent="0.2">
      <c r="A18" s="5">
        <v>45572</v>
      </c>
      <c r="B18" s="4">
        <v>55.46</v>
      </c>
      <c r="D18" s="24">
        <v>45305</v>
      </c>
      <c r="E18" s="21">
        <v>75.13</v>
      </c>
      <c r="G18" s="5">
        <v>45336</v>
      </c>
      <c r="H18" s="4">
        <v>59.57</v>
      </c>
      <c r="J18" s="24">
        <v>45365</v>
      </c>
      <c r="K18">
        <v>35.99</v>
      </c>
      <c r="M18" s="24">
        <v>45396</v>
      </c>
      <c r="N18" s="4">
        <v>5.6</v>
      </c>
      <c r="P18" s="5">
        <v>45426</v>
      </c>
      <c r="Q18" s="4">
        <v>8.14</v>
      </c>
      <c r="S18" s="5">
        <v>45457</v>
      </c>
      <c r="T18" s="4">
        <v>43.74</v>
      </c>
      <c r="V18" s="24">
        <v>45487</v>
      </c>
      <c r="W18" s="4">
        <v>52.28</v>
      </c>
      <c r="Y18" s="24">
        <v>45518</v>
      </c>
      <c r="Z18">
        <v>89.05</v>
      </c>
      <c r="AB18" s="24">
        <v>45549</v>
      </c>
      <c r="AC18">
        <v>45.61</v>
      </c>
      <c r="AE18" s="24">
        <v>45579</v>
      </c>
      <c r="AF18" s="158">
        <v>104.17</v>
      </c>
    </row>
    <row r="19" spans="1:32" x14ac:dyDescent="0.2">
      <c r="A19" s="5">
        <v>45571</v>
      </c>
      <c r="B19" s="4">
        <v>21.96</v>
      </c>
      <c r="D19" s="24">
        <v>45306</v>
      </c>
      <c r="E19" s="21">
        <v>87.56</v>
      </c>
      <c r="G19" s="5">
        <v>45337</v>
      </c>
      <c r="H19" s="4">
        <v>51.22</v>
      </c>
      <c r="J19" s="24">
        <v>45366</v>
      </c>
      <c r="K19">
        <v>37.729999999999997</v>
      </c>
      <c r="M19" s="24">
        <v>45397</v>
      </c>
      <c r="N19" s="4">
        <v>3.48</v>
      </c>
      <c r="P19" s="5">
        <v>45427</v>
      </c>
      <c r="Q19" s="4">
        <v>14.21</v>
      </c>
      <c r="S19" s="5">
        <v>45458</v>
      </c>
      <c r="T19" s="4">
        <v>19.690000000000001</v>
      </c>
      <c r="V19" s="24">
        <v>45488</v>
      </c>
      <c r="W19" s="4">
        <v>53.95</v>
      </c>
      <c r="Y19" s="24">
        <v>45519</v>
      </c>
      <c r="Z19">
        <v>44.29</v>
      </c>
      <c r="AB19" s="24">
        <v>45550</v>
      </c>
      <c r="AC19">
        <v>32.520000000000003</v>
      </c>
      <c r="AE19" s="24">
        <v>45580</v>
      </c>
      <c r="AF19" s="158">
        <v>87.23</v>
      </c>
    </row>
    <row r="20" spans="1:32" x14ac:dyDescent="0.2">
      <c r="A20" s="5">
        <v>45570</v>
      </c>
      <c r="B20" s="4">
        <v>60.4</v>
      </c>
      <c r="D20" s="24">
        <v>45307</v>
      </c>
      <c r="E20" s="21">
        <v>90.12</v>
      </c>
      <c r="G20" s="5">
        <v>45338</v>
      </c>
      <c r="H20" s="4">
        <v>54.24</v>
      </c>
      <c r="J20" s="24">
        <v>45367</v>
      </c>
      <c r="K20">
        <v>31.61</v>
      </c>
      <c r="M20" s="24">
        <v>45398</v>
      </c>
      <c r="N20" s="4">
        <v>1.37</v>
      </c>
      <c r="P20" s="5">
        <v>45428</v>
      </c>
      <c r="Q20" s="4">
        <v>32.35</v>
      </c>
      <c r="S20" s="5">
        <v>45459</v>
      </c>
      <c r="T20" s="4">
        <v>16.12</v>
      </c>
      <c r="V20" s="24">
        <v>45489</v>
      </c>
      <c r="W20" s="4">
        <v>87.24</v>
      </c>
      <c r="Y20" s="24">
        <v>45520</v>
      </c>
      <c r="Z20">
        <v>88.23</v>
      </c>
      <c r="AB20" s="24">
        <v>45551</v>
      </c>
      <c r="AC20">
        <v>27.19</v>
      </c>
      <c r="AE20" s="24">
        <v>45581</v>
      </c>
      <c r="AF20" s="158">
        <v>48.84</v>
      </c>
    </row>
    <row r="21" spans="1:32" x14ac:dyDescent="0.2">
      <c r="A21" s="5">
        <v>45569</v>
      </c>
      <c r="B21" s="4">
        <v>98.98</v>
      </c>
      <c r="D21" s="24">
        <v>45308</v>
      </c>
      <c r="E21" s="21">
        <v>26.96</v>
      </c>
      <c r="G21" s="5">
        <v>45339</v>
      </c>
      <c r="H21" s="4">
        <v>48.69</v>
      </c>
      <c r="J21" s="24">
        <v>45368</v>
      </c>
      <c r="K21">
        <v>28.05</v>
      </c>
      <c r="M21" s="24">
        <v>45399</v>
      </c>
      <c r="N21" s="4">
        <v>3.26</v>
      </c>
      <c r="P21" s="5">
        <v>45429</v>
      </c>
      <c r="Q21" s="4">
        <v>53.42</v>
      </c>
      <c r="S21" s="5">
        <v>45460</v>
      </c>
      <c r="T21" s="4">
        <v>29.27</v>
      </c>
      <c r="V21" s="24">
        <v>45490</v>
      </c>
      <c r="W21" s="4">
        <v>94.42</v>
      </c>
      <c r="Y21" s="24">
        <v>45521</v>
      </c>
      <c r="Z21">
        <v>83.21</v>
      </c>
      <c r="AB21" s="24">
        <v>45552</v>
      </c>
      <c r="AC21">
        <v>25.7</v>
      </c>
      <c r="AE21" s="24">
        <v>45582</v>
      </c>
      <c r="AF21" s="158">
        <v>51.25</v>
      </c>
    </row>
    <row r="22" spans="1:32" x14ac:dyDescent="0.2">
      <c r="A22" s="5">
        <v>45568</v>
      </c>
      <c r="B22" s="4">
        <v>57.92</v>
      </c>
      <c r="D22" s="24">
        <v>45309</v>
      </c>
      <c r="E22" s="21">
        <v>46.84</v>
      </c>
      <c r="G22" s="5">
        <v>45340</v>
      </c>
      <c r="H22" s="4">
        <v>47.04</v>
      </c>
      <c r="J22" s="24">
        <v>45369</v>
      </c>
      <c r="K22">
        <v>61.34</v>
      </c>
      <c r="M22" s="24">
        <v>45400</v>
      </c>
      <c r="N22" s="4">
        <v>4.54</v>
      </c>
      <c r="P22" s="5">
        <v>45430</v>
      </c>
      <c r="Q22" s="4">
        <v>32.99</v>
      </c>
      <c r="S22" s="5">
        <v>45461</v>
      </c>
      <c r="T22" s="4">
        <v>56.71</v>
      </c>
      <c r="V22" s="24">
        <v>45491</v>
      </c>
      <c r="W22" s="4">
        <v>101.37</v>
      </c>
      <c r="Y22" s="24">
        <v>45522</v>
      </c>
      <c r="Z22">
        <v>55.6</v>
      </c>
      <c r="AB22" s="24">
        <v>45553</v>
      </c>
      <c r="AC22">
        <v>90.92</v>
      </c>
      <c r="AE22" s="24">
        <v>45583</v>
      </c>
      <c r="AF22" s="158">
        <v>51.99</v>
      </c>
    </row>
    <row r="23" spans="1:32" x14ac:dyDescent="0.2">
      <c r="A23" s="5">
        <v>45567</v>
      </c>
      <c r="B23" s="4">
        <v>93.59</v>
      </c>
      <c r="D23" s="24">
        <v>45310</v>
      </c>
      <c r="E23" s="21">
        <v>70.87</v>
      </c>
      <c r="G23" s="5">
        <v>45341</v>
      </c>
      <c r="H23" s="4">
        <v>45.55</v>
      </c>
      <c r="J23" s="24">
        <v>45370</v>
      </c>
      <c r="K23">
        <v>65</v>
      </c>
      <c r="M23" s="24">
        <v>45401</v>
      </c>
      <c r="N23" s="4">
        <v>15.18</v>
      </c>
      <c r="P23" s="5">
        <v>45431</v>
      </c>
      <c r="Q23" s="4">
        <v>26.6</v>
      </c>
      <c r="S23" s="5">
        <v>45462</v>
      </c>
      <c r="T23" s="4">
        <v>76.33</v>
      </c>
      <c r="V23" s="24">
        <v>45492</v>
      </c>
      <c r="W23" s="4">
        <v>97.78</v>
      </c>
      <c r="Y23" s="24">
        <v>45523</v>
      </c>
      <c r="Z23">
        <v>93.72</v>
      </c>
      <c r="AB23" s="24">
        <v>45554</v>
      </c>
      <c r="AC23">
        <v>106.98</v>
      </c>
      <c r="AE23" s="24">
        <v>45584</v>
      </c>
      <c r="AF23" s="158">
        <v>48.71</v>
      </c>
    </row>
    <row r="24" spans="1:32" x14ac:dyDescent="0.2">
      <c r="A24" s="5">
        <v>45566</v>
      </c>
      <c r="B24" s="4">
        <v>97.9</v>
      </c>
      <c r="D24" s="24">
        <v>45311</v>
      </c>
      <c r="E24" s="21">
        <v>80.53</v>
      </c>
      <c r="G24" s="5">
        <v>45342</v>
      </c>
      <c r="H24" s="4">
        <v>52.86</v>
      </c>
      <c r="J24" s="24">
        <v>45371</v>
      </c>
      <c r="K24">
        <v>56.94</v>
      </c>
      <c r="M24" s="24">
        <v>45402</v>
      </c>
      <c r="N24" s="4">
        <v>5.66</v>
      </c>
      <c r="P24" s="5">
        <v>45432</v>
      </c>
      <c r="Q24" s="4">
        <v>32.72</v>
      </c>
      <c r="S24" s="5">
        <v>45463</v>
      </c>
      <c r="T24" s="4">
        <v>90.6</v>
      </c>
      <c r="V24" s="24">
        <v>45493</v>
      </c>
      <c r="W24" s="4">
        <v>51.47</v>
      </c>
      <c r="Y24" s="24">
        <v>45524</v>
      </c>
      <c r="Z24">
        <v>95.62</v>
      </c>
      <c r="AB24" s="24">
        <v>45555</v>
      </c>
      <c r="AC24">
        <v>107.69</v>
      </c>
      <c r="AE24" s="24">
        <v>45585</v>
      </c>
      <c r="AF24" s="158">
        <v>44.66</v>
      </c>
    </row>
    <row r="25" spans="1:32" x14ac:dyDescent="0.2">
      <c r="A25" s="5">
        <v>45565</v>
      </c>
      <c r="B25" s="4">
        <v>87.85</v>
      </c>
      <c r="D25" s="24">
        <v>45312</v>
      </c>
      <c r="E25" s="21">
        <v>64.400000000000006</v>
      </c>
      <c r="G25" s="5">
        <v>45343</v>
      </c>
      <c r="H25" s="4">
        <v>45.3</v>
      </c>
      <c r="J25" s="24">
        <v>45372</v>
      </c>
      <c r="K25">
        <v>35.9</v>
      </c>
      <c r="M25" s="24">
        <v>45403</v>
      </c>
      <c r="N25" s="4">
        <v>2.17</v>
      </c>
      <c r="P25" s="5">
        <v>45433</v>
      </c>
      <c r="Q25" s="4">
        <v>46.09</v>
      </c>
      <c r="S25" s="5">
        <v>45464</v>
      </c>
      <c r="T25" s="4">
        <v>85.92</v>
      </c>
      <c r="V25" s="24">
        <v>45494</v>
      </c>
      <c r="W25" s="4">
        <v>30.41</v>
      </c>
      <c r="Y25" s="24">
        <v>45525</v>
      </c>
      <c r="Z25">
        <v>79.06</v>
      </c>
      <c r="AB25" s="24">
        <v>45556</v>
      </c>
      <c r="AC25">
        <v>85.39</v>
      </c>
    </row>
    <row r="26" spans="1:32" x14ac:dyDescent="0.2">
      <c r="A26" s="5">
        <v>45564</v>
      </c>
      <c r="B26" s="4">
        <v>43.56</v>
      </c>
      <c r="D26" s="24">
        <v>45313</v>
      </c>
      <c r="E26" s="21">
        <v>67.92</v>
      </c>
      <c r="G26" s="5">
        <v>45344</v>
      </c>
      <c r="H26" s="4">
        <v>10.71</v>
      </c>
      <c r="J26" s="24">
        <v>45373</v>
      </c>
      <c r="K26">
        <v>22.4</v>
      </c>
      <c r="M26" s="24">
        <v>45404</v>
      </c>
      <c r="N26" s="4">
        <v>1.9</v>
      </c>
      <c r="P26" s="5">
        <v>45434</v>
      </c>
      <c r="Q26" s="4">
        <v>44.76</v>
      </c>
      <c r="S26" s="5">
        <v>45465</v>
      </c>
      <c r="T26" s="4">
        <v>42.91</v>
      </c>
      <c r="V26" s="24">
        <v>45495</v>
      </c>
      <c r="W26" s="4">
        <v>79.53</v>
      </c>
      <c r="Y26" s="24">
        <v>45526</v>
      </c>
      <c r="Z26">
        <v>109.4</v>
      </c>
      <c r="AB26" s="24">
        <v>45557</v>
      </c>
      <c r="AC26">
        <v>69.91</v>
      </c>
    </row>
    <row r="27" spans="1:32" x14ac:dyDescent="0.2">
      <c r="A27" s="5">
        <v>45563</v>
      </c>
      <c r="B27" s="4">
        <v>46.81</v>
      </c>
      <c r="D27" s="24">
        <v>45314</v>
      </c>
      <c r="E27" s="21">
        <v>78.02</v>
      </c>
      <c r="G27" s="5">
        <v>45345</v>
      </c>
      <c r="H27" s="4">
        <v>6.72</v>
      </c>
      <c r="J27" s="24">
        <v>45374</v>
      </c>
      <c r="K27">
        <v>2.0099999999999998</v>
      </c>
      <c r="M27" s="24">
        <v>45405</v>
      </c>
      <c r="N27" s="4">
        <v>5.84</v>
      </c>
      <c r="P27" s="5">
        <v>45435</v>
      </c>
      <c r="Q27" s="4">
        <v>60.45</v>
      </c>
      <c r="S27" s="5">
        <v>45466</v>
      </c>
      <c r="T27" s="4">
        <v>26.76</v>
      </c>
      <c r="V27" s="24">
        <v>45496</v>
      </c>
      <c r="W27" s="4">
        <v>91.73</v>
      </c>
      <c r="Y27" s="24">
        <v>45527</v>
      </c>
      <c r="Z27">
        <v>107.09</v>
      </c>
      <c r="AB27" s="24">
        <v>45558</v>
      </c>
      <c r="AC27">
        <v>90.03</v>
      </c>
    </row>
    <row r="28" spans="1:32" x14ac:dyDescent="0.2">
      <c r="A28" s="5">
        <v>45562</v>
      </c>
      <c r="B28" s="4">
        <v>25.61</v>
      </c>
      <c r="D28" s="24">
        <v>45315</v>
      </c>
      <c r="E28" s="21">
        <v>83.42</v>
      </c>
      <c r="G28" s="5">
        <v>45346</v>
      </c>
      <c r="H28" s="4">
        <v>6.94</v>
      </c>
      <c r="J28" s="24">
        <v>45375</v>
      </c>
      <c r="K28">
        <v>6.69</v>
      </c>
      <c r="M28" s="24">
        <v>45406</v>
      </c>
      <c r="N28" s="4">
        <v>18.57</v>
      </c>
      <c r="P28" s="5">
        <v>45436</v>
      </c>
      <c r="Q28" s="4">
        <v>71.67</v>
      </c>
      <c r="S28" s="5">
        <v>45467</v>
      </c>
      <c r="T28" s="4">
        <v>41.15</v>
      </c>
      <c r="V28" s="24">
        <v>45497</v>
      </c>
      <c r="W28" s="4">
        <v>94.88</v>
      </c>
      <c r="Y28" s="24">
        <v>45528</v>
      </c>
      <c r="Z28">
        <v>60.32</v>
      </c>
      <c r="AB28" s="24">
        <v>45559</v>
      </c>
      <c r="AC28">
        <v>95.81</v>
      </c>
    </row>
    <row r="29" spans="1:32" x14ac:dyDescent="0.2">
      <c r="A29" s="5">
        <v>45561</v>
      </c>
      <c r="B29" s="4">
        <v>24.18</v>
      </c>
      <c r="D29" s="24">
        <v>45316</v>
      </c>
      <c r="E29" s="21">
        <v>76.8</v>
      </c>
      <c r="G29" s="5">
        <v>45347</v>
      </c>
      <c r="H29" s="4">
        <v>3.06</v>
      </c>
      <c r="J29" s="24">
        <v>45376</v>
      </c>
      <c r="K29">
        <v>23.75</v>
      </c>
      <c r="M29" s="24">
        <v>45407</v>
      </c>
      <c r="N29" s="4">
        <v>41.44</v>
      </c>
      <c r="P29" s="5">
        <v>45437</v>
      </c>
      <c r="Q29" s="4">
        <v>43.71</v>
      </c>
      <c r="S29" s="5">
        <v>45468</v>
      </c>
      <c r="T29" s="4">
        <v>70.069999999999993</v>
      </c>
      <c r="V29" s="24">
        <v>45498</v>
      </c>
      <c r="W29" s="4">
        <v>89.26</v>
      </c>
      <c r="Y29" s="24">
        <v>45529</v>
      </c>
      <c r="Z29">
        <v>31.2</v>
      </c>
      <c r="AB29" s="24">
        <v>45560</v>
      </c>
      <c r="AC29">
        <v>57.22</v>
      </c>
    </row>
    <row r="30" spans="1:32" x14ac:dyDescent="0.2">
      <c r="A30" s="5">
        <v>45560</v>
      </c>
      <c r="B30" s="4">
        <v>57.22</v>
      </c>
      <c r="D30" s="24">
        <v>45317</v>
      </c>
      <c r="E30" s="21">
        <v>72.56</v>
      </c>
      <c r="G30" s="5">
        <v>45348</v>
      </c>
      <c r="H30" s="4">
        <v>3.82</v>
      </c>
      <c r="J30" s="24">
        <v>45377</v>
      </c>
      <c r="K30">
        <v>2.36</v>
      </c>
      <c r="M30" s="24">
        <v>45408</v>
      </c>
      <c r="N30" s="4">
        <v>57.49</v>
      </c>
      <c r="P30" s="5">
        <v>45438</v>
      </c>
      <c r="Q30" s="4">
        <v>25.42</v>
      </c>
      <c r="S30" s="5">
        <v>45469</v>
      </c>
      <c r="T30" s="4">
        <v>97.17</v>
      </c>
      <c r="V30" s="24">
        <v>45499</v>
      </c>
      <c r="W30" s="4">
        <v>94.9</v>
      </c>
      <c r="Y30" s="24">
        <v>45530</v>
      </c>
      <c r="Z30">
        <v>94.19</v>
      </c>
      <c r="AB30" s="24">
        <v>45561</v>
      </c>
      <c r="AC30">
        <v>24.18</v>
      </c>
    </row>
    <row r="31" spans="1:32" x14ac:dyDescent="0.2">
      <c r="A31" s="5">
        <v>45559</v>
      </c>
      <c r="B31" s="4">
        <v>95.81</v>
      </c>
      <c r="D31" s="24">
        <v>45318</v>
      </c>
      <c r="E31" s="21">
        <v>66.06</v>
      </c>
      <c r="G31" s="5">
        <v>45349</v>
      </c>
      <c r="H31" s="4">
        <v>3.66</v>
      </c>
      <c r="J31" s="24">
        <v>45378</v>
      </c>
      <c r="K31">
        <v>0.76</v>
      </c>
      <c r="M31" s="24">
        <v>45409</v>
      </c>
      <c r="N31" s="4">
        <v>25.02</v>
      </c>
      <c r="P31" s="5">
        <v>45439</v>
      </c>
      <c r="Q31" s="4">
        <v>30.84</v>
      </c>
      <c r="S31" s="5">
        <v>45470</v>
      </c>
      <c r="T31" s="4">
        <v>89.1</v>
      </c>
      <c r="V31" s="24">
        <v>45500</v>
      </c>
      <c r="W31" s="4">
        <v>76.97</v>
      </c>
      <c r="Y31" s="24">
        <v>45531</v>
      </c>
      <c r="Z31">
        <v>107.71</v>
      </c>
      <c r="AB31" s="24">
        <v>45562</v>
      </c>
      <c r="AC31">
        <v>25.61</v>
      </c>
    </row>
    <row r="32" spans="1:32" x14ac:dyDescent="0.2">
      <c r="A32" s="5">
        <v>45558</v>
      </c>
      <c r="B32" s="28">
        <v>90.03</v>
      </c>
      <c r="D32" s="24">
        <v>45319</v>
      </c>
      <c r="E32" s="21">
        <v>52.14</v>
      </c>
      <c r="G32" s="5">
        <v>45350</v>
      </c>
      <c r="H32" s="4">
        <v>9.35</v>
      </c>
      <c r="J32" s="24">
        <v>45379</v>
      </c>
      <c r="K32">
        <v>0.66</v>
      </c>
      <c r="M32" s="24">
        <v>45410</v>
      </c>
      <c r="N32" s="4">
        <v>28.72</v>
      </c>
      <c r="P32" s="5">
        <v>45440</v>
      </c>
      <c r="Q32" s="4">
        <v>27.47</v>
      </c>
      <c r="S32" s="5">
        <v>45471</v>
      </c>
      <c r="T32" s="4">
        <v>82.04</v>
      </c>
      <c r="V32" s="24">
        <v>45501</v>
      </c>
      <c r="W32" s="4">
        <v>63.33</v>
      </c>
      <c r="Y32" s="24">
        <v>45532</v>
      </c>
      <c r="Z32">
        <v>108.43</v>
      </c>
      <c r="AB32" s="24">
        <v>45563</v>
      </c>
      <c r="AC32">
        <v>46.81</v>
      </c>
    </row>
    <row r="33" spans="1:29" x14ac:dyDescent="0.2">
      <c r="A33" s="5">
        <v>45557</v>
      </c>
      <c r="B33" s="4">
        <v>69.91</v>
      </c>
      <c r="D33" s="24">
        <v>45320</v>
      </c>
      <c r="E33" s="21">
        <v>77.97</v>
      </c>
      <c r="G33" s="5">
        <v>45351</v>
      </c>
      <c r="H33" s="4">
        <v>4.8</v>
      </c>
      <c r="J33" s="24">
        <v>45380</v>
      </c>
      <c r="K33">
        <v>4.05</v>
      </c>
      <c r="M33" s="24">
        <v>45411</v>
      </c>
      <c r="N33" s="4">
        <v>58.27</v>
      </c>
      <c r="P33" s="5">
        <v>45441</v>
      </c>
      <c r="Q33" s="4">
        <v>38.86</v>
      </c>
      <c r="S33" s="5">
        <v>45472</v>
      </c>
      <c r="T33" s="4">
        <v>50.54</v>
      </c>
      <c r="V33" s="24">
        <v>45502</v>
      </c>
      <c r="W33" s="4">
        <v>108.78</v>
      </c>
      <c r="Y33" s="24">
        <v>45533</v>
      </c>
      <c r="Z33">
        <v>120.37</v>
      </c>
      <c r="AB33" s="24">
        <v>45564</v>
      </c>
      <c r="AC33">
        <v>43.56</v>
      </c>
    </row>
    <row r="34" spans="1:29" x14ac:dyDescent="0.2">
      <c r="A34" s="5">
        <v>45556</v>
      </c>
      <c r="B34" s="4">
        <v>85.39</v>
      </c>
      <c r="D34" s="24">
        <v>45321</v>
      </c>
      <c r="E34" s="21">
        <v>81.28</v>
      </c>
      <c r="G34" s="4"/>
      <c r="J34" s="24">
        <v>45381</v>
      </c>
      <c r="K34">
        <v>4.5199999999999996</v>
      </c>
      <c r="M34" s="24">
        <v>45412</v>
      </c>
      <c r="N34" s="4">
        <v>53.44</v>
      </c>
      <c r="P34" s="5">
        <v>45442</v>
      </c>
      <c r="Q34" s="4">
        <v>24.37</v>
      </c>
      <c r="S34" s="5">
        <v>45473</v>
      </c>
      <c r="T34" s="4">
        <v>57.94</v>
      </c>
      <c r="V34" s="24">
        <v>45503</v>
      </c>
      <c r="W34" s="4">
        <v>99.71</v>
      </c>
      <c r="Y34" s="24">
        <v>45534</v>
      </c>
      <c r="Z34">
        <v>115.57</v>
      </c>
      <c r="AB34" s="24">
        <v>45565</v>
      </c>
      <c r="AC34">
        <v>87.85</v>
      </c>
    </row>
    <row r="35" spans="1:29" x14ac:dyDescent="0.2">
      <c r="A35" s="5">
        <v>45555</v>
      </c>
      <c r="B35" s="4">
        <v>107.69</v>
      </c>
      <c r="D35" s="24">
        <v>45322</v>
      </c>
      <c r="E35" s="21">
        <v>84.26</v>
      </c>
      <c r="G35" s="4"/>
      <c r="J35" s="51">
        <v>45382</v>
      </c>
      <c r="K35" s="47">
        <v>0.83</v>
      </c>
      <c r="P35" s="5">
        <v>45443</v>
      </c>
      <c r="Q35" s="4">
        <v>2.69</v>
      </c>
      <c r="V35" s="24">
        <v>45504</v>
      </c>
      <c r="W35" s="4">
        <v>105.34</v>
      </c>
      <c r="Y35" s="24">
        <v>45535</v>
      </c>
      <c r="Z35">
        <v>116.61</v>
      </c>
    </row>
    <row r="36" spans="1:29" x14ac:dyDescent="0.2">
      <c r="A36" s="5">
        <v>45554</v>
      </c>
      <c r="B36" s="4">
        <v>106.98</v>
      </c>
      <c r="F36" s="21"/>
      <c r="G36" s="4"/>
      <c r="J36"/>
    </row>
    <row r="37" spans="1:29" x14ac:dyDescent="0.2">
      <c r="A37" s="5">
        <v>45553</v>
      </c>
      <c r="B37" s="4">
        <v>90.92</v>
      </c>
      <c r="G37" s="4"/>
      <c r="J37"/>
    </row>
    <row r="38" spans="1:29" x14ac:dyDescent="0.2">
      <c r="A38" s="5">
        <v>45552</v>
      </c>
      <c r="B38" s="4">
        <v>25.7</v>
      </c>
      <c r="G38" s="4"/>
      <c r="J38"/>
    </row>
    <row r="39" spans="1:29" x14ac:dyDescent="0.2">
      <c r="A39" s="5">
        <v>45551</v>
      </c>
      <c r="B39" s="4">
        <v>27.19</v>
      </c>
      <c r="G39" s="4"/>
      <c r="J39"/>
    </row>
    <row r="40" spans="1:29" x14ac:dyDescent="0.2">
      <c r="A40" s="5">
        <v>45550</v>
      </c>
      <c r="B40" s="4">
        <v>32.520000000000003</v>
      </c>
      <c r="G40" s="4"/>
      <c r="J40"/>
    </row>
    <row r="41" spans="1:29" x14ac:dyDescent="0.2">
      <c r="A41" s="5">
        <v>45549</v>
      </c>
      <c r="B41" s="4">
        <v>45.61</v>
      </c>
      <c r="G41" s="4"/>
      <c r="J41"/>
    </row>
    <row r="42" spans="1:29" x14ac:dyDescent="0.2">
      <c r="A42" s="5">
        <v>45548</v>
      </c>
      <c r="B42" s="4">
        <v>47.1</v>
      </c>
      <c r="G42" s="4"/>
      <c r="J42"/>
    </row>
    <row r="43" spans="1:29" x14ac:dyDescent="0.2">
      <c r="A43" s="5">
        <v>45547</v>
      </c>
      <c r="B43" s="4">
        <v>72.209999999999994</v>
      </c>
      <c r="G43" s="4"/>
      <c r="J43"/>
    </row>
    <row r="44" spans="1:29" x14ac:dyDescent="0.2">
      <c r="A44" s="5">
        <v>45546</v>
      </c>
      <c r="B44" s="4">
        <v>76.739999999999995</v>
      </c>
      <c r="G44" s="4"/>
      <c r="J44"/>
    </row>
    <row r="45" spans="1:29" x14ac:dyDescent="0.2">
      <c r="A45" s="5">
        <v>45545</v>
      </c>
      <c r="B45" s="4">
        <v>75.209999999999994</v>
      </c>
      <c r="G45" s="4"/>
      <c r="J45"/>
    </row>
    <row r="46" spans="1:29" x14ac:dyDescent="0.2">
      <c r="A46" s="5">
        <v>45544</v>
      </c>
      <c r="B46" s="4">
        <v>86.54</v>
      </c>
      <c r="G46" s="4"/>
      <c r="J46"/>
    </row>
    <row r="47" spans="1:29" x14ac:dyDescent="0.2">
      <c r="A47" s="5">
        <v>45543</v>
      </c>
      <c r="B47" s="4">
        <v>67.760000000000005</v>
      </c>
      <c r="G47" s="4"/>
      <c r="J47"/>
    </row>
    <row r="48" spans="1:29" x14ac:dyDescent="0.2">
      <c r="A48" s="5">
        <v>45542</v>
      </c>
      <c r="B48" s="4">
        <v>79.010000000000005</v>
      </c>
      <c r="G48" s="4"/>
      <c r="J48"/>
    </row>
    <row r="49" spans="1:10" x14ac:dyDescent="0.2">
      <c r="A49" s="5">
        <v>45541</v>
      </c>
      <c r="B49" s="4">
        <v>86.72</v>
      </c>
      <c r="G49" s="4"/>
      <c r="J49"/>
    </row>
    <row r="50" spans="1:10" x14ac:dyDescent="0.2">
      <c r="A50" s="5">
        <v>45540</v>
      </c>
      <c r="B50" s="4">
        <v>104.28</v>
      </c>
      <c r="G50" s="4"/>
      <c r="J50"/>
    </row>
    <row r="51" spans="1:10" x14ac:dyDescent="0.2">
      <c r="A51" s="5">
        <v>45539</v>
      </c>
      <c r="B51" s="4">
        <v>95.41</v>
      </c>
      <c r="G51" s="4"/>
      <c r="J51"/>
    </row>
    <row r="52" spans="1:10" x14ac:dyDescent="0.2">
      <c r="A52" s="5">
        <v>45538</v>
      </c>
      <c r="B52" s="4">
        <v>108.44</v>
      </c>
      <c r="G52" s="4"/>
      <c r="J52"/>
    </row>
    <row r="53" spans="1:10" x14ac:dyDescent="0.2">
      <c r="A53" s="5">
        <v>45537</v>
      </c>
      <c r="B53" s="4">
        <v>116.66</v>
      </c>
      <c r="G53" s="4"/>
      <c r="J53"/>
    </row>
    <row r="54" spans="1:10" x14ac:dyDescent="0.2">
      <c r="A54" s="5">
        <v>45536</v>
      </c>
      <c r="B54" s="4">
        <v>99.64</v>
      </c>
      <c r="G54" s="4"/>
      <c r="J54"/>
    </row>
    <row r="55" spans="1:10" x14ac:dyDescent="0.2">
      <c r="A55" s="5">
        <v>45535</v>
      </c>
      <c r="B55" s="4">
        <v>116.61</v>
      </c>
      <c r="G55" s="4"/>
      <c r="J55"/>
    </row>
    <row r="56" spans="1:10" x14ac:dyDescent="0.2">
      <c r="A56" s="5">
        <v>45534</v>
      </c>
      <c r="B56" s="4">
        <v>115.57</v>
      </c>
      <c r="G56" s="4"/>
      <c r="J56"/>
    </row>
    <row r="57" spans="1:10" x14ac:dyDescent="0.2">
      <c r="A57" s="5">
        <v>45533</v>
      </c>
      <c r="B57" s="4">
        <v>120.37</v>
      </c>
      <c r="G57" s="4"/>
      <c r="J57"/>
    </row>
    <row r="58" spans="1:10" x14ac:dyDescent="0.2">
      <c r="A58" s="5">
        <v>45532</v>
      </c>
      <c r="B58" s="4">
        <v>108.43</v>
      </c>
      <c r="G58" s="4"/>
      <c r="J58"/>
    </row>
    <row r="59" spans="1:10" x14ac:dyDescent="0.2">
      <c r="A59" s="5">
        <v>45531</v>
      </c>
      <c r="B59" s="4">
        <v>107.71</v>
      </c>
      <c r="G59" s="4"/>
      <c r="J59"/>
    </row>
    <row r="60" spans="1:10" x14ac:dyDescent="0.2">
      <c r="A60" s="5">
        <v>45530</v>
      </c>
      <c r="B60" s="4">
        <v>94.19</v>
      </c>
      <c r="G60" s="4"/>
      <c r="J60"/>
    </row>
    <row r="61" spans="1:10" x14ac:dyDescent="0.2">
      <c r="A61" s="5">
        <v>45529</v>
      </c>
      <c r="B61" s="4">
        <v>31.2</v>
      </c>
      <c r="G61" s="4"/>
      <c r="J61"/>
    </row>
    <row r="62" spans="1:10" x14ac:dyDescent="0.2">
      <c r="A62" s="5">
        <v>45528</v>
      </c>
      <c r="B62" s="4">
        <v>60.32</v>
      </c>
      <c r="G62" s="4"/>
      <c r="J62"/>
    </row>
    <row r="63" spans="1:10" x14ac:dyDescent="0.2">
      <c r="A63" s="5">
        <v>45527</v>
      </c>
      <c r="B63" s="4">
        <v>107.09</v>
      </c>
      <c r="G63" s="4"/>
      <c r="J63"/>
    </row>
    <row r="64" spans="1:10" x14ac:dyDescent="0.2">
      <c r="A64" s="5">
        <v>45526</v>
      </c>
      <c r="B64" s="4">
        <v>109.4</v>
      </c>
      <c r="J64"/>
    </row>
    <row r="65" spans="1:2" x14ac:dyDescent="0.2">
      <c r="A65" s="5">
        <v>45525</v>
      </c>
      <c r="B65" s="4">
        <v>79.06</v>
      </c>
    </row>
    <row r="66" spans="1:2" x14ac:dyDescent="0.2">
      <c r="A66" s="5">
        <v>45524</v>
      </c>
      <c r="B66" s="4">
        <v>95.62</v>
      </c>
    </row>
    <row r="67" spans="1:2" x14ac:dyDescent="0.2">
      <c r="A67" s="5">
        <v>45523</v>
      </c>
      <c r="B67" s="4">
        <v>93.72</v>
      </c>
    </row>
    <row r="68" spans="1:2" x14ac:dyDescent="0.2">
      <c r="A68" s="5">
        <v>45522</v>
      </c>
      <c r="B68" s="4">
        <v>55.6</v>
      </c>
    </row>
    <row r="69" spans="1:2" x14ac:dyDescent="0.2">
      <c r="A69" s="5">
        <v>45521</v>
      </c>
      <c r="B69" s="4">
        <v>83.21</v>
      </c>
    </row>
    <row r="70" spans="1:2" x14ac:dyDescent="0.2">
      <c r="A70" s="5">
        <v>45520</v>
      </c>
      <c r="B70" s="4">
        <v>88.23</v>
      </c>
    </row>
    <row r="71" spans="1:2" x14ac:dyDescent="0.2">
      <c r="A71" s="5">
        <v>45519</v>
      </c>
      <c r="B71" s="4">
        <v>44.29</v>
      </c>
    </row>
    <row r="72" spans="1:2" x14ac:dyDescent="0.2">
      <c r="A72" s="5">
        <v>45518</v>
      </c>
      <c r="B72" s="4">
        <v>89.05</v>
      </c>
    </row>
    <row r="73" spans="1:2" x14ac:dyDescent="0.2">
      <c r="A73" s="5">
        <v>45517</v>
      </c>
      <c r="B73" s="4">
        <v>106.37</v>
      </c>
    </row>
    <row r="74" spans="1:2" x14ac:dyDescent="0.2">
      <c r="A74" s="5">
        <v>45516</v>
      </c>
      <c r="B74" s="4">
        <v>105.81</v>
      </c>
    </row>
    <row r="75" spans="1:2" x14ac:dyDescent="0.2">
      <c r="A75" s="5">
        <v>45515</v>
      </c>
      <c r="B75" s="4">
        <v>69.22</v>
      </c>
    </row>
    <row r="76" spans="1:2" x14ac:dyDescent="0.2">
      <c r="A76" s="5">
        <v>45514</v>
      </c>
      <c r="B76" s="4">
        <v>71.36</v>
      </c>
    </row>
    <row r="77" spans="1:2" x14ac:dyDescent="0.2">
      <c r="A77" s="5">
        <v>45513</v>
      </c>
      <c r="B77" s="4">
        <v>102.32</v>
      </c>
    </row>
    <row r="78" spans="1:2" x14ac:dyDescent="0.2">
      <c r="A78" s="5">
        <v>45512</v>
      </c>
      <c r="B78" s="4">
        <v>101.19</v>
      </c>
    </row>
    <row r="79" spans="1:2" x14ac:dyDescent="0.2">
      <c r="A79" s="5">
        <v>45511</v>
      </c>
      <c r="B79" s="4">
        <v>97.43</v>
      </c>
    </row>
    <row r="80" spans="1:2" x14ac:dyDescent="0.2">
      <c r="A80" s="5">
        <v>45510</v>
      </c>
      <c r="B80" s="4">
        <v>105.56</v>
      </c>
    </row>
    <row r="81" spans="1:2" x14ac:dyDescent="0.2">
      <c r="A81" s="5">
        <v>45509</v>
      </c>
      <c r="B81" s="4">
        <v>109.82</v>
      </c>
    </row>
    <row r="82" spans="1:2" x14ac:dyDescent="0.2">
      <c r="A82" s="5">
        <v>45508</v>
      </c>
      <c r="B82" s="4">
        <v>75.48</v>
      </c>
    </row>
    <row r="83" spans="1:2" x14ac:dyDescent="0.2">
      <c r="A83" s="5">
        <v>45507</v>
      </c>
      <c r="B83" s="4">
        <v>77.64</v>
      </c>
    </row>
    <row r="84" spans="1:2" x14ac:dyDescent="0.2">
      <c r="A84" s="5">
        <v>45506</v>
      </c>
      <c r="B84" s="4">
        <v>93.5</v>
      </c>
    </row>
    <row r="85" spans="1:2" x14ac:dyDescent="0.2">
      <c r="A85" s="5">
        <v>45505</v>
      </c>
      <c r="B85" s="4">
        <v>107.32</v>
      </c>
    </row>
    <row r="86" spans="1:2" x14ac:dyDescent="0.2">
      <c r="A86" s="5">
        <v>45504</v>
      </c>
      <c r="B86" s="4">
        <v>105.34</v>
      </c>
    </row>
    <row r="87" spans="1:2" x14ac:dyDescent="0.2">
      <c r="A87" s="5">
        <v>45503</v>
      </c>
      <c r="B87" s="4">
        <v>99.71</v>
      </c>
    </row>
    <row r="88" spans="1:2" x14ac:dyDescent="0.2">
      <c r="A88" s="5">
        <v>45502</v>
      </c>
      <c r="B88" s="4">
        <v>108.78</v>
      </c>
    </row>
    <row r="89" spans="1:2" x14ac:dyDescent="0.2">
      <c r="A89" s="5">
        <v>45501</v>
      </c>
      <c r="B89" s="4">
        <v>63.33</v>
      </c>
    </row>
    <row r="90" spans="1:2" x14ac:dyDescent="0.2">
      <c r="A90" s="5">
        <v>45500</v>
      </c>
      <c r="B90" s="4">
        <v>76.97</v>
      </c>
    </row>
    <row r="91" spans="1:2" x14ac:dyDescent="0.2">
      <c r="A91" s="5">
        <v>45499</v>
      </c>
      <c r="B91" s="4">
        <v>94.9</v>
      </c>
    </row>
    <row r="92" spans="1:2" x14ac:dyDescent="0.2">
      <c r="A92" s="5">
        <v>45498</v>
      </c>
      <c r="B92" s="4">
        <v>89.26</v>
      </c>
    </row>
    <row r="93" spans="1:2" x14ac:dyDescent="0.2">
      <c r="A93" s="5">
        <v>45497</v>
      </c>
      <c r="B93" s="4">
        <v>94.88</v>
      </c>
    </row>
    <row r="94" spans="1:2" x14ac:dyDescent="0.2">
      <c r="A94" s="5">
        <v>45496</v>
      </c>
      <c r="B94" s="4">
        <v>91.73</v>
      </c>
    </row>
    <row r="95" spans="1:2" x14ac:dyDescent="0.2">
      <c r="A95" s="5">
        <v>45495</v>
      </c>
      <c r="B95" s="4">
        <v>79.53</v>
      </c>
    </row>
    <row r="96" spans="1:2" x14ac:dyDescent="0.2">
      <c r="A96" s="5">
        <v>45494</v>
      </c>
      <c r="B96" s="4">
        <v>30.41</v>
      </c>
    </row>
    <row r="97" spans="1:2" x14ac:dyDescent="0.2">
      <c r="A97" s="5">
        <v>45493</v>
      </c>
      <c r="B97" s="4">
        <v>51.47</v>
      </c>
    </row>
    <row r="98" spans="1:2" x14ac:dyDescent="0.2">
      <c r="A98">
        <v>45492</v>
      </c>
      <c r="B98">
        <v>97.78</v>
      </c>
    </row>
    <row r="99" spans="1:2" x14ac:dyDescent="0.2">
      <c r="A99">
        <v>45491</v>
      </c>
      <c r="B99">
        <v>101.37</v>
      </c>
    </row>
    <row r="100" spans="1:2" x14ac:dyDescent="0.2">
      <c r="A100">
        <v>45490</v>
      </c>
      <c r="B100">
        <v>94.42</v>
      </c>
    </row>
    <row r="101" spans="1:2" x14ac:dyDescent="0.2">
      <c r="A101">
        <v>45489</v>
      </c>
      <c r="B101">
        <v>87.24</v>
      </c>
    </row>
    <row r="102" spans="1:2" x14ac:dyDescent="0.2">
      <c r="A102">
        <v>45488</v>
      </c>
      <c r="B102">
        <v>53.95</v>
      </c>
    </row>
    <row r="103" spans="1:2" x14ac:dyDescent="0.2">
      <c r="A103">
        <v>45487</v>
      </c>
      <c r="B103">
        <v>52.28</v>
      </c>
    </row>
    <row r="104" spans="1:2" x14ac:dyDescent="0.2">
      <c r="A104">
        <v>45486</v>
      </c>
      <c r="B104">
        <v>51.38</v>
      </c>
    </row>
    <row r="105" spans="1:2" x14ac:dyDescent="0.2">
      <c r="A105">
        <v>45485</v>
      </c>
      <c r="B105">
        <v>58.78</v>
      </c>
    </row>
    <row r="106" spans="1:2" x14ac:dyDescent="0.2">
      <c r="A106">
        <v>45484</v>
      </c>
      <c r="B106">
        <v>85.53</v>
      </c>
    </row>
    <row r="107" spans="1:2" x14ac:dyDescent="0.2">
      <c r="A107">
        <v>45483</v>
      </c>
      <c r="B107">
        <v>87.61</v>
      </c>
    </row>
    <row r="108" spans="1:2" x14ac:dyDescent="0.2">
      <c r="A108">
        <v>45482</v>
      </c>
      <c r="B108">
        <v>69.55</v>
      </c>
    </row>
    <row r="109" spans="1:2" x14ac:dyDescent="0.2">
      <c r="A109">
        <v>45481</v>
      </c>
      <c r="B109">
        <v>73.19</v>
      </c>
    </row>
    <row r="110" spans="1:2" x14ac:dyDescent="0.2">
      <c r="A110">
        <v>45480</v>
      </c>
      <c r="B110">
        <v>34.71</v>
      </c>
    </row>
    <row r="111" spans="1:2" x14ac:dyDescent="0.2">
      <c r="A111">
        <v>45479</v>
      </c>
      <c r="B111">
        <v>33.979999999999997</v>
      </c>
    </row>
    <row r="112" spans="1:2" x14ac:dyDescent="0.2">
      <c r="A112">
        <v>45478</v>
      </c>
      <c r="B112">
        <v>59.88</v>
      </c>
    </row>
    <row r="113" spans="1:2" x14ac:dyDescent="0.2">
      <c r="A113">
        <v>45477</v>
      </c>
      <c r="B113">
        <v>51.85</v>
      </c>
    </row>
    <row r="114" spans="1:2" x14ac:dyDescent="0.2">
      <c r="A114">
        <v>45476</v>
      </c>
      <c r="B114">
        <v>61.71</v>
      </c>
    </row>
    <row r="115" spans="1:2" x14ac:dyDescent="0.2">
      <c r="A115">
        <v>45475</v>
      </c>
      <c r="B115">
        <v>46.97</v>
      </c>
    </row>
    <row r="116" spans="1:2" x14ac:dyDescent="0.2">
      <c r="A116">
        <v>45474</v>
      </c>
      <c r="B116">
        <v>53.22</v>
      </c>
    </row>
    <row r="117" spans="1:2" x14ac:dyDescent="0.2">
      <c r="A117">
        <v>45473</v>
      </c>
      <c r="B117">
        <v>57.94</v>
      </c>
    </row>
    <row r="118" spans="1:2" x14ac:dyDescent="0.2">
      <c r="A118">
        <v>45472</v>
      </c>
      <c r="B118">
        <v>50.54</v>
      </c>
    </row>
    <row r="119" spans="1:2" x14ac:dyDescent="0.2">
      <c r="A119">
        <v>45471</v>
      </c>
      <c r="B119">
        <v>82.04</v>
      </c>
    </row>
    <row r="120" spans="1:2" x14ac:dyDescent="0.2">
      <c r="A120">
        <v>45470</v>
      </c>
      <c r="B120">
        <v>89.1</v>
      </c>
    </row>
    <row r="121" spans="1:2" x14ac:dyDescent="0.2">
      <c r="A121">
        <v>45469</v>
      </c>
      <c r="B121">
        <v>97.17</v>
      </c>
    </row>
    <row r="122" spans="1:2" x14ac:dyDescent="0.2">
      <c r="A122">
        <v>45468</v>
      </c>
      <c r="B122">
        <v>70.069999999999993</v>
      </c>
    </row>
    <row r="123" spans="1:2" x14ac:dyDescent="0.2">
      <c r="A123">
        <v>45467</v>
      </c>
      <c r="B123">
        <v>41.15</v>
      </c>
    </row>
    <row r="124" spans="1:2" x14ac:dyDescent="0.2">
      <c r="A124">
        <v>45466</v>
      </c>
      <c r="B124">
        <v>26.76</v>
      </c>
    </row>
    <row r="125" spans="1:2" x14ac:dyDescent="0.2">
      <c r="A125">
        <v>45465</v>
      </c>
      <c r="B125">
        <v>42.91</v>
      </c>
    </row>
    <row r="126" spans="1:2" x14ac:dyDescent="0.2">
      <c r="A126">
        <v>45464</v>
      </c>
      <c r="B126">
        <v>85.92</v>
      </c>
    </row>
    <row r="127" spans="1:2" x14ac:dyDescent="0.2">
      <c r="A127">
        <v>45463</v>
      </c>
      <c r="B127">
        <v>90.6</v>
      </c>
    </row>
    <row r="128" spans="1:2" x14ac:dyDescent="0.2">
      <c r="A128">
        <v>45462</v>
      </c>
      <c r="B128">
        <v>76.33</v>
      </c>
    </row>
    <row r="129" spans="1:2" x14ac:dyDescent="0.2">
      <c r="A129">
        <v>45461</v>
      </c>
      <c r="B129">
        <v>56.71</v>
      </c>
    </row>
    <row r="130" spans="1:2" x14ac:dyDescent="0.2">
      <c r="A130">
        <v>45460</v>
      </c>
      <c r="B130">
        <v>29.27</v>
      </c>
    </row>
    <row r="131" spans="1:2" x14ac:dyDescent="0.2">
      <c r="A131">
        <v>45459</v>
      </c>
      <c r="B131">
        <v>16.12</v>
      </c>
    </row>
    <row r="132" spans="1:2" x14ac:dyDescent="0.2">
      <c r="A132">
        <v>45458</v>
      </c>
      <c r="B132">
        <v>19.690000000000001</v>
      </c>
    </row>
    <row r="133" spans="1:2" x14ac:dyDescent="0.2">
      <c r="A133">
        <v>45457</v>
      </c>
      <c r="B133">
        <v>43.74</v>
      </c>
    </row>
    <row r="134" spans="1:2" x14ac:dyDescent="0.2">
      <c r="A134">
        <v>45456</v>
      </c>
      <c r="B134">
        <v>65.22</v>
      </c>
    </row>
    <row r="135" spans="1:2" x14ac:dyDescent="0.2">
      <c r="A135">
        <v>45455</v>
      </c>
      <c r="B135">
        <v>55.15</v>
      </c>
    </row>
    <row r="136" spans="1:2" x14ac:dyDescent="0.2">
      <c r="A136">
        <v>45454</v>
      </c>
      <c r="B136">
        <v>65.48</v>
      </c>
    </row>
    <row r="137" spans="1:2" x14ac:dyDescent="0.2">
      <c r="A137">
        <v>45453</v>
      </c>
      <c r="B137">
        <v>44.61</v>
      </c>
    </row>
    <row r="138" spans="1:2" x14ac:dyDescent="0.2">
      <c r="A138">
        <v>45452</v>
      </c>
      <c r="B138">
        <v>16.43</v>
      </c>
    </row>
    <row r="139" spans="1:2" x14ac:dyDescent="0.2">
      <c r="A139">
        <v>45451</v>
      </c>
      <c r="B139">
        <v>71.42</v>
      </c>
    </row>
    <row r="140" spans="1:2" x14ac:dyDescent="0.2">
      <c r="A140">
        <v>45450</v>
      </c>
      <c r="B140">
        <v>79.13</v>
      </c>
    </row>
    <row r="141" spans="1:2" x14ac:dyDescent="0.2">
      <c r="A141">
        <v>45449</v>
      </c>
      <c r="B141">
        <v>93.42</v>
      </c>
    </row>
    <row r="142" spans="1:2" x14ac:dyDescent="0.2">
      <c r="A142">
        <v>45448</v>
      </c>
      <c r="B142">
        <v>93.26</v>
      </c>
    </row>
    <row r="143" spans="1:2" x14ac:dyDescent="0.2">
      <c r="A143">
        <v>45447</v>
      </c>
      <c r="B143">
        <v>87.64</v>
      </c>
    </row>
    <row r="144" spans="1:2" x14ac:dyDescent="0.2">
      <c r="A144">
        <v>45446</v>
      </c>
      <c r="B144">
        <v>28.56</v>
      </c>
    </row>
    <row r="145" spans="1:2" x14ac:dyDescent="0.2">
      <c r="A145">
        <v>45445</v>
      </c>
      <c r="B145">
        <v>4.26</v>
      </c>
    </row>
    <row r="146" spans="1:2" x14ac:dyDescent="0.2">
      <c r="A146">
        <v>45444</v>
      </c>
      <c r="B146">
        <v>1.76</v>
      </c>
    </row>
    <row r="147" spans="1:2" x14ac:dyDescent="0.2">
      <c r="A147">
        <v>45443</v>
      </c>
      <c r="B147">
        <v>2.69</v>
      </c>
    </row>
    <row r="148" spans="1:2" x14ac:dyDescent="0.2">
      <c r="A148">
        <v>45442</v>
      </c>
      <c r="B148">
        <v>24.37</v>
      </c>
    </row>
    <row r="149" spans="1:2" x14ac:dyDescent="0.2">
      <c r="A149">
        <v>45441</v>
      </c>
      <c r="B149">
        <v>38.86</v>
      </c>
    </row>
    <row r="150" spans="1:2" x14ac:dyDescent="0.2">
      <c r="A150">
        <v>45440</v>
      </c>
      <c r="B150">
        <v>27.47</v>
      </c>
    </row>
    <row r="151" spans="1:2" x14ac:dyDescent="0.2">
      <c r="A151">
        <v>45439</v>
      </c>
      <c r="B151">
        <v>30.84</v>
      </c>
    </row>
    <row r="152" spans="1:2" x14ac:dyDescent="0.2">
      <c r="A152">
        <v>45438</v>
      </c>
      <c r="B152">
        <v>25.42</v>
      </c>
    </row>
    <row r="153" spans="1:2" x14ac:dyDescent="0.2">
      <c r="A153">
        <v>45437</v>
      </c>
      <c r="B153">
        <v>43.71</v>
      </c>
    </row>
    <row r="154" spans="1:2" x14ac:dyDescent="0.2">
      <c r="A154">
        <v>45436</v>
      </c>
      <c r="B154">
        <v>71.67</v>
      </c>
    </row>
    <row r="155" spans="1:2" x14ac:dyDescent="0.2">
      <c r="A155">
        <v>45435</v>
      </c>
      <c r="B155">
        <v>60.45</v>
      </c>
    </row>
    <row r="156" spans="1:2" x14ac:dyDescent="0.2">
      <c r="A156">
        <v>45434</v>
      </c>
      <c r="B156">
        <v>44.76</v>
      </c>
    </row>
    <row r="157" spans="1:2" x14ac:dyDescent="0.2">
      <c r="A157">
        <v>45433</v>
      </c>
      <c r="B157">
        <v>46.09</v>
      </c>
    </row>
    <row r="158" spans="1:2" x14ac:dyDescent="0.2">
      <c r="A158">
        <v>45432</v>
      </c>
      <c r="B158">
        <v>32.72</v>
      </c>
    </row>
    <row r="159" spans="1:2" x14ac:dyDescent="0.2">
      <c r="A159">
        <v>45431</v>
      </c>
      <c r="B159">
        <v>26.6</v>
      </c>
    </row>
    <row r="160" spans="1:2" x14ac:dyDescent="0.2">
      <c r="A160">
        <v>45430</v>
      </c>
      <c r="B160">
        <v>32.99</v>
      </c>
    </row>
    <row r="161" spans="1:2" x14ac:dyDescent="0.2">
      <c r="A161">
        <v>45429</v>
      </c>
      <c r="B161">
        <v>53.42</v>
      </c>
    </row>
    <row r="162" spans="1:2" x14ac:dyDescent="0.2">
      <c r="A162">
        <v>45428</v>
      </c>
      <c r="B162">
        <v>32.35</v>
      </c>
    </row>
    <row r="163" spans="1:2" x14ac:dyDescent="0.2">
      <c r="A163">
        <v>45427</v>
      </c>
      <c r="B163">
        <v>14.21</v>
      </c>
    </row>
    <row r="164" spans="1:2" x14ac:dyDescent="0.2">
      <c r="A164">
        <v>45426</v>
      </c>
      <c r="B164">
        <v>8.14</v>
      </c>
    </row>
    <row r="165" spans="1:2" x14ac:dyDescent="0.2">
      <c r="A165">
        <v>45425</v>
      </c>
      <c r="B165">
        <v>23.34</v>
      </c>
    </row>
    <row r="166" spans="1:2" x14ac:dyDescent="0.2">
      <c r="A166">
        <v>45424</v>
      </c>
      <c r="B166">
        <v>21.53</v>
      </c>
    </row>
    <row r="167" spans="1:2" x14ac:dyDescent="0.2">
      <c r="A167">
        <v>45423</v>
      </c>
      <c r="B167">
        <v>20.59</v>
      </c>
    </row>
    <row r="168" spans="1:2" x14ac:dyDescent="0.2">
      <c r="A168">
        <v>45422</v>
      </c>
      <c r="B168">
        <v>28.95</v>
      </c>
    </row>
    <row r="169" spans="1:2" x14ac:dyDescent="0.2">
      <c r="A169">
        <v>45421</v>
      </c>
      <c r="B169">
        <v>33.54</v>
      </c>
    </row>
    <row r="170" spans="1:2" x14ac:dyDescent="0.2">
      <c r="A170">
        <v>45420</v>
      </c>
      <c r="B170">
        <v>21.24</v>
      </c>
    </row>
    <row r="171" spans="1:2" x14ac:dyDescent="0.2">
      <c r="A171">
        <v>45419</v>
      </c>
      <c r="B171">
        <v>42.04</v>
      </c>
    </row>
    <row r="172" spans="1:2" x14ac:dyDescent="0.2">
      <c r="A172">
        <v>45418</v>
      </c>
      <c r="B172">
        <v>47.8</v>
      </c>
    </row>
    <row r="173" spans="1:2" x14ac:dyDescent="0.2">
      <c r="A173">
        <v>45417</v>
      </c>
      <c r="B173">
        <v>17.53</v>
      </c>
    </row>
    <row r="174" spans="1:2" x14ac:dyDescent="0.2">
      <c r="A174">
        <v>45416</v>
      </c>
      <c r="B174">
        <v>14.8</v>
      </c>
    </row>
    <row r="175" spans="1:2" x14ac:dyDescent="0.2">
      <c r="A175">
        <v>45415</v>
      </c>
      <c r="B175">
        <v>26.11</v>
      </c>
    </row>
    <row r="176" spans="1:2" x14ac:dyDescent="0.2">
      <c r="A176">
        <v>45414</v>
      </c>
      <c r="B176">
        <v>15.6</v>
      </c>
    </row>
    <row r="177" spans="1:2" x14ac:dyDescent="0.2">
      <c r="A177">
        <v>45413</v>
      </c>
      <c r="B177">
        <v>12.53</v>
      </c>
    </row>
    <row r="178" spans="1:2" x14ac:dyDescent="0.2">
      <c r="A178">
        <v>45412</v>
      </c>
      <c r="B178">
        <v>53.44</v>
      </c>
    </row>
    <row r="179" spans="1:2" x14ac:dyDescent="0.2">
      <c r="A179">
        <v>45411</v>
      </c>
      <c r="B179">
        <v>58.27</v>
      </c>
    </row>
    <row r="180" spans="1:2" x14ac:dyDescent="0.2">
      <c r="A180">
        <v>45410</v>
      </c>
      <c r="B180">
        <v>28.72</v>
      </c>
    </row>
    <row r="181" spans="1:2" x14ac:dyDescent="0.2">
      <c r="A181">
        <v>45409</v>
      </c>
      <c r="B181">
        <v>25.02</v>
      </c>
    </row>
    <row r="182" spans="1:2" x14ac:dyDescent="0.2">
      <c r="A182">
        <v>45408</v>
      </c>
      <c r="B182">
        <v>57.49</v>
      </c>
    </row>
    <row r="183" spans="1:2" x14ac:dyDescent="0.2">
      <c r="A183">
        <v>45407</v>
      </c>
      <c r="B183">
        <v>41.44</v>
      </c>
    </row>
    <row r="184" spans="1:2" x14ac:dyDescent="0.2">
      <c r="A184">
        <v>45406</v>
      </c>
      <c r="B184">
        <v>18.57</v>
      </c>
    </row>
    <row r="185" spans="1:2" x14ac:dyDescent="0.2">
      <c r="A185">
        <v>45405</v>
      </c>
      <c r="B185">
        <v>5.84</v>
      </c>
    </row>
    <row r="186" spans="1:2" x14ac:dyDescent="0.2">
      <c r="A186">
        <v>45404</v>
      </c>
      <c r="B186">
        <v>1.9</v>
      </c>
    </row>
    <row r="187" spans="1:2" x14ac:dyDescent="0.2">
      <c r="A187">
        <v>45403</v>
      </c>
      <c r="B187">
        <v>2.17</v>
      </c>
    </row>
    <row r="188" spans="1:2" x14ac:dyDescent="0.2">
      <c r="A188">
        <v>45402</v>
      </c>
      <c r="B188">
        <v>5.66</v>
      </c>
    </row>
    <row r="189" spans="1:2" x14ac:dyDescent="0.2">
      <c r="A189">
        <v>45401</v>
      </c>
      <c r="B189">
        <v>15.18</v>
      </c>
    </row>
    <row r="190" spans="1:2" x14ac:dyDescent="0.2">
      <c r="A190">
        <v>45400</v>
      </c>
      <c r="B190">
        <v>4.54</v>
      </c>
    </row>
    <row r="191" spans="1:2" x14ac:dyDescent="0.2">
      <c r="A191">
        <v>45399</v>
      </c>
      <c r="B191">
        <v>3.26</v>
      </c>
    </row>
    <row r="192" spans="1:2" x14ac:dyDescent="0.2">
      <c r="A192">
        <v>45398</v>
      </c>
      <c r="B192">
        <v>1.37</v>
      </c>
    </row>
    <row r="193" spans="1:2" x14ac:dyDescent="0.2">
      <c r="A193">
        <v>45397</v>
      </c>
      <c r="B193">
        <v>3.48</v>
      </c>
    </row>
    <row r="194" spans="1:2" x14ac:dyDescent="0.2">
      <c r="A194">
        <v>45396</v>
      </c>
      <c r="B194">
        <v>5.6</v>
      </c>
    </row>
    <row r="195" spans="1:2" x14ac:dyDescent="0.2">
      <c r="A195">
        <v>45395</v>
      </c>
      <c r="B195">
        <v>9.17</v>
      </c>
    </row>
    <row r="196" spans="1:2" x14ac:dyDescent="0.2">
      <c r="A196">
        <v>45394</v>
      </c>
      <c r="B196">
        <v>19.940000000000001</v>
      </c>
    </row>
    <row r="197" spans="1:2" x14ac:dyDescent="0.2">
      <c r="A197">
        <v>45393</v>
      </c>
      <c r="B197">
        <v>12.03</v>
      </c>
    </row>
    <row r="198" spans="1:2" x14ac:dyDescent="0.2">
      <c r="A198">
        <v>45392</v>
      </c>
      <c r="B198">
        <v>4.3099999999999996</v>
      </c>
    </row>
    <row r="199" spans="1:2" x14ac:dyDescent="0.2">
      <c r="A199">
        <v>45391</v>
      </c>
      <c r="B199">
        <v>1.29</v>
      </c>
    </row>
    <row r="200" spans="1:2" x14ac:dyDescent="0.2">
      <c r="A200">
        <v>45390</v>
      </c>
      <c r="B200">
        <v>0.52</v>
      </c>
    </row>
    <row r="201" spans="1:2" x14ac:dyDescent="0.2">
      <c r="A201">
        <v>45389</v>
      </c>
      <c r="B201">
        <v>4.05</v>
      </c>
    </row>
    <row r="202" spans="1:2" x14ac:dyDescent="0.2">
      <c r="A202">
        <v>45388</v>
      </c>
      <c r="B202">
        <v>0.74</v>
      </c>
    </row>
    <row r="203" spans="1:2" x14ac:dyDescent="0.2">
      <c r="A203">
        <v>45387</v>
      </c>
      <c r="B203">
        <v>0.44</v>
      </c>
    </row>
    <row r="204" spans="1:2" x14ac:dyDescent="0.2">
      <c r="A204">
        <v>45386</v>
      </c>
      <c r="B204">
        <v>4</v>
      </c>
    </row>
    <row r="205" spans="1:2" x14ac:dyDescent="0.2">
      <c r="A205">
        <v>45385</v>
      </c>
      <c r="B205">
        <v>9.0299999999999994</v>
      </c>
    </row>
    <row r="206" spans="1:2" x14ac:dyDescent="0.2">
      <c r="A206">
        <v>45384</v>
      </c>
      <c r="B206">
        <v>9.85</v>
      </c>
    </row>
    <row r="207" spans="1:2" x14ac:dyDescent="0.2">
      <c r="A207">
        <v>45383</v>
      </c>
      <c r="B207">
        <v>2.76</v>
      </c>
    </row>
    <row r="208" spans="1:2" x14ac:dyDescent="0.2">
      <c r="A208">
        <v>45382</v>
      </c>
      <c r="B208">
        <v>0.83</v>
      </c>
    </row>
    <row r="209" spans="1:2" x14ac:dyDescent="0.2">
      <c r="A209">
        <v>45381</v>
      </c>
      <c r="B209">
        <v>4.5199999999999996</v>
      </c>
    </row>
    <row r="210" spans="1:2" x14ac:dyDescent="0.2">
      <c r="A210">
        <v>45380</v>
      </c>
      <c r="B210">
        <v>4.05</v>
      </c>
    </row>
    <row r="211" spans="1:2" x14ac:dyDescent="0.2">
      <c r="A211">
        <v>45379</v>
      </c>
      <c r="B211">
        <v>0.66</v>
      </c>
    </row>
    <row r="212" spans="1:2" x14ac:dyDescent="0.2">
      <c r="A212">
        <v>45378</v>
      </c>
      <c r="B212">
        <v>0.76</v>
      </c>
    </row>
    <row r="213" spans="1:2" x14ac:dyDescent="0.2">
      <c r="A213">
        <v>45377</v>
      </c>
      <c r="B213">
        <v>2.36</v>
      </c>
    </row>
    <row r="214" spans="1:2" x14ac:dyDescent="0.2">
      <c r="A214">
        <v>45376</v>
      </c>
      <c r="B214">
        <v>23.75</v>
      </c>
    </row>
    <row r="215" spans="1:2" x14ac:dyDescent="0.2">
      <c r="A215">
        <v>45375</v>
      </c>
      <c r="B215">
        <v>6.69</v>
      </c>
    </row>
    <row r="216" spans="1:2" x14ac:dyDescent="0.2">
      <c r="A216">
        <v>45374</v>
      </c>
      <c r="B216">
        <v>2.0099999999999998</v>
      </c>
    </row>
    <row r="217" spans="1:2" x14ac:dyDescent="0.2">
      <c r="A217">
        <v>45373</v>
      </c>
      <c r="B217">
        <v>22.4</v>
      </c>
    </row>
    <row r="218" spans="1:2" x14ac:dyDescent="0.2">
      <c r="A218">
        <v>45372</v>
      </c>
      <c r="B218">
        <v>35.9</v>
      </c>
    </row>
    <row r="219" spans="1:2" x14ac:dyDescent="0.2">
      <c r="A219">
        <v>45371</v>
      </c>
      <c r="B219">
        <v>56.94</v>
      </c>
    </row>
    <row r="220" spans="1:2" x14ac:dyDescent="0.2">
      <c r="A220">
        <v>45370</v>
      </c>
      <c r="B220">
        <v>65</v>
      </c>
    </row>
    <row r="221" spans="1:2" x14ac:dyDescent="0.2">
      <c r="A221">
        <v>45369</v>
      </c>
      <c r="B221">
        <v>61.34</v>
      </c>
    </row>
    <row r="222" spans="1:2" x14ac:dyDescent="0.2">
      <c r="A222">
        <v>45368</v>
      </c>
      <c r="B222">
        <v>28.05</v>
      </c>
    </row>
    <row r="223" spans="1:2" x14ac:dyDescent="0.2">
      <c r="A223">
        <v>45367</v>
      </c>
      <c r="B223">
        <v>31.61</v>
      </c>
    </row>
    <row r="224" spans="1:2" x14ac:dyDescent="0.2">
      <c r="A224">
        <v>45366</v>
      </c>
      <c r="B224">
        <v>37.729999999999997</v>
      </c>
    </row>
    <row r="225" spans="1:2" x14ac:dyDescent="0.2">
      <c r="A225">
        <v>45365</v>
      </c>
      <c r="B225">
        <v>35.99</v>
      </c>
    </row>
    <row r="226" spans="1:2" x14ac:dyDescent="0.2">
      <c r="A226">
        <v>45364</v>
      </c>
      <c r="B226">
        <v>42.36</v>
      </c>
    </row>
    <row r="227" spans="1:2" x14ac:dyDescent="0.2">
      <c r="A227">
        <v>45363</v>
      </c>
      <c r="B227">
        <v>42.28</v>
      </c>
    </row>
    <row r="228" spans="1:2" x14ac:dyDescent="0.2">
      <c r="A228">
        <v>45362</v>
      </c>
      <c r="B228">
        <v>14.63</v>
      </c>
    </row>
    <row r="229" spans="1:2" x14ac:dyDescent="0.2">
      <c r="A229">
        <v>45361</v>
      </c>
      <c r="B229">
        <v>0.54</v>
      </c>
    </row>
    <row r="230" spans="1:2" x14ac:dyDescent="0.2">
      <c r="A230">
        <v>45360</v>
      </c>
      <c r="B230">
        <v>0.59</v>
      </c>
    </row>
    <row r="231" spans="1:2" x14ac:dyDescent="0.2">
      <c r="A231">
        <v>45359</v>
      </c>
      <c r="B231">
        <v>1.67</v>
      </c>
    </row>
    <row r="232" spans="1:2" x14ac:dyDescent="0.2">
      <c r="A232">
        <v>45358</v>
      </c>
      <c r="B232">
        <v>8.52</v>
      </c>
    </row>
    <row r="233" spans="1:2" x14ac:dyDescent="0.2">
      <c r="A233">
        <v>45357</v>
      </c>
      <c r="B233">
        <v>45.97</v>
      </c>
    </row>
    <row r="234" spans="1:2" x14ac:dyDescent="0.2">
      <c r="A234">
        <v>45356</v>
      </c>
      <c r="B234">
        <v>33.450000000000003</v>
      </c>
    </row>
    <row r="235" spans="1:2" x14ac:dyDescent="0.2">
      <c r="A235">
        <v>45355</v>
      </c>
      <c r="B235">
        <v>7.95</v>
      </c>
    </row>
    <row r="236" spans="1:2" x14ac:dyDescent="0.2">
      <c r="A236">
        <v>45354</v>
      </c>
      <c r="B236">
        <v>3.79</v>
      </c>
    </row>
    <row r="237" spans="1:2" x14ac:dyDescent="0.2">
      <c r="A237">
        <v>45353</v>
      </c>
      <c r="B237">
        <v>4.16</v>
      </c>
    </row>
    <row r="238" spans="1:2" x14ac:dyDescent="0.2">
      <c r="A238">
        <v>45352</v>
      </c>
      <c r="B238">
        <v>2.14</v>
      </c>
    </row>
    <row r="239" spans="1:2" x14ac:dyDescent="0.2">
      <c r="A239">
        <v>45351</v>
      </c>
      <c r="B239">
        <v>4.8</v>
      </c>
    </row>
    <row r="240" spans="1:2" x14ac:dyDescent="0.2">
      <c r="A240">
        <v>45350</v>
      </c>
      <c r="B240">
        <v>9.35</v>
      </c>
    </row>
    <row r="241" spans="1:2" x14ac:dyDescent="0.2">
      <c r="A241">
        <v>45349</v>
      </c>
      <c r="B241">
        <v>3.66</v>
      </c>
    </row>
    <row r="242" spans="1:2" x14ac:dyDescent="0.2">
      <c r="A242">
        <v>45348</v>
      </c>
      <c r="B242">
        <v>3.82</v>
      </c>
    </row>
    <row r="243" spans="1:2" x14ac:dyDescent="0.2">
      <c r="A243">
        <v>45347</v>
      </c>
      <c r="B243">
        <v>3.06</v>
      </c>
    </row>
    <row r="244" spans="1:2" x14ac:dyDescent="0.2">
      <c r="A244">
        <v>45346</v>
      </c>
      <c r="B244">
        <v>6.94</v>
      </c>
    </row>
    <row r="245" spans="1:2" x14ac:dyDescent="0.2">
      <c r="A245">
        <v>45345</v>
      </c>
      <c r="B245">
        <v>6.72</v>
      </c>
    </row>
    <row r="246" spans="1:2" x14ac:dyDescent="0.2">
      <c r="A246">
        <v>45344</v>
      </c>
      <c r="B246">
        <v>10.71</v>
      </c>
    </row>
    <row r="247" spans="1:2" x14ac:dyDescent="0.2">
      <c r="A247">
        <v>45343</v>
      </c>
      <c r="B247">
        <v>45.3</v>
      </c>
    </row>
    <row r="248" spans="1:2" x14ac:dyDescent="0.2">
      <c r="A248">
        <v>45342</v>
      </c>
      <c r="B248">
        <v>52.86</v>
      </c>
    </row>
    <row r="249" spans="1:2" x14ac:dyDescent="0.2">
      <c r="A249">
        <v>45341</v>
      </c>
      <c r="B249">
        <v>45.55</v>
      </c>
    </row>
    <row r="250" spans="1:2" x14ac:dyDescent="0.2">
      <c r="A250">
        <v>45340</v>
      </c>
      <c r="B250">
        <v>47.04</v>
      </c>
    </row>
    <row r="251" spans="1:2" x14ac:dyDescent="0.2">
      <c r="A251">
        <v>45339</v>
      </c>
      <c r="B251">
        <v>48.69</v>
      </c>
    </row>
    <row r="252" spans="1:2" x14ac:dyDescent="0.2">
      <c r="A252">
        <v>45338</v>
      </c>
      <c r="B252">
        <v>54.24</v>
      </c>
    </row>
    <row r="253" spans="1:2" x14ac:dyDescent="0.2">
      <c r="A253">
        <v>45337</v>
      </c>
      <c r="B253">
        <v>51.22</v>
      </c>
    </row>
    <row r="254" spans="1:2" x14ac:dyDescent="0.2">
      <c r="A254">
        <v>45336</v>
      </c>
      <c r="B254">
        <v>59.57</v>
      </c>
    </row>
    <row r="255" spans="1:2" x14ac:dyDescent="0.2">
      <c r="A255">
        <v>45335</v>
      </c>
      <c r="B255">
        <v>62.72</v>
      </c>
    </row>
    <row r="256" spans="1:2" x14ac:dyDescent="0.2">
      <c r="A256">
        <v>45334</v>
      </c>
      <c r="B256">
        <v>45.85</v>
      </c>
    </row>
    <row r="257" spans="1:2" x14ac:dyDescent="0.2">
      <c r="A257">
        <v>45333</v>
      </c>
      <c r="B257">
        <v>44.83</v>
      </c>
    </row>
    <row r="258" spans="1:2" x14ac:dyDescent="0.2">
      <c r="A258">
        <v>45332</v>
      </c>
      <c r="B258">
        <v>9.4700000000000006</v>
      </c>
    </row>
    <row r="259" spans="1:2" x14ac:dyDescent="0.2">
      <c r="A259">
        <v>45331</v>
      </c>
      <c r="B259">
        <v>40.18</v>
      </c>
    </row>
    <row r="260" spans="1:2" x14ac:dyDescent="0.2">
      <c r="A260">
        <v>45330</v>
      </c>
      <c r="B260">
        <v>38.67</v>
      </c>
    </row>
    <row r="261" spans="1:2" x14ac:dyDescent="0.2">
      <c r="A261">
        <v>45329</v>
      </c>
      <c r="B261">
        <v>50.11</v>
      </c>
    </row>
    <row r="262" spans="1:2" x14ac:dyDescent="0.2">
      <c r="A262">
        <v>45328</v>
      </c>
      <c r="B262">
        <v>74.03</v>
      </c>
    </row>
    <row r="263" spans="1:2" x14ac:dyDescent="0.2">
      <c r="A263">
        <v>45327</v>
      </c>
      <c r="B263">
        <v>80.92</v>
      </c>
    </row>
    <row r="264" spans="1:2" x14ac:dyDescent="0.2">
      <c r="A264">
        <v>45326</v>
      </c>
      <c r="B264">
        <v>63.1</v>
      </c>
    </row>
    <row r="265" spans="1:2" x14ac:dyDescent="0.2">
      <c r="A265">
        <v>45325</v>
      </c>
      <c r="B265">
        <v>60.32</v>
      </c>
    </row>
    <row r="266" spans="1:2" x14ac:dyDescent="0.2">
      <c r="A266">
        <v>45324</v>
      </c>
      <c r="B266">
        <v>65.319999999999993</v>
      </c>
    </row>
    <row r="267" spans="1:2" x14ac:dyDescent="0.2">
      <c r="A267">
        <v>45323</v>
      </c>
      <c r="B267">
        <v>70.95</v>
      </c>
    </row>
    <row r="268" spans="1:2" x14ac:dyDescent="0.2">
      <c r="A268">
        <v>45322</v>
      </c>
      <c r="B268">
        <v>84.26</v>
      </c>
    </row>
    <row r="269" spans="1:2" x14ac:dyDescent="0.2">
      <c r="A269">
        <v>45321</v>
      </c>
      <c r="B269">
        <v>81.28</v>
      </c>
    </row>
    <row r="270" spans="1:2" x14ac:dyDescent="0.2">
      <c r="A270">
        <v>45320</v>
      </c>
      <c r="B270">
        <v>77.97</v>
      </c>
    </row>
    <row r="271" spans="1:2" x14ac:dyDescent="0.2">
      <c r="A271">
        <v>45319</v>
      </c>
      <c r="B271">
        <v>52.14</v>
      </c>
    </row>
    <row r="272" spans="1:2" x14ac:dyDescent="0.2">
      <c r="A272">
        <v>45318</v>
      </c>
      <c r="B272">
        <v>66.06</v>
      </c>
    </row>
    <row r="273" spans="1:2" x14ac:dyDescent="0.2">
      <c r="A273">
        <v>45317</v>
      </c>
      <c r="B273">
        <v>72.56</v>
      </c>
    </row>
    <row r="274" spans="1:2" x14ac:dyDescent="0.2">
      <c r="A274">
        <v>45316</v>
      </c>
      <c r="B274">
        <v>76.8</v>
      </c>
    </row>
    <row r="275" spans="1:2" x14ac:dyDescent="0.2">
      <c r="A275">
        <v>45315</v>
      </c>
      <c r="B275">
        <v>83.42</v>
      </c>
    </row>
    <row r="276" spans="1:2" x14ac:dyDescent="0.2">
      <c r="A276">
        <v>45314</v>
      </c>
      <c r="B276">
        <v>78.02</v>
      </c>
    </row>
    <row r="277" spans="1:2" x14ac:dyDescent="0.2">
      <c r="A277">
        <v>45313</v>
      </c>
      <c r="B277">
        <v>67.92</v>
      </c>
    </row>
    <row r="278" spans="1:2" x14ac:dyDescent="0.2">
      <c r="A278">
        <v>45312</v>
      </c>
      <c r="B278">
        <v>64.400000000000006</v>
      </c>
    </row>
    <row r="279" spans="1:2" x14ac:dyDescent="0.2">
      <c r="A279">
        <v>45311</v>
      </c>
      <c r="B279">
        <v>80.53</v>
      </c>
    </row>
    <row r="280" spans="1:2" x14ac:dyDescent="0.2">
      <c r="A280">
        <v>45310</v>
      </c>
      <c r="B280">
        <v>70.87</v>
      </c>
    </row>
    <row r="281" spans="1:2" x14ac:dyDescent="0.2">
      <c r="A281">
        <v>45309</v>
      </c>
      <c r="B281">
        <v>46.84</v>
      </c>
    </row>
    <row r="282" spans="1:2" x14ac:dyDescent="0.2">
      <c r="A282">
        <v>45308</v>
      </c>
      <c r="B282">
        <v>26.96</v>
      </c>
    </row>
    <row r="283" spans="1:2" x14ac:dyDescent="0.2">
      <c r="A283">
        <v>45307</v>
      </c>
      <c r="B283">
        <v>90.12</v>
      </c>
    </row>
    <row r="284" spans="1:2" x14ac:dyDescent="0.2">
      <c r="A284">
        <v>45306</v>
      </c>
      <c r="B284">
        <v>87.56</v>
      </c>
    </row>
    <row r="285" spans="1:2" x14ac:dyDescent="0.2">
      <c r="A285">
        <v>45305</v>
      </c>
      <c r="B285">
        <v>75.13</v>
      </c>
    </row>
    <row r="286" spans="1:2" x14ac:dyDescent="0.2">
      <c r="A286">
        <v>45304</v>
      </c>
      <c r="B286">
        <v>87.35</v>
      </c>
    </row>
    <row r="287" spans="1:2" x14ac:dyDescent="0.2">
      <c r="A287">
        <v>45303</v>
      </c>
      <c r="B287">
        <v>97.56</v>
      </c>
    </row>
    <row r="288" spans="1:2" x14ac:dyDescent="0.2">
      <c r="A288">
        <v>45302</v>
      </c>
      <c r="B288">
        <v>96.97</v>
      </c>
    </row>
    <row r="289" spans="1:2" x14ac:dyDescent="0.2">
      <c r="A289">
        <v>45301</v>
      </c>
      <c r="B289">
        <v>100.88</v>
      </c>
    </row>
    <row r="290" spans="1:2" x14ac:dyDescent="0.2">
      <c r="A290">
        <v>45300</v>
      </c>
      <c r="B290">
        <v>113.83</v>
      </c>
    </row>
    <row r="291" spans="1:2" x14ac:dyDescent="0.2">
      <c r="A291">
        <v>45299</v>
      </c>
      <c r="B291">
        <v>105.51</v>
      </c>
    </row>
    <row r="292" spans="1:2" x14ac:dyDescent="0.2">
      <c r="A292">
        <v>45298</v>
      </c>
      <c r="B292">
        <v>76</v>
      </c>
    </row>
    <row r="293" spans="1:2" x14ac:dyDescent="0.2">
      <c r="A293">
        <v>45297</v>
      </c>
      <c r="B293">
        <v>43.97</v>
      </c>
    </row>
    <row r="294" spans="1:2" x14ac:dyDescent="0.2">
      <c r="A294">
        <v>45296</v>
      </c>
      <c r="B294">
        <v>68.62</v>
      </c>
    </row>
    <row r="295" spans="1:2" x14ac:dyDescent="0.2">
      <c r="A295">
        <v>45295</v>
      </c>
      <c r="B295">
        <v>91.36</v>
      </c>
    </row>
    <row r="296" spans="1:2" x14ac:dyDescent="0.2">
      <c r="A296">
        <v>45294</v>
      </c>
      <c r="B296">
        <v>55.08</v>
      </c>
    </row>
    <row r="297" spans="1:2" x14ac:dyDescent="0.2">
      <c r="A297">
        <v>45293</v>
      </c>
      <c r="B297">
        <v>40.909999999999997</v>
      </c>
    </row>
    <row r="298" spans="1:2" x14ac:dyDescent="0.2">
      <c r="A298">
        <v>45292</v>
      </c>
      <c r="B298">
        <v>36.24</v>
      </c>
    </row>
  </sheetData>
  <sortState xmlns:xlrd2="http://schemas.microsoft.com/office/spreadsheetml/2017/richdata2" ref="E5:H38">
    <sortCondition ref="H4"/>
  </sortState>
  <mergeCells count="11">
    <mergeCell ref="AE1:AF2"/>
    <mergeCell ref="A1:B3"/>
    <mergeCell ref="D1:E2"/>
    <mergeCell ref="G1:H2"/>
    <mergeCell ref="J1:K2"/>
    <mergeCell ref="M1:N2"/>
    <mergeCell ref="AB1:AC2"/>
    <mergeCell ref="Y1:Z2"/>
    <mergeCell ref="V1:W2"/>
    <mergeCell ref="S1:T2"/>
    <mergeCell ref="P1: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33</xdr:col>
                    <xdr:colOff>38100</xdr:colOff>
                    <xdr:row>10</xdr:row>
                    <xdr:rowOff>9525</xdr:rowOff>
                  </from>
                  <to>
                    <xdr:col>35</xdr:col>
                    <xdr:colOff>304800</xdr:colOff>
                    <xdr:row>13</xdr:row>
                    <xdr:rowOff>85725</xdr:rowOff>
                  </to>
                </anchor>
              </controlPr>
            </control>
          </mc:Choice>
        </mc:AlternateContent>
      </controls>
    </mc:Choice>
  </mc:AlternateContent>
  <tableParts count="11">
    <tablePart r:id="rId4"/>
    <tablePart r:id="rId5"/>
    <tablePart r:id="rId6"/>
    <tablePart r:id="rId7"/>
    <tablePart r:id="rId8"/>
    <tablePart r:id="rId9"/>
    <tablePart r:id="rId10"/>
    <tablePart r:id="rId11"/>
    <tablePart r:id="rId12"/>
    <tablePart r:id="rId13"/>
    <tablePart r:id="rId1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121" t="s">
        <v>246</v>
      </c>
      <c r="K1" s="122"/>
      <c r="L1" s="125" t="s">
        <v>3</v>
      </c>
      <c r="M1" s="131" t="s">
        <v>235</v>
      </c>
      <c r="N1" s="132"/>
      <c r="O1" s="129" t="s">
        <v>4</v>
      </c>
      <c r="P1" s="130"/>
      <c r="Q1" s="117" t="s">
        <v>246</v>
      </c>
      <c r="R1" s="117"/>
      <c r="S1" s="118"/>
      <c r="T1" s="116"/>
    </row>
    <row r="2" spans="1:20" ht="12" customHeight="1" x14ac:dyDescent="0.2">
      <c r="A2" t="s">
        <v>3</v>
      </c>
      <c r="B2" s="23" t="str">
        <f>A7</f>
        <v>Ene 2024</v>
      </c>
      <c r="C2" t="s">
        <v>243</v>
      </c>
      <c r="G2" s="15" t="s">
        <v>253</v>
      </c>
      <c r="H2" s="24">
        <f ca="1">TODAY()</f>
        <v>45584</v>
      </c>
      <c r="I2" s="24"/>
      <c r="J2" s="123"/>
      <c r="K2" s="118"/>
      <c r="L2" s="126"/>
      <c r="M2" s="133"/>
      <c r="N2" s="134"/>
      <c r="O2" s="129"/>
      <c r="P2" s="130"/>
      <c r="Q2" s="117"/>
      <c r="R2" s="117"/>
      <c r="S2" s="118"/>
      <c r="T2" s="116"/>
    </row>
    <row r="3" spans="1:20" ht="12" customHeight="1" x14ac:dyDescent="0.2">
      <c r="A3" t="s">
        <v>229</v>
      </c>
      <c r="B3" s="23">
        <f ca="1">IF(C3="",ROUND(AVERAGE(omie!E5:OFFSET(omie!E5,MATCH(B4,omie_enero[fecha],0)-1,0)),2),C3)</f>
        <v>74.099999999999994</v>
      </c>
      <c r="C3" s="26"/>
      <c r="G3" s="115" t="s">
        <v>248</v>
      </c>
      <c r="H3" s="115"/>
      <c r="I3" s="4"/>
      <c r="J3" s="123"/>
      <c r="K3" s="118"/>
      <c r="L3" s="127" t="s">
        <v>13</v>
      </c>
      <c r="M3" s="135">
        <f>H1</f>
        <v>31</v>
      </c>
      <c r="N3" s="135"/>
      <c r="O3" s="128">
        <f ca="1">B3</f>
        <v>74.099999999999994</v>
      </c>
      <c r="P3" s="128"/>
      <c r="Q3" s="117"/>
      <c r="R3" s="117"/>
      <c r="S3" s="118"/>
      <c r="T3" s="116"/>
    </row>
    <row r="4" spans="1:20" ht="12" customHeight="1" x14ac:dyDescent="0.2">
      <c r="A4" t="s">
        <v>6</v>
      </c>
      <c r="B4" s="3">
        <f>DATE(2024,1,H1)</f>
        <v>45322</v>
      </c>
      <c r="G4" t="s">
        <v>247</v>
      </c>
      <c r="H4" s="30">
        <f>[1]omie_dinamic_dia!$G$2</f>
        <v>20</v>
      </c>
      <c r="I4" s="42"/>
      <c r="J4" s="123"/>
      <c r="K4" s="118"/>
      <c r="L4" s="127"/>
      <c r="M4" s="135"/>
      <c r="N4" s="135"/>
      <c r="O4" s="128"/>
      <c r="P4" s="128"/>
      <c r="Q4" s="117"/>
      <c r="R4" s="117"/>
      <c r="S4" s="118"/>
      <c r="T4" s="116"/>
    </row>
    <row r="5" spans="1:20" ht="12" customHeight="1" x14ac:dyDescent="0.2">
      <c r="A5" t="s">
        <v>15</v>
      </c>
      <c r="B5" s="3">
        <f>MAX(omie_enero[fecha])</f>
        <v>45322</v>
      </c>
      <c r="J5" s="124"/>
      <c r="K5" s="120"/>
      <c r="L5" s="127"/>
      <c r="M5" s="135"/>
      <c r="N5" s="135"/>
      <c r="O5" s="128"/>
      <c r="P5" s="128"/>
      <c r="Q5" s="119"/>
      <c r="R5" s="119"/>
      <c r="S5" s="120"/>
      <c r="T5" s="116"/>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115"/>
      <c r="S20" s="115"/>
      <c r="T20" s="115"/>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115"/>
      <c r="S21" s="115"/>
      <c r="T21" s="115"/>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115"/>
      <c r="S22" s="115"/>
      <c r="T22" s="115"/>
    </row>
    <row r="23" spans="1:20" ht="11.45"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106" priority="14">
      <formula>$K7=3</formula>
    </cfRule>
    <cfRule type="expression" dxfId="105" priority="15">
      <formula>$K7=2</formula>
    </cfRule>
    <cfRule type="expression" dxfId="104"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121" t="s">
        <v>246</v>
      </c>
      <c r="K1" s="122"/>
      <c r="L1" s="125" t="s">
        <v>3</v>
      </c>
      <c r="M1" s="131" t="s">
        <v>365</v>
      </c>
      <c r="N1" s="132"/>
      <c r="O1" s="129" t="s">
        <v>4</v>
      </c>
      <c r="P1" s="130"/>
      <c r="Q1" s="117" t="s">
        <v>246</v>
      </c>
      <c r="R1" s="117"/>
      <c r="S1" s="118"/>
      <c r="T1" s="116"/>
    </row>
    <row r="2" spans="1:20" ht="12" customHeight="1" x14ac:dyDescent="0.2">
      <c r="A2" t="s">
        <v>3</v>
      </c>
      <c r="B2" s="23" t="str">
        <f>A7</f>
        <v>Feb 2024</v>
      </c>
      <c r="C2" t="s">
        <v>243</v>
      </c>
      <c r="G2" s="15" t="s">
        <v>253</v>
      </c>
      <c r="H2" s="24">
        <f ca="1">TODAY()</f>
        <v>45584</v>
      </c>
      <c r="I2" s="24"/>
      <c r="J2" s="123"/>
      <c r="K2" s="118"/>
      <c r="L2" s="126"/>
      <c r="M2" s="133"/>
      <c r="N2" s="134"/>
      <c r="O2" s="129"/>
      <c r="P2" s="130"/>
      <c r="Q2" s="117"/>
      <c r="R2" s="117"/>
      <c r="S2" s="118"/>
      <c r="T2" s="116"/>
    </row>
    <row r="3" spans="1:20" ht="12" customHeight="1" x14ac:dyDescent="0.2">
      <c r="A3" t="s">
        <v>229</v>
      </c>
      <c r="B3" s="23">
        <f ca="1">IF(C3="",ROUND(AVERAGE(omie!H5:OFFSET(omie!H5,MATCH(B4,omie_febrero[fecha],0)-1,0)),2),C3)</f>
        <v>40</v>
      </c>
      <c r="C3" s="26"/>
      <c r="G3" t="s">
        <v>248</v>
      </c>
      <c r="J3" s="123"/>
      <c r="K3" s="118"/>
      <c r="L3" s="127" t="s">
        <v>13</v>
      </c>
      <c r="M3" s="135">
        <f>H1</f>
        <v>29</v>
      </c>
      <c r="N3" s="135"/>
      <c r="O3" s="128">
        <f ca="1">B3</f>
        <v>40</v>
      </c>
      <c r="P3" s="128"/>
      <c r="Q3" s="117"/>
      <c r="R3" s="117"/>
      <c r="S3" s="118"/>
      <c r="T3" s="116"/>
    </row>
    <row r="4" spans="1:20" ht="12" customHeight="1" x14ac:dyDescent="0.2">
      <c r="A4" t="s">
        <v>6</v>
      </c>
      <c r="B4" s="3">
        <f>DATE(2024,2,H1)</f>
        <v>45351</v>
      </c>
      <c r="G4" t="s">
        <v>247</v>
      </c>
      <c r="H4" s="30">
        <f>[1]omie_dinamic_dia!$G$2</f>
        <v>20</v>
      </c>
      <c r="I4" s="42"/>
      <c r="J4" s="123"/>
      <c r="K4" s="118"/>
      <c r="L4" s="127"/>
      <c r="M4" s="135"/>
      <c r="N4" s="135"/>
      <c r="O4" s="128"/>
      <c r="P4" s="128"/>
      <c r="Q4" s="117"/>
      <c r="R4" s="117"/>
      <c r="S4" s="118"/>
      <c r="T4" s="116"/>
    </row>
    <row r="5" spans="1:20" ht="12" customHeight="1" x14ac:dyDescent="0.2">
      <c r="A5" t="s">
        <v>15</v>
      </c>
      <c r="B5" s="3">
        <f>MAX(omie_febrero[fecha])</f>
        <v>45351</v>
      </c>
      <c r="J5" s="124"/>
      <c r="K5" s="120"/>
      <c r="L5" s="127"/>
      <c r="M5" s="135"/>
      <c r="N5" s="135"/>
      <c r="O5" s="128"/>
      <c r="P5" s="128"/>
      <c r="Q5" s="119"/>
      <c r="R5" s="119"/>
      <c r="S5" s="120"/>
      <c r="T5" s="116"/>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115"/>
      <c r="S20" s="115"/>
      <c r="T20" s="115"/>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115"/>
      <c r="S21" s="115"/>
      <c r="T21" s="115"/>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115"/>
      <c r="S22" s="115"/>
      <c r="T22" s="115"/>
    </row>
    <row r="23" spans="1:20"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T1:T5"/>
    <mergeCell ref="L3:L5"/>
    <mergeCell ref="M3:N5"/>
    <mergeCell ref="O3:P5"/>
    <mergeCell ref="R20:T22"/>
    <mergeCell ref="J1:K5"/>
    <mergeCell ref="L1:L2"/>
    <mergeCell ref="M1:N2"/>
    <mergeCell ref="O1:P2"/>
    <mergeCell ref="Q1:S5"/>
  </mergeCells>
  <conditionalFormatting sqref="J7:O41">
    <cfRule type="expression" dxfId="103" priority="2">
      <formula>$K7=3</formula>
    </cfRule>
    <cfRule type="expression" dxfId="102" priority="3">
      <formula>$K7=2</formula>
    </cfRule>
    <cfRule type="expression" dxfId="101"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30" zoomScaleNormal="130" workbookViewId="0">
      <selection activeCell="D9" sqref="D9"/>
    </sheetView>
  </sheetViews>
  <sheetFormatPr baseColWidth="10" defaultRowHeight="12" x14ac:dyDescent="0.2"/>
  <cols>
    <col min="1" max="1" width="11.140625" customWidth="1"/>
    <col min="2" max="2" width="23" customWidth="1"/>
    <col min="3" max="3" width="6.5703125" customWidth="1"/>
    <col min="4" max="4" width="19" customWidth="1"/>
    <col min="5" max="5" width="8.5703125"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121" t="s">
        <v>246</v>
      </c>
      <c r="K1" s="122"/>
      <c r="L1" s="125" t="s">
        <v>3</v>
      </c>
      <c r="M1" s="131" t="s">
        <v>478</v>
      </c>
      <c r="N1" s="132"/>
      <c r="O1" s="129" t="s">
        <v>4</v>
      </c>
      <c r="P1" s="130"/>
      <c r="Q1" s="117" t="s">
        <v>246</v>
      </c>
      <c r="R1" s="117"/>
      <c r="S1" s="118"/>
      <c r="T1" s="116"/>
    </row>
    <row r="2" spans="1:20" ht="12" customHeight="1" x14ac:dyDescent="0.2">
      <c r="A2" t="s">
        <v>3</v>
      </c>
      <c r="B2" s="23" t="str">
        <f>A7</f>
        <v>Mar 2024</v>
      </c>
      <c r="C2" t="s">
        <v>243</v>
      </c>
      <c r="G2" s="15" t="s">
        <v>253</v>
      </c>
      <c r="H2" s="24">
        <f ca="1">TODAY()</f>
        <v>45584</v>
      </c>
      <c r="I2" s="24"/>
      <c r="J2" s="123"/>
      <c r="K2" s="118"/>
      <c r="L2" s="126"/>
      <c r="M2" s="133"/>
      <c r="N2" s="134"/>
      <c r="O2" s="129"/>
      <c r="P2" s="130"/>
      <c r="Q2" s="117"/>
      <c r="R2" s="117"/>
      <c r="S2" s="118"/>
      <c r="T2" s="116"/>
    </row>
    <row r="3" spans="1:20" ht="12" customHeight="1" x14ac:dyDescent="0.2">
      <c r="A3" t="s">
        <v>229</v>
      </c>
      <c r="B3" s="44">
        <f ca="1">IF(C3="",ROUND(AVERAGE(omie!K5:OFFSET(omie!K5,MATCH(B4,omie_marzo[fecha],0)-1,0)),2),C3)</f>
        <v>20.28</v>
      </c>
      <c r="C3" s="26"/>
      <c r="G3" s="115" t="s">
        <v>248</v>
      </c>
      <c r="H3" s="115"/>
      <c r="I3" s="4"/>
      <c r="J3" s="123"/>
      <c r="K3" s="118"/>
      <c r="L3" s="127" t="s">
        <v>13</v>
      </c>
      <c r="M3" s="135">
        <f>H1</f>
        <v>31</v>
      </c>
      <c r="N3" s="135"/>
      <c r="O3" s="128">
        <f ca="1">B3</f>
        <v>20.28</v>
      </c>
      <c r="P3" s="128"/>
      <c r="Q3" s="117"/>
      <c r="R3" s="117"/>
      <c r="S3" s="118"/>
      <c r="T3" s="116"/>
    </row>
    <row r="4" spans="1:20" ht="12" customHeight="1" x14ac:dyDescent="0.2">
      <c r="A4" t="s">
        <v>6</v>
      </c>
      <c r="B4" s="3">
        <f>DATE(2024,3,H1)</f>
        <v>45382</v>
      </c>
      <c r="G4" t="s">
        <v>247</v>
      </c>
      <c r="H4" s="30">
        <f>[1]omie_dinamic_dia!$G$2</f>
        <v>20</v>
      </c>
      <c r="I4" s="42"/>
      <c r="J4" s="123"/>
      <c r="K4" s="118"/>
      <c r="L4" s="127"/>
      <c r="M4" s="135"/>
      <c r="N4" s="135"/>
      <c r="O4" s="128"/>
      <c r="P4" s="128"/>
      <c r="Q4" s="117"/>
      <c r="R4" s="117"/>
      <c r="S4" s="118"/>
      <c r="T4" s="116"/>
    </row>
    <row r="5" spans="1:20" ht="12" customHeight="1" x14ac:dyDescent="0.2">
      <c r="A5" t="s">
        <v>15</v>
      </c>
      <c r="B5" s="3">
        <f>MAX(omie_marzo[fecha])</f>
        <v>45382</v>
      </c>
      <c r="J5" s="124"/>
      <c r="K5" s="120"/>
      <c r="L5" s="127"/>
      <c r="M5" s="135"/>
      <c r="N5" s="135"/>
      <c r="O5" s="128"/>
      <c r="P5" s="128"/>
      <c r="Q5" s="119"/>
      <c r="R5" s="119"/>
      <c r="S5" s="120"/>
      <c r="T5" s="116"/>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115"/>
      <c r="S20" s="115"/>
      <c r="T20" s="115"/>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115"/>
      <c r="S21" s="115"/>
      <c r="T21" s="115"/>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115"/>
      <c r="S22" s="115"/>
      <c r="T22" s="115"/>
    </row>
    <row r="23" spans="1:20" ht="11.45"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R20:T22"/>
    <mergeCell ref="J1:K5"/>
    <mergeCell ref="L1:L2"/>
    <mergeCell ref="M1:N2"/>
    <mergeCell ref="O1:P2"/>
    <mergeCell ref="Q1:S5"/>
    <mergeCell ref="G3:H3"/>
    <mergeCell ref="T1:T5"/>
    <mergeCell ref="L3:L5"/>
    <mergeCell ref="M3:N5"/>
    <mergeCell ref="O3:P5"/>
  </mergeCells>
  <phoneticPr fontId="9" type="noConversion"/>
  <conditionalFormatting sqref="K7:O31">
    <cfRule type="expression" dxfId="100" priority="2">
      <formula>$K7=3</formula>
    </cfRule>
    <cfRule type="expression" dxfId="99" priority="3">
      <formula>$K7=2</formula>
    </cfRule>
    <cfRule type="expression" dxfId="98"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0</xdr:colOff>
                    <xdr:row>0</xdr:row>
                    <xdr:rowOff>0</xdr:rowOff>
                  </from>
                  <to>
                    <xdr:col>3</xdr:col>
                    <xdr:colOff>1266825</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C11" sqref="C11"/>
    </sheetView>
  </sheetViews>
  <sheetFormatPr baseColWidth="10" defaultRowHeight="12" x14ac:dyDescent="0.2"/>
  <cols>
    <col min="1" max="1" width="16" bestFit="1" customWidth="1"/>
    <col min="2" max="2" width="10" customWidth="1"/>
    <col min="3" max="3" width="10.5703125" customWidth="1"/>
    <col min="4" max="4" width="18.140625" customWidth="1"/>
    <col min="5" max="5" width="8.7109375" customWidth="1"/>
    <col min="6" max="6" width="10.5703125" bestFit="1" customWidth="1"/>
    <col min="7" max="7" width="12.28515625" bestFit="1"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136" t="s">
        <v>546</v>
      </c>
      <c r="L1" s="137"/>
      <c r="M1" s="125" t="s">
        <v>3</v>
      </c>
      <c r="N1" s="131" t="s">
        <v>545</v>
      </c>
      <c r="O1" s="132"/>
      <c r="P1" s="129" t="s">
        <v>4</v>
      </c>
      <c r="Q1" s="130"/>
      <c r="R1" s="142" t="s">
        <v>547</v>
      </c>
      <c r="S1" s="143"/>
      <c r="T1" s="144"/>
      <c r="U1" s="116"/>
    </row>
    <row r="2" spans="1:21" ht="12" customHeight="1" x14ac:dyDescent="0.2">
      <c r="A2" t="s">
        <v>3</v>
      </c>
      <c r="B2" s="23" t="str">
        <f>A7</f>
        <v>Abr 2024</v>
      </c>
      <c r="C2" t="s">
        <v>243</v>
      </c>
      <c r="G2" s="15" t="s">
        <v>253</v>
      </c>
      <c r="H2" s="24">
        <f ca="1">TODAY()</f>
        <v>45584</v>
      </c>
      <c r="I2" s="29"/>
      <c r="K2" s="138"/>
      <c r="L2" s="139"/>
      <c r="M2" s="126"/>
      <c r="N2" s="133"/>
      <c r="O2" s="134"/>
      <c r="P2" s="129"/>
      <c r="Q2" s="130"/>
      <c r="R2" s="145"/>
      <c r="S2" s="146"/>
      <c r="T2" s="147"/>
      <c r="U2" s="116"/>
    </row>
    <row r="3" spans="1:21" ht="12" customHeight="1" x14ac:dyDescent="0.2">
      <c r="A3" t="s">
        <v>229</v>
      </c>
      <c r="B3" s="44">
        <f ca="1">IF(C3="",ROUND(AVERAGE(omie!N5:OFFSET(omie!N5,MATCH(B4,omie_abril[fecha],0)-1,0)),2),C3)</f>
        <v>13.67</v>
      </c>
      <c r="C3" s="26"/>
      <c r="G3" s="115" t="s">
        <v>248</v>
      </c>
      <c r="H3" s="115"/>
      <c r="I3" s="29"/>
      <c r="K3" s="138"/>
      <c r="L3" s="139"/>
      <c r="M3" s="127" t="s">
        <v>13</v>
      </c>
      <c r="N3" s="135">
        <f>H1</f>
        <v>30</v>
      </c>
      <c r="O3" s="135"/>
      <c r="P3" s="128">
        <f ca="1">B3</f>
        <v>13.67</v>
      </c>
      <c r="Q3" s="128"/>
      <c r="R3" s="145"/>
      <c r="S3" s="146"/>
      <c r="T3" s="147"/>
      <c r="U3" s="116"/>
    </row>
    <row r="4" spans="1:21" ht="12" customHeight="1" x14ac:dyDescent="0.2">
      <c r="A4" t="s">
        <v>6</v>
      </c>
      <c r="B4" s="3">
        <f>DATE(2024,4,H1)</f>
        <v>45412</v>
      </c>
      <c r="G4" t="s">
        <v>247</v>
      </c>
      <c r="H4" s="30">
        <f>[1]omie_dinamic_dia!$G$2</f>
        <v>20</v>
      </c>
      <c r="I4" s="29"/>
      <c r="K4" s="138"/>
      <c r="L4" s="139"/>
      <c r="M4" s="127"/>
      <c r="N4" s="135"/>
      <c r="O4" s="135"/>
      <c r="P4" s="128"/>
      <c r="Q4" s="128"/>
      <c r="R4" s="145"/>
      <c r="S4" s="146"/>
      <c r="T4" s="147"/>
      <c r="U4" s="116"/>
    </row>
    <row r="5" spans="1:21" ht="12" customHeight="1" x14ac:dyDescent="0.2">
      <c r="A5" t="s">
        <v>15</v>
      </c>
      <c r="B5" s="3">
        <f>MAX(omie_abril[fecha])</f>
        <v>45412</v>
      </c>
      <c r="I5" s="29"/>
      <c r="K5" s="140"/>
      <c r="L5" s="141"/>
      <c r="M5" s="127"/>
      <c r="N5" s="135"/>
      <c r="O5" s="135"/>
      <c r="P5" s="128"/>
      <c r="Q5" s="128"/>
      <c r="R5" s="148"/>
      <c r="S5" s="149"/>
      <c r="T5" s="150"/>
      <c r="U5" s="116"/>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115"/>
      <c r="T20" s="115"/>
      <c r="U20" s="115"/>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115"/>
      <c r="T21" s="115"/>
      <c r="U21" s="115"/>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115"/>
      <c r="T22" s="115"/>
      <c r="U22" s="115"/>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97" priority="17">
      <formula>$K7=3</formula>
    </cfRule>
    <cfRule type="expression" dxfId="96" priority="18">
      <formula>$K7=2</formula>
    </cfRule>
    <cfRule type="expression" dxfId="95"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B40" sqref="B4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31</v>
      </c>
      <c r="I1" s="29"/>
      <c r="K1" s="136" t="s">
        <v>546</v>
      </c>
      <c r="L1" s="137"/>
      <c r="M1" s="125" t="s">
        <v>3</v>
      </c>
      <c r="N1" s="131" t="s">
        <v>654</v>
      </c>
      <c r="O1" s="132"/>
      <c r="P1" s="129" t="s">
        <v>4</v>
      </c>
      <c r="Q1" s="130"/>
      <c r="R1" s="142" t="s">
        <v>655</v>
      </c>
      <c r="S1" s="143"/>
      <c r="T1" s="144"/>
      <c r="U1" s="116"/>
    </row>
    <row r="2" spans="1:21" ht="12" customHeight="1" x14ac:dyDescent="0.2">
      <c r="A2" t="s">
        <v>3</v>
      </c>
      <c r="B2" s="23" t="str">
        <f>A7</f>
        <v>May 2024</v>
      </c>
      <c r="C2" s="4" t="s">
        <v>243</v>
      </c>
      <c r="G2" s="15" t="s">
        <v>253</v>
      </c>
      <c r="H2" s="24">
        <f ca="1">TODAY()</f>
        <v>45584</v>
      </c>
      <c r="I2" s="29"/>
      <c r="K2" s="138"/>
      <c r="L2" s="139"/>
      <c r="M2" s="126"/>
      <c r="N2" s="133"/>
      <c r="O2" s="134"/>
      <c r="P2" s="129"/>
      <c r="Q2" s="130"/>
      <c r="R2" s="145"/>
      <c r="S2" s="146"/>
      <c r="T2" s="147"/>
      <c r="U2" s="116"/>
    </row>
    <row r="3" spans="1:21" ht="12" customHeight="1" x14ac:dyDescent="0.2">
      <c r="A3" t="s">
        <v>229</v>
      </c>
      <c r="B3" s="44">
        <f ca="1">IF(C3="",ROUND(AVERAGE(omie!Q5:OFFSET(omie!Q5,MATCH(B4,omie_mayo[fecha],0)-1,0)),2),C3)</f>
        <v>30.4</v>
      </c>
      <c r="C3" s="65"/>
      <c r="G3" s="115" t="s">
        <v>248</v>
      </c>
      <c r="H3" s="115"/>
      <c r="I3" s="29"/>
      <c r="K3" s="138"/>
      <c r="L3" s="139"/>
      <c r="M3" s="127" t="s">
        <v>13</v>
      </c>
      <c r="N3" s="135">
        <f>H1</f>
        <v>31</v>
      </c>
      <c r="O3" s="135"/>
      <c r="P3" s="128">
        <f ca="1">B3</f>
        <v>30.4</v>
      </c>
      <c r="Q3" s="128"/>
      <c r="R3" s="145"/>
      <c r="S3" s="146"/>
      <c r="T3" s="147"/>
      <c r="U3" s="116"/>
    </row>
    <row r="4" spans="1:21" ht="12" customHeight="1" x14ac:dyDescent="0.2">
      <c r="A4" t="s">
        <v>6</v>
      </c>
      <c r="B4" s="3">
        <f>DATE(2024,5,H1)</f>
        <v>45443</v>
      </c>
      <c r="G4" t="s">
        <v>247</v>
      </c>
      <c r="H4" s="67">
        <f>[1]omie_dinamic_dia!$G$2</f>
        <v>20</v>
      </c>
      <c r="I4" s="29"/>
      <c r="K4" s="138"/>
      <c r="L4" s="139"/>
      <c r="M4" s="127"/>
      <c r="N4" s="135"/>
      <c r="O4" s="135"/>
      <c r="P4" s="128"/>
      <c r="Q4" s="128"/>
      <c r="R4" s="145"/>
      <c r="S4" s="146"/>
      <c r="T4" s="147"/>
      <c r="U4" s="116"/>
    </row>
    <row r="5" spans="1:21" ht="12" customHeight="1" x14ac:dyDescent="0.2">
      <c r="A5" t="s">
        <v>15</v>
      </c>
      <c r="B5" s="3">
        <f>MAX(omie_mayo[fecha])</f>
        <v>45443</v>
      </c>
      <c r="I5" s="29"/>
      <c r="K5" s="140"/>
      <c r="L5" s="141"/>
      <c r="M5" s="127"/>
      <c r="N5" s="135"/>
      <c r="O5" s="135"/>
      <c r="P5" s="128"/>
      <c r="Q5" s="128"/>
      <c r="R5" s="148"/>
      <c r="S5" s="149"/>
      <c r="T5" s="150"/>
      <c r="U5" s="116"/>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563</v>
      </c>
      <c r="B7" t="s">
        <v>412</v>
      </c>
      <c r="C7" s="28">
        <v>48.6</v>
      </c>
      <c r="D7" t="s">
        <v>610</v>
      </c>
      <c r="E7" t="s">
        <v>611</v>
      </c>
      <c r="F7" s="28">
        <f ca="1">apuestas_may24[[#This Row],[Apuesta Miniporra]]-$B$3</f>
        <v>18.200000000000003</v>
      </c>
      <c r="G7" s="68">
        <f ca="1">ABS(apuestas_may24[[#This Row],[desvio]])/$B$3</f>
        <v>0.59868421052631593</v>
      </c>
      <c r="H7" s="4">
        <f ca="1">_xlfn.RANK.EQ(apuestas_may24[[#This Row],[desvio %]],apuestas_may24[desvio %],1)</f>
        <v>40</v>
      </c>
      <c r="J7" s="66" t="s">
        <v>563</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x14ac:dyDescent="0.2">
      <c r="A8" t="s">
        <v>563</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563</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563</v>
      </c>
      <c r="B9" t="s">
        <v>645</v>
      </c>
      <c r="C9" s="28">
        <v>38.14</v>
      </c>
      <c r="D9" t="s">
        <v>580</v>
      </c>
      <c r="E9" t="s">
        <v>581</v>
      </c>
      <c r="F9" s="28">
        <f ca="1">apuestas_may24[[#This Row],[Apuesta Miniporra]]-$B$3</f>
        <v>7.740000000000002</v>
      </c>
      <c r="G9" s="68">
        <f ca="1">ABS(apuestas_may24[[#This Row],[desvio]])/$B$3</f>
        <v>0.25460526315789483</v>
      </c>
      <c r="H9" s="4">
        <f ca="1">_xlfn.RANK.EQ(apuestas_may24[[#This Row],[desvio %]],apuestas_may24[desvio %],1)</f>
        <v>32</v>
      </c>
      <c r="J9" s="66" t="s">
        <v>563</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563</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563</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563</v>
      </c>
      <c r="B11" t="s">
        <v>650</v>
      </c>
      <c r="C11" s="28">
        <v>35.6</v>
      </c>
      <c r="D11" t="s">
        <v>118</v>
      </c>
      <c r="E11" t="s">
        <v>625</v>
      </c>
      <c r="F11" s="28">
        <f ca="1">apuestas_may24[[#This Row],[Apuesta Miniporra]]-$B$3</f>
        <v>5.2000000000000028</v>
      </c>
      <c r="G11" s="68">
        <f ca="1">ABS(apuestas_may24[[#This Row],[desvio]])/$B$3</f>
        <v>0.17105263157894746</v>
      </c>
      <c r="H11" s="4">
        <f ca="1">_xlfn.RANK.EQ(apuestas_may24[[#This Row],[desvio %]],apuestas_may24[desvio %],1)</f>
        <v>26</v>
      </c>
      <c r="J11" s="66" t="s">
        <v>563</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563</v>
      </c>
      <c r="B12" t="s">
        <v>337</v>
      </c>
      <c r="C12" s="28">
        <v>35.53</v>
      </c>
      <c r="D12" t="s">
        <v>583</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563</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563</v>
      </c>
      <c r="B13" t="s">
        <v>541</v>
      </c>
      <c r="C13" s="28">
        <v>35.33</v>
      </c>
      <c r="D13" t="s">
        <v>574</v>
      </c>
      <c r="E13" t="s">
        <v>525</v>
      </c>
      <c r="F13" s="28">
        <f ca="1">apuestas_may24[[#This Row],[Apuesta Miniporra]]-$B$3</f>
        <v>4.93</v>
      </c>
      <c r="G13" s="68">
        <f ca="1">ABS(apuestas_may24[[#This Row],[desvio]])/$B$3</f>
        <v>0.16217105263157894</v>
      </c>
      <c r="H13" s="4">
        <f ca="1">_xlfn.RANK.EQ(apuestas_may24[[#This Row],[desvio %]],apuestas_may24[desvio %],1)</f>
        <v>24</v>
      </c>
      <c r="J13" s="66" t="s">
        <v>563</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x14ac:dyDescent="0.2">
      <c r="A14" t="s">
        <v>563</v>
      </c>
      <c r="B14" t="s">
        <v>399</v>
      </c>
      <c r="C14" s="28">
        <v>35.229999999999997</v>
      </c>
      <c r="D14" t="s">
        <v>118</v>
      </c>
      <c r="E14" t="s">
        <v>597</v>
      </c>
      <c r="F14" s="28">
        <f ca="1">apuestas_may24[[#This Row],[Apuesta Miniporra]]-$B$3</f>
        <v>4.8299999999999983</v>
      </c>
      <c r="G14" s="68">
        <f ca="1">ABS(apuestas_may24[[#This Row],[desvio]])/$B$3</f>
        <v>0.15888157894736837</v>
      </c>
      <c r="H14" s="4">
        <f ca="1">_xlfn.RANK.EQ(apuestas_may24[[#This Row],[desvio %]],apuestas_may24[desvio %],1)</f>
        <v>23</v>
      </c>
      <c r="J14" s="66" t="s">
        <v>563</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563</v>
      </c>
      <c r="B15" t="s">
        <v>474</v>
      </c>
      <c r="C15" s="28">
        <v>35.1</v>
      </c>
      <c r="D15" t="s">
        <v>573</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563</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563</v>
      </c>
      <c r="B16" t="s">
        <v>9</v>
      </c>
      <c r="C16" s="28">
        <v>35</v>
      </c>
      <c r="D16" t="s">
        <v>569</v>
      </c>
      <c r="E16" t="s">
        <v>561</v>
      </c>
      <c r="F16" s="28">
        <f ca="1">apuestas_may24[[#This Row],[Apuesta Miniporra]]-$B$3</f>
        <v>4.6000000000000014</v>
      </c>
      <c r="G16" s="68">
        <f ca="1">ABS(apuestas_may24[[#This Row],[desvio]])/$B$3</f>
        <v>0.15131578947368426</v>
      </c>
      <c r="H16" s="4">
        <f ca="1">_xlfn.RANK.EQ(apuestas_may24[[#This Row],[desvio %]],apuestas_may24[desvio %],1)</f>
        <v>21</v>
      </c>
      <c r="J16" s="66" t="s">
        <v>563</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x14ac:dyDescent="0.2">
      <c r="A17" t="s">
        <v>563</v>
      </c>
      <c r="B17" t="s">
        <v>652</v>
      </c>
      <c r="C17" s="28">
        <v>34.47</v>
      </c>
      <c r="D17" t="s">
        <v>118</v>
      </c>
      <c r="E17" t="s">
        <v>637</v>
      </c>
      <c r="F17" s="28">
        <f ca="1">apuestas_may24[[#This Row],[Apuesta Miniporra]]-$B$3</f>
        <v>4.07</v>
      </c>
      <c r="G17" s="68">
        <f ca="1">ABS(apuestas_may24[[#This Row],[desvio]])/$B$3</f>
        <v>0.13388157894736843</v>
      </c>
      <c r="H17" s="4">
        <f ca="1">_xlfn.RANK.EQ(apuestas_may24[[#This Row],[desvio %]],apuestas_may24[desvio %],1)</f>
        <v>19</v>
      </c>
      <c r="J17" s="66" t="s">
        <v>563</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563</v>
      </c>
      <c r="B18" t="s">
        <v>335</v>
      </c>
      <c r="C18" s="28">
        <v>34.21</v>
      </c>
      <c r="D18" t="s">
        <v>641</v>
      </c>
      <c r="E18" t="s">
        <v>642</v>
      </c>
      <c r="F18" s="28">
        <f ca="1">apuestas_may24[[#This Row],[Apuesta Miniporra]]-$B$3</f>
        <v>3.8100000000000023</v>
      </c>
      <c r="G18" s="68">
        <f ca="1">ABS(apuestas_may24[[#This Row],[desvio]])/$B$3</f>
        <v>0.12532894736842112</v>
      </c>
      <c r="H18" s="4">
        <f ca="1">_xlfn.RANK.EQ(apuestas_may24[[#This Row],[desvio %]],apuestas_may24[desvio %],1)</f>
        <v>18</v>
      </c>
      <c r="J18" s="66" t="s">
        <v>563</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x14ac:dyDescent="0.2">
      <c r="A19" t="s">
        <v>563</v>
      </c>
      <c r="B19" t="s">
        <v>647</v>
      </c>
      <c r="C19" s="28">
        <v>33.36</v>
      </c>
      <c r="D19" t="s">
        <v>118</v>
      </c>
      <c r="E19" t="s">
        <v>608</v>
      </c>
      <c r="F19" s="28">
        <f ca="1">apuestas_may24[[#This Row],[Apuesta Miniporra]]-$B$3</f>
        <v>2.9600000000000009</v>
      </c>
      <c r="G19" s="68">
        <f ca="1">ABS(apuestas_may24[[#This Row],[desvio]])/$B$3</f>
        <v>9.7368421052631618E-2</v>
      </c>
      <c r="H19" s="4">
        <f ca="1">_xlfn.RANK.EQ(apuestas_may24[[#This Row],[desvio %]],apuestas_may24[desvio %],1)</f>
        <v>15</v>
      </c>
      <c r="J19" s="66" t="s">
        <v>563</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563</v>
      </c>
      <c r="B20" t="s">
        <v>219</v>
      </c>
      <c r="C20" s="28">
        <v>33.35</v>
      </c>
      <c r="D20" t="s">
        <v>621</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563</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115"/>
      <c r="T20" s="115"/>
      <c r="U20" s="115"/>
    </row>
    <row r="21" spans="1:21" x14ac:dyDescent="0.2">
      <c r="A21" t="s">
        <v>563</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563</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115"/>
      <c r="T21" s="115"/>
      <c r="U21" s="115"/>
    </row>
    <row r="22" spans="1:21" x14ac:dyDescent="0.2">
      <c r="A22" t="s">
        <v>563</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563</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115"/>
      <c r="T22" s="115"/>
      <c r="U22" s="115"/>
    </row>
    <row r="23" spans="1:21" ht="11.45" x14ac:dyDescent="0.2">
      <c r="A23" t="s">
        <v>563</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563</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ht="11.45" x14ac:dyDescent="0.2">
      <c r="A24" t="s">
        <v>563</v>
      </c>
      <c r="B24" t="s">
        <v>403</v>
      </c>
      <c r="C24" s="28">
        <v>30.7</v>
      </c>
      <c r="D24" t="s">
        <v>644</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563</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563</v>
      </c>
      <c r="B25" t="s">
        <v>404</v>
      </c>
      <c r="C25" s="28">
        <v>30.5</v>
      </c>
      <c r="D25" t="s">
        <v>656</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563</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563</v>
      </c>
      <c r="B26" t="s">
        <v>336</v>
      </c>
      <c r="C26" s="28">
        <v>30.01</v>
      </c>
      <c r="D26" t="s">
        <v>657</v>
      </c>
      <c r="E26" t="s">
        <v>2</v>
      </c>
      <c r="F26" s="28">
        <f ca="1">apuestas_may24[[#This Row],[Apuesta Miniporra]]-$B$3</f>
        <v>-0.38999999999999702</v>
      </c>
      <c r="G26" s="68">
        <f ca="1">ABS(apuestas_may24[[#This Row],[desvio]])/$B$3</f>
        <v>1.2828947368420955E-2</v>
      </c>
      <c r="H26" s="4">
        <f ca="1">_xlfn.RANK.EQ(apuestas_may24[[#This Row],[desvio %]],apuestas_may24[desvio %],1)</f>
        <v>3</v>
      </c>
      <c r="J26" s="66" t="s">
        <v>563</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x14ac:dyDescent="0.2">
      <c r="A27" t="s">
        <v>563</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563</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563</v>
      </c>
      <c r="B28" t="s">
        <v>409</v>
      </c>
      <c r="C28" s="28">
        <v>29.69</v>
      </c>
      <c r="D28" t="s">
        <v>613</v>
      </c>
      <c r="E28" t="s">
        <v>462</v>
      </c>
      <c r="F28" s="28">
        <f ca="1">apuestas_may24[[#This Row],[Apuesta Miniporra]]-$B$3</f>
        <v>-0.7099999999999973</v>
      </c>
      <c r="G28" s="68">
        <f ca="1">ABS(apuestas_may24[[#This Row],[desvio]])/$B$3</f>
        <v>2.335526315789465E-2</v>
      </c>
      <c r="H28" s="4">
        <f ca="1">_xlfn.RANK.EQ(apuestas_may24[[#This Row],[desvio %]],apuestas_may24[desvio %],1)</f>
        <v>5</v>
      </c>
      <c r="J28" s="66" t="s">
        <v>563</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563</v>
      </c>
      <c r="B29" t="s">
        <v>408</v>
      </c>
      <c r="C29" s="28">
        <v>29.6</v>
      </c>
      <c r="D29" t="s">
        <v>576</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563</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563</v>
      </c>
      <c r="B30" t="s">
        <v>543</v>
      </c>
      <c r="C30" s="28">
        <v>28.62</v>
      </c>
      <c r="D30" t="s">
        <v>629</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563</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563</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563</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563</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563</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563</v>
      </c>
      <c r="B33" t="s">
        <v>381</v>
      </c>
      <c r="C33" s="28">
        <v>27.57</v>
      </c>
      <c r="D33" t="s">
        <v>590</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563</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563</v>
      </c>
      <c r="B34" t="s">
        <v>646</v>
      </c>
      <c r="C34" s="28">
        <v>27.25</v>
      </c>
      <c r="D34" t="s">
        <v>118</v>
      </c>
      <c r="E34" t="s">
        <v>599</v>
      </c>
      <c r="F34" s="28">
        <f ca="1">apuestas_may24[[#This Row],[Apuesta Miniporra]]-$B$3</f>
        <v>-3.1499999999999986</v>
      </c>
      <c r="G34" s="68">
        <f ca="1">ABS(apuestas_may24[[#This Row],[desvio]])/$B$3</f>
        <v>0.10361842105263154</v>
      </c>
      <c r="H34" s="4">
        <f ca="1">_xlfn.RANK.EQ(apuestas_may24[[#This Row],[desvio %]],apuestas_may24[desvio %],1)</f>
        <v>16</v>
      </c>
      <c r="J34" s="66" t="s">
        <v>563</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563</v>
      </c>
      <c r="B35" t="s">
        <v>542</v>
      </c>
      <c r="C35" s="28">
        <v>26.62</v>
      </c>
      <c r="D35" t="s">
        <v>585</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563</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563</v>
      </c>
      <c r="B36" t="s">
        <v>222</v>
      </c>
      <c r="C36" s="28">
        <v>26.15</v>
      </c>
      <c r="D36" t="s">
        <v>588</v>
      </c>
      <c r="E36" t="s">
        <v>178</v>
      </c>
      <c r="F36" s="28">
        <f ca="1">apuestas_may24[[#This Row],[Apuesta Miniporra]]-$B$3</f>
        <v>-4.25</v>
      </c>
      <c r="G36" s="68">
        <f ca="1">ABS(apuestas_may24[[#This Row],[desvio]])/$B$3</f>
        <v>0.13980263157894737</v>
      </c>
      <c r="H36" s="4">
        <f ca="1">_xlfn.RANK.EQ(apuestas_may24[[#This Row],[desvio %]],apuestas_may24[desvio %],1)</f>
        <v>20</v>
      </c>
      <c r="J36" s="66" t="s">
        <v>563</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563</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563</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563</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563</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563</v>
      </c>
      <c r="B39" t="s">
        <v>226</v>
      </c>
      <c r="C39" s="28">
        <v>24.39</v>
      </c>
      <c r="D39" t="s">
        <v>118</v>
      </c>
      <c r="E39" t="s">
        <v>593</v>
      </c>
      <c r="F39" s="28">
        <f ca="1">apuestas_may24[[#This Row],[Apuesta Miniporra]]-$B$3</f>
        <v>-6.009999999999998</v>
      </c>
      <c r="G39" s="68">
        <f ca="1">ABS(apuestas_may24[[#This Row],[desvio]])/$B$3</f>
        <v>0.19769736842105257</v>
      </c>
      <c r="H39" s="4">
        <f ca="1">_xlfn.RANK.EQ(apuestas_may24[[#This Row],[desvio %]],apuestas_may24[desvio %],1)</f>
        <v>29</v>
      </c>
      <c r="J39" s="66" t="s">
        <v>563</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563</v>
      </c>
      <c r="B40" t="s">
        <v>788</v>
      </c>
      <c r="C40" s="28">
        <v>23.7</v>
      </c>
      <c r="D40" t="s">
        <v>623</v>
      </c>
      <c r="E40" t="s">
        <v>624</v>
      </c>
      <c r="F40" s="28">
        <f ca="1">apuestas_may24[[#This Row],[Apuesta Miniporra]]-$B$3</f>
        <v>-6.6999999999999993</v>
      </c>
      <c r="G40" s="68">
        <f ca="1">ABS(apuestas_may24[[#This Row],[desvio]])/$B$3</f>
        <v>0.22039473684210525</v>
      </c>
      <c r="H40" s="4">
        <f ca="1">_xlfn.RANK.EQ(apuestas_may24[[#This Row],[desvio %]],apuestas_may24[desvio %],1)</f>
        <v>30</v>
      </c>
      <c r="J40" s="66" t="s">
        <v>563</v>
      </c>
      <c r="K40" s="4">
        <f ca="1">INDEX(apuestas_may24[orden],MATCH(resultados_may[Apuesta MiniPorra],apuestas_may24[Apuesta Miniporra],0))</f>
        <v>30</v>
      </c>
      <c r="L40" s="63" t="str">
        <f>apuestas_may24[[#This Row],[Nombre]]</f>
        <v>Gabino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563</v>
      </c>
      <c r="B41" t="s">
        <v>411</v>
      </c>
      <c r="C41" s="28">
        <v>22.02</v>
      </c>
      <c r="D41" t="s">
        <v>604</v>
      </c>
      <c r="E41" t="s">
        <v>112</v>
      </c>
      <c r="F41" s="28">
        <f ca="1">apuestas_may24[[#This Row],[Apuesta Miniporra]]-$B$3</f>
        <v>-8.379999999999999</v>
      </c>
      <c r="G41" s="68">
        <f ca="1">ABS(apuestas_may24[[#This Row],[desvio]])/$B$3</f>
        <v>0.2756578947368421</v>
      </c>
      <c r="H41" s="4">
        <f ca="1">_xlfn.RANK.EQ(apuestas_may24[[#This Row],[desvio %]],apuestas_may24[desvio %],1)</f>
        <v>33</v>
      </c>
      <c r="J41" s="66" t="s">
        <v>563</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563</v>
      </c>
      <c r="B42" t="s">
        <v>363</v>
      </c>
      <c r="C42" s="28">
        <v>21.6</v>
      </c>
      <c r="D42" t="s">
        <v>595</v>
      </c>
      <c r="E42" t="s">
        <v>76</v>
      </c>
      <c r="F42" s="28">
        <f ca="1">apuestas_may24[[#This Row],[Apuesta Miniporra]]-$B$3</f>
        <v>-8.7999999999999972</v>
      </c>
      <c r="G42" s="68">
        <f ca="1">ABS(apuestas_may24[[#This Row],[desvio]])/$B$3</f>
        <v>0.28947368421052622</v>
      </c>
      <c r="H42" s="4">
        <f ca="1">_xlfn.RANK.EQ(apuestas_may24[[#This Row],[desvio %]],apuestas_may24[desvio %],1)</f>
        <v>34</v>
      </c>
      <c r="J42" s="66" t="s">
        <v>563</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563</v>
      </c>
      <c r="B43" t="s">
        <v>653</v>
      </c>
      <c r="C43" s="28">
        <v>18.760000000000002</v>
      </c>
      <c r="D43" t="s">
        <v>565</v>
      </c>
      <c r="E43" t="s">
        <v>566</v>
      </c>
      <c r="F43" s="28">
        <f ca="1">apuestas_may24[[#This Row],[Apuesta Miniporra]]-$B$3</f>
        <v>-11.639999999999997</v>
      </c>
      <c r="G43" s="68">
        <f ca="1">ABS(apuestas_may24[[#This Row],[desvio]])/$B$3</f>
        <v>0.38289473684210518</v>
      </c>
      <c r="H43" s="4">
        <f ca="1">_xlfn.RANK.EQ(apuestas_may24[[#This Row],[desvio %]],apuestas_may24[desvio %],1)</f>
        <v>36</v>
      </c>
      <c r="J43" s="66" t="s">
        <v>563</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563</v>
      </c>
      <c r="B44" t="s">
        <v>648</v>
      </c>
      <c r="C44" s="28">
        <v>18.12</v>
      </c>
      <c r="D44" t="s">
        <v>616</v>
      </c>
      <c r="E44" t="s">
        <v>617</v>
      </c>
      <c r="F44" s="28">
        <f ca="1">apuestas_may24[[#This Row],[Apuesta Miniporra]]-$B$3</f>
        <v>-12.279999999999998</v>
      </c>
      <c r="G44" s="68">
        <f ca="1">ABS(apuestas_may24[[#This Row],[desvio]])/$B$3</f>
        <v>0.40394736842105256</v>
      </c>
      <c r="H44" s="4">
        <f ca="1">_xlfn.RANK.EQ(apuestas_may24[[#This Row],[desvio %]],apuestas_may24[desvio %],1)</f>
        <v>37</v>
      </c>
      <c r="J44" s="66" t="s">
        <v>563</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563</v>
      </c>
      <c r="B45" t="s">
        <v>218</v>
      </c>
      <c r="C45" s="28">
        <v>15.5</v>
      </c>
      <c r="D45" t="s">
        <v>571</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563</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563</v>
      </c>
      <c r="B46" t="s">
        <v>651</v>
      </c>
      <c r="C46" s="28">
        <v>13.1</v>
      </c>
      <c r="D46" t="s">
        <v>632</v>
      </c>
      <c r="E46" t="s">
        <v>633</v>
      </c>
      <c r="F46" s="28">
        <f ca="1">apuestas_may24[[#This Row],[Apuesta Miniporra]]-$B$3</f>
        <v>-17.299999999999997</v>
      </c>
      <c r="G46" s="68">
        <f ca="1">ABS(apuestas_may24[[#This Row],[desvio]])/$B$3</f>
        <v>0.56907894736842102</v>
      </c>
      <c r="H46" s="4">
        <f ca="1">_xlfn.RANK.EQ(apuestas_may24[[#This Row],[desvio %]],apuestas_may24[desvio %],1)</f>
        <v>39</v>
      </c>
      <c r="J46" s="66" t="s">
        <v>563</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563</v>
      </c>
      <c r="B47" t="s">
        <v>225</v>
      </c>
      <c r="C47" s="28">
        <v>11.11</v>
      </c>
      <c r="D47" t="s">
        <v>639</v>
      </c>
      <c r="E47" t="s">
        <v>199</v>
      </c>
      <c r="F47" s="28">
        <f ca="1">apuestas_may24[[#This Row],[Apuesta Miniporra]]-$B$3</f>
        <v>-19.29</v>
      </c>
      <c r="G47" s="68">
        <f ca="1">ABS(apuestas_may24[[#This Row],[desvio]])/$B$3</f>
        <v>0.63453947368421049</v>
      </c>
      <c r="H47" s="4">
        <f ca="1">_xlfn.RANK.EQ(apuestas_may24[[#This Row],[desvio %]],apuestas_may24[desvio %],1)</f>
        <v>41</v>
      </c>
      <c r="J47" s="66" t="s">
        <v>563</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563</v>
      </c>
      <c r="B48" t="s">
        <v>401</v>
      </c>
      <c r="C48" s="28">
        <v>8.8800000000000008</v>
      </c>
      <c r="D48" t="s">
        <v>118</v>
      </c>
      <c r="E48" t="s">
        <v>619</v>
      </c>
      <c r="F48" s="28">
        <f ca="1">apuestas_may24[[#This Row],[Apuesta Miniporra]]-$B$3</f>
        <v>-21.519999999999996</v>
      </c>
      <c r="G48" s="68">
        <f ca="1">ABS(apuestas_may24[[#This Row],[desvio]])/$B$3</f>
        <v>0.70789473684210513</v>
      </c>
      <c r="H48" s="4">
        <f ca="1">_xlfn.RANK.EQ(apuestas_may24[[#This Row],[desvio %]],apuestas_may24[desvio %],1)</f>
        <v>42</v>
      </c>
      <c r="J48" s="66" t="s">
        <v>563</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563</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563</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1">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94" priority="3">
      <formula>$K7=3</formula>
    </cfRule>
    <cfRule type="expression" dxfId="93" priority="4">
      <formula>$K7=2</formula>
    </cfRule>
    <cfRule type="expression" dxfId="92" priority="5">
      <formula>$K7=1</formula>
    </cfRule>
  </conditionalFormatting>
  <conditionalFormatting sqref="C7:C49">
    <cfRule type="duplicateValues" dxfId="91"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C00000"/>
  </sheetPr>
  <dimension ref="A1:Y72"/>
  <sheetViews>
    <sheetView showGridLines="0" zoomScale="115" zoomScaleNormal="115" workbookViewId="0">
      <selection activeCell="B22" sqref="B22"/>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28515625" customWidth="1"/>
    <col min="16" max="16" width="9.28515625" style="4" customWidth="1"/>
    <col min="17" max="17" width="12.42578125"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COUNTA(apuestas_jun24[Mes de apuesta])</f>
        <v>53</v>
      </c>
      <c r="G1" s="15" t="s">
        <v>236</v>
      </c>
      <c r="H1" s="23">
        <v>30</v>
      </c>
      <c r="I1" s="29"/>
      <c r="K1" s="136" t="s">
        <v>546</v>
      </c>
      <c r="L1" s="137"/>
      <c r="M1" s="125" t="s">
        <v>3</v>
      </c>
      <c r="N1" s="131" t="s">
        <v>793</v>
      </c>
      <c r="O1" s="132"/>
      <c r="P1" s="129" t="s">
        <v>4</v>
      </c>
      <c r="Q1" s="130"/>
      <c r="R1" s="151" t="s">
        <v>794</v>
      </c>
      <c r="S1" s="152"/>
      <c r="T1" s="152"/>
      <c r="U1" s="79"/>
      <c r="Y1" s="115"/>
    </row>
    <row r="2" spans="1:25" ht="12" customHeight="1" x14ac:dyDescent="0.2">
      <c r="A2" t="s">
        <v>3</v>
      </c>
      <c r="B2" s="23" t="str">
        <f>A7</f>
        <v>Jun 2024</v>
      </c>
      <c r="C2" s="4" t="s">
        <v>243</v>
      </c>
      <c r="G2" s="15" t="s">
        <v>253</v>
      </c>
      <c r="H2" s="24">
        <f ca="1">TODAY()</f>
        <v>45584</v>
      </c>
      <c r="I2" s="29"/>
      <c r="K2" s="138"/>
      <c r="L2" s="139"/>
      <c r="M2" s="126"/>
      <c r="N2" s="133"/>
      <c r="O2" s="134"/>
      <c r="P2" s="129"/>
      <c r="Q2" s="130"/>
      <c r="R2" s="151"/>
      <c r="S2" s="152"/>
      <c r="T2" s="152"/>
      <c r="U2" s="79"/>
      <c r="Y2" s="115"/>
    </row>
    <row r="3" spans="1:25" ht="12" customHeight="1" x14ac:dyDescent="0.2">
      <c r="A3" t="s">
        <v>229</v>
      </c>
      <c r="B3" s="44">
        <f ca="1">IF(C3="",ROUND(AVERAGE(omie!T5:OFFSET(omie!T5,MATCH(B4,omie_junio[fecha],0)-1,0)),2),C3)</f>
        <v>56.08</v>
      </c>
      <c r="C3" s="65"/>
      <c r="G3" s="115" t="s">
        <v>248</v>
      </c>
      <c r="H3" s="115"/>
      <c r="I3" s="29"/>
      <c r="K3" s="138"/>
      <c r="L3" s="139"/>
      <c r="M3" s="127" t="s">
        <v>13</v>
      </c>
      <c r="N3" s="135">
        <f>H1</f>
        <v>30</v>
      </c>
      <c r="O3" s="135"/>
      <c r="P3" s="128">
        <f ca="1">B3</f>
        <v>56.08</v>
      </c>
      <c r="Q3" s="128"/>
      <c r="R3" s="151"/>
      <c r="S3" s="152"/>
      <c r="T3" s="152"/>
      <c r="U3" s="79"/>
      <c r="Y3" s="115"/>
    </row>
    <row r="4" spans="1:25" ht="12" customHeight="1" x14ac:dyDescent="0.2">
      <c r="A4" t="s">
        <v>6</v>
      </c>
      <c r="B4" s="3">
        <f>DATE(2024,6,H1)</f>
        <v>45473</v>
      </c>
      <c r="G4" t="s">
        <v>247</v>
      </c>
      <c r="H4" s="67">
        <f>[1]omie_dinamic_dia!$G$2</f>
        <v>20</v>
      </c>
      <c r="I4" s="29"/>
      <c r="K4" s="138"/>
      <c r="L4" s="139"/>
      <c r="M4" s="127"/>
      <c r="N4" s="135"/>
      <c r="O4" s="135"/>
      <c r="P4" s="128"/>
      <c r="Q4" s="128"/>
      <c r="R4" s="151"/>
      <c r="S4" s="152"/>
      <c r="T4" s="152"/>
      <c r="U4" s="79"/>
      <c r="Y4" s="115"/>
    </row>
    <row r="5" spans="1:25" ht="12" customHeight="1" x14ac:dyDescent="0.2">
      <c r="A5" t="s">
        <v>15</v>
      </c>
      <c r="B5" s="3">
        <f>MAX(omie_junio[fecha])</f>
        <v>45473</v>
      </c>
      <c r="I5" s="29"/>
      <c r="K5" s="140"/>
      <c r="L5" s="141"/>
      <c r="M5" s="127"/>
      <c r="N5" s="135"/>
      <c r="O5" s="135"/>
      <c r="P5" s="128"/>
      <c r="Q5" s="128"/>
      <c r="R5" s="151"/>
      <c r="S5" s="152"/>
      <c r="T5" s="152"/>
      <c r="U5" s="79"/>
      <c r="Y5" s="115"/>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681</v>
      </c>
      <c r="B7" t="s">
        <v>786</v>
      </c>
      <c r="C7" s="28">
        <v>99.95</v>
      </c>
      <c r="D7" t="s">
        <v>738</v>
      </c>
      <c r="E7" t="s">
        <v>739</v>
      </c>
      <c r="F7" s="28">
        <f ca="1">apuestas_jun24[[#This Row],[Apuesta Miniporra]]-$B$3</f>
        <v>43.870000000000005</v>
      </c>
      <c r="G7" s="68">
        <f ca="1">ABS(apuestas_jun24[[#This Row],[desvio]])/$B$3</f>
        <v>0.78227532097004293</v>
      </c>
      <c r="H7" s="4">
        <f ca="1">_xlfn.RANK.EQ(apuestas_jun24[[#This Row],[desvio %]],apuestas_jun24[desvio %],1)</f>
        <v>53</v>
      </c>
      <c r="J7" s="66" t="s">
        <v>681</v>
      </c>
      <c r="K7" s="10">
        <f ca="1">INDEX(apuestas_jun24[orden],MATCH(resultados_jun[Apuesta MiniPorra],apuestas_jun24[Apuesta Miniporra],0))</f>
        <v>53</v>
      </c>
      <c r="L7" s="6" t="str">
        <f>apuestas_jun24[[#This Row],[Nombre]]</f>
        <v>Jesús Aceituno López</v>
      </c>
      <c r="M7" s="14">
        <f>apuestas_jun24[[#This Row],[Apuesta Miniporra]]</f>
        <v>99.95</v>
      </c>
      <c r="N7" s="14">
        <f ca="1">INDEX(apuestas_jun24[desvio],MATCH(resultados_jun[[#This Row],[Apuesta MiniPorra]],apuestas_jun24[Apuesta Miniporra],0))</f>
        <v>43.870000000000005</v>
      </c>
      <c r="O7" s="13">
        <f ca="1">INDEX(apuestas_jun24[desvio %],MATCH(resultados_jun[[#This Row],[Apuesta MiniPorra]],apuestas_jun24[Apuesta Miniporra],0))</f>
        <v>0.78227532097004293</v>
      </c>
      <c r="P7" s="4">
        <v>1</v>
      </c>
      <c r="Q7" s="28">
        <f>IF(ISBLANK(omie!S5),"",omie!T5)</f>
        <v>1.76</v>
      </c>
      <c r="T7"/>
      <c r="U7"/>
      <c r="X7" s="4"/>
      <c r="Y7" s="4"/>
    </row>
    <row r="8" spans="1:25" x14ac:dyDescent="0.2">
      <c r="A8" t="s">
        <v>681</v>
      </c>
      <c r="B8" t="s">
        <v>650</v>
      </c>
      <c r="C8" s="28">
        <v>86.46</v>
      </c>
      <c r="D8" t="s">
        <v>118</v>
      </c>
      <c r="E8" t="s">
        <v>760</v>
      </c>
      <c r="F8" s="28">
        <f ca="1">apuestas_jun24[[#This Row],[Apuesta Miniporra]]-$B$3</f>
        <v>30.379999999999995</v>
      </c>
      <c r="G8" s="68">
        <f ca="1">ABS(apuestas_jun24[[#This Row],[desvio]])/$B$3</f>
        <v>0.54172610556348066</v>
      </c>
      <c r="H8" s="4">
        <f ca="1">_xlfn.RANK.EQ(apuestas_jun24[[#This Row],[desvio %]],apuestas_jun24[desvio %],1)</f>
        <v>52</v>
      </c>
      <c r="J8" s="66" t="s">
        <v>681</v>
      </c>
      <c r="K8" s="10">
        <f ca="1">INDEX(apuestas_jun24[orden],MATCH(resultados_jun[Apuesta MiniPorra],apuestas_jun24[Apuesta Miniporra],0))</f>
        <v>52</v>
      </c>
      <c r="L8" s="6" t="str">
        <f>apuestas_jun24[[#This Row],[Nombre]]</f>
        <v>Iñaki Moriana García</v>
      </c>
      <c r="M8" s="14">
        <f>apuestas_jun24[[#This Row],[Apuesta Miniporra]]</f>
        <v>86.46</v>
      </c>
      <c r="N8" s="14">
        <f ca="1">INDEX(apuestas_jun24[desvio],MATCH(resultados_jun[[#This Row],[Apuesta MiniPorra]],apuestas_jun24[Apuesta Miniporra],0))</f>
        <v>30.379999999999995</v>
      </c>
      <c r="O8" s="13">
        <f ca="1">INDEX(apuestas_jun24[desvio %],MATCH(resultados_jun[[#This Row],[Apuesta MiniPorra]],apuestas_jun24[Apuesta Miniporra],0))</f>
        <v>0.54172610556348066</v>
      </c>
      <c r="P8" s="4">
        <v>2</v>
      </c>
      <c r="Q8" s="28">
        <f>IF(ISBLANK(omie!S6),"",omie!T6)</f>
        <v>4.26</v>
      </c>
      <c r="R8" s="78"/>
      <c r="S8" s="78"/>
      <c r="T8"/>
      <c r="U8"/>
      <c r="X8" s="4"/>
      <c r="Y8" s="4"/>
    </row>
    <row r="9" spans="1:25" x14ac:dyDescent="0.2">
      <c r="A9" t="s">
        <v>681</v>
      </c>
      <c r="B9" t="s">
        <v>218</v>
      </c>
      <c r="C9" s="28">
        <v>69</v>
      </c>
      <c r="D9" t="s">
        <v>118</v>
      </c>
      <c r="E9" t="s">
        <v>464</v>
      </c>
      <c r="F9" s="28">
        <f ca="1">apuestas_jun24[[#This Row],[Apuesta Miniporra]]-$B$3</f>
        <v>12.920000000000002</v>
      </c>
      <c r="G9" s="68">
        <f ca="1">ABS(apuestas_jun24[[#This Row],[desvio]])/$B$3</f>
        <v>0.23038516405135526</v>
      </c>
      <c r="H9" s="4">
        <f ca="1">_xlfn.RANK.EQ(apuestas_jun24[[#This Row],[desvio %]],apuestas_jun24[desvio %],1)</f>
        <v>38</v>
      </c>
      <c r="J9" s="66" t="s">
        <v>681</v>
      </c>
      <c r="K9" s="10">
        <f ca="1">INDEX(apuestas_jun24[orden],MATCH(resultados_jun[Apuesta MiniPorra],apuestas_jun24[Apuesta Miniporra],0))</f>
        <v>38</v>
      </c>
      <c r="L9" s="6" t="str">
        <f>apuestas_jun24[[#This Row],[Nombre]]</f>
        <v>Jorge Antonio González Sánchez</v>
      </c>
      <c r="M9" s="14">
        <f>apuestas_jun24[[#This Row],[Apuesta Miniporra]]</f>
        <v>69</v>
      </c>
      <c r="N9" s="14">
        <f ca="1">INDEX(apuestas_jun24[desvio],MATCH(resultados_jun[[#This Row],[Apuesta MiniPorra]],apuestas_jun24[Apuesta Miniporra],0))</f>
        <v>12.920000000000002</v>
      </c>
      <c r="O9" s="13">
        <f ca="1">INDEX(apuestas_jun24[desvio %],MATCH(resultados_jun[[#This Row],[Apuesta MiniPorra]],apuestas_jun24[Apuesta Miniporra],0))</f>
        <v>0.23038516405135526</v>
      </c>
      <c r="P9" s="4">
        <v>3</v>
      </c>
      <c r="Q9" s="28">
        <f>IF(ISBLANK(omie!S7),"",omie!T7)</f>
        <v>28.56</v>
      </c>
      <c r="R9" s="78"/>
      <c r="S9" s="78"/>
      <c r="T9" s="28"/>
      <c r="U9"/>
      <c r="X9" s="4"/>
      <c r="Y9" s="4"/>
    </row>
    <row r="10" spans="1:25" x14ac:dyDescent="0.2">
      <c r="A10" t="s">
        <v>681</v>
      </c>
      <c r="B10" t="s">
        <v>785</v>
      </c>
      <c r="C10" s="28">
        <v>63.57</v>
      </c>
      <c r="D10" t="s">
        <v>732</v>
      </c>
      <c r="E10" t="s">
        <v>733</v>
      </c>
      <c r="F10" s="28">
        <f ca="1">apuestas_jun24[[#This Row],[Apuesta Miniporra]]-$B$3</f>
        <v>7.490000000000002</v>
      </c>
      <c r="G10" s="68">
        <f ca="1">ABS(apuestas_jun24[[#This Row],[desvio]])/$B$3</f>
        <v>0.13355920114122685</v>
      </c>
      <c r="H10" s="4">
        <f ca="1">_xlfn.RANK.EQ(apuestas_jun24[[#This Row],[desvio %]],apuestas_jun24[desvio %],1)</f>
        <v>26</v>
      </c>
      <c r="J10" s="66" t="s">
        <v>681</v>
      </c>
      <c r="K10" s="10">
        <f ca="1">INDEX(apuestas_jun24[orden],MATCH(resultados_jun[Apuesta MiniPorra],apuestas_jun24[Apuesta Miniporra],0))</f>
        <v>26</v>
      </c>
      <c r="L10" s="6" t="str">
        <f>apuestas_jun24[[#This Row],[Nombre]]</f>
        <v>Víctor Baeschlin Sánchez</v>
      </c>
      <c r="M10" s="14">
        <f>apuestas_jun24[[#This Row],[Apuesta Miniporra]]</f>
        <v>63.57</v>
      </c>
      <c r="N10" s="14">
        <f ca="1">INDEX(apuestas_jun24[desvio],MATCH(resultados_jun[[#This Row],[Apuesta MiniPorra]],apuestas_jun24[Apuesta Miniporra],0))</f>
        <v>7.490000000000002</v>
      </c>
      <c r="O10" s="13">
        <f ca="1">INDEX(apuestas_jun24[desvio %],MATCH(resultados_jun[[#This Row],[Apuesta MiniPorra]],apuestas_jun24[Apuesta Miniporra],0))</f>
        <v>0.13355920114122685</v>
      </c>
      <c r="P10" s="4">
        <v>4</v>
      </c>
      <c r="Q10" s="28">
        <f>IF(ISBLANK(omie!S8),"",omie!T8)</f>
        <v>87.64</v>
      </c>
      <c r="R10" s="78"/>
      <c r="S10" s="78"/>
      <c r="T10" s="28"/>
      <c r="U10"/>
      <c r="X10" s="4"/>
      <c r="Y10" s="4"/>
    </row>
    <row r="11" spans="1:25" x14ac:dyDescent="0.2">
      <c r="A11" t="s">
        <v>681</v>
      </c>
      <c r="B11" t="s">
        <v>803</v>
      </c>
      <c r="C11" s="28">
        <v>63.18</v>
      </c>
      <c r="D11" t="s">
        <v>804</v>
      </c>
      <c r="E11" t="s">
        <v>805</v>
      </c>
      <c r="F11" s="28">
        <f ca="1">apuestas_jun24[[#This Row],[Apuesta Miniporra]]-$B$3</f>
        <v>7.1000000000000014</v>
      </c>
      <c r="G11" s="68">
        <f ca="1">ABS(apuestas_jun24[[#This Row],[desvio]])/$B$3</f>
        <v>0.12660485021398005</v>
      </c>
      <c r="H11" s="4">
        <f ca="1">_xlfn.RANK.EQ(apuestas_jun24[[#This Row],[desvio %]],apuestas_jun24[desvio %],1)</f>
        <v>25</v>
      </c>
      <c r="J11" s="66" t="s">
        <v>681</v>
      </c>
      <c r="K11" s="10">
        <f ca="1">INDEX(apuestas_jun24[orden],MATCH(resultados_jun[Apuesta MiniPorra],apuestas_jun24[Apuesta Miniporra],0))</f>
        <v>25</v>
      </c>
      <c r="L11" s="6" t="str">
        <f>apuestas_jun24[[#This Row],[Nombre]]</f>
        <v>Jorge González Arconada</v>
      </c>
      <c r="M11" s="14">
        <f>apuestas_jun24[[#This Row],[Apuesta Miniporra]]</f>
        <v>63.18</v>
      </c>
      <c r="N11" s="14">
        <f ca="1">INDEX(apuestas_jun24[desvio],MATCH(resultados_jun[[#This Row],[Apuesta MiniPorra]],apuestas_jun24[Apuesta Miniporra],0))</f>
        <v>7.1000000000000014</v>
      </c>
      <c r="O11" s="13">
        <f ca="1">INDEX(apuestas_jun24[desvio %],MATCH(resultados_jun[[#This Row],[Apuesta MiniPorra]],apuestas_jun24[Apuesta Miniporra],0))</f>
        <v>0.12660485021398005</v>
      </c>
      <c r="P11" s="4">
        <v>5</v>
      </c>
      <c r="Q11" s="28">
        <f>IF(ISBLANK(omie!S9),"",omie!T9)</f>
        <v>93.26</v>
      </c>
      <c r="R11" s="78"/>
      <c r="S11" s="78"/>
      <c r="T11" s="28"/>
      <c r="U11"/>
    </row>
    <row r="12" spans="1:25" x14ac:dyDescent="0.2">
      <c r="A12" t="s">
        <v>681</v>
      </c>
      <c r="B12" t="s">
        <v>784</v>
      </c>
      <c r="C12" s="28">
        <v>60.31</v>
      </c>
      <c r="D12" t="s">
        <v>726</v>
      </c>
      <c r="E12" t="s">
        <v>727</v>
      </c>
      <c r="F12" s="28">
        <f ca="1">apuestas_jun24[[#This Row],[Apuesta Miniporra]]-$B$3</f>
        <v>4.230000000000004</v>
      </c>
      <c r="G12" s="68">
        <f ca="1">ABS(apuestas_jun24[[#This Row],[desvio]])/$B$3</f>
        <v>7.5427960057061413E-2</v>
      </c>
      <c r="H12" s="4">
        <f ca="1">_xlfn.RANK.EQ(apuestas_jun24[[#This Row],[desvio %]],apuestas_jun24[desvio %],1)</f>
        <v>20</v>
      </c>
      <c r="J12" s="66" t="s">
        <v>681</v>
      </c>
      <c r="K12" s="10">
        <f ca="1">INDEX(apuestas_jun24[orden],MATCH(resultados_jun[Apuesta MiniPorra],apuestas_jun24[Apuesta Miniporra],0))</f>
        <v>20</v>
      </c>
      <c r="L12" s="6" t="str">
        <f>apuestas_jun24[[#This Row],[Nombre]]</f>
        <v>Paco Cuadrado</v>
      </c>
      <c r="M12" s="14">
        <f>apuestas_jun24[[#This Row],[Apuesta Miniporra]]</f>
        <v>60.31</v>
      </c>
      <c r="N12" s="14">
        <f ca="1">INDEX(apuestas_jun24[desvio],MATCH(resultados_jun[[#This Row],[Apuesta MiniPorra]],apuestas_jun24[Apuesta Miniporra],0))</f>
        <v>4.230000000000004</v>
      </c>
      <c r="O12" s="13">
        <f ca="1">INDEX(apuestas_jun24[desvio %],MATCH(resultados_jun[[#This Row],[Apuesta MiniPorra]],apuestas_jun24[Apuesta Miniporra],0))</f>
        <v>7.5427960057061413E-2</v>
      </c>
      <c r="P12" s="4">
        <v>6</v>
      </c>
      <c r="Q12" s="28">
        <f>IF(ISBLANK(omie!S10),"",omie!T10)</f>
        <v>93.42</v>
      </c>
      <c r="R12" s="78"/>
      <c r="S12" s="78"/>
      <c r="T12" s="28"/>
      <c r="U12"/>
    </row>
    <row r="13" spans="1:25" x14ac:dyDescent="0.2">
      <c r="A13" t="s">
        <v>681</v>
      </c>
      <c r="B13" t="s">
        <v>403</v>
      </c>
      <c r="C13" s="28">
        <v>60.1</v>
      </c>
      <c r="D13" t="s">
        <v>765</v>
      </c>
      <c r="E13" t="s">
        <v>67</v>
      </c>
      <c r="F13" s="28">
        <f ca="1">apuestas_jun24[[#This Row],[Apuesta Miniporra]]-$B$3</f>
        <v>4.0200000000000031</v>
      </c>
      <c r="G13" s="68">
        <f ca="1">ABS(apuestas_jun24[[#This Row],[desvio]])/$B$3</f>
        <v>7.168330955777466E-2</v>
      </c>
      <c r="H13" s="4">
        <f ca="1">_xlfn.RANK.EQ(apuestas_jun24[[#This Row],[desvio %]],apuestas_jun24[desvio %],1)</f>
        <v>19</v>
      </c>
      <c r="J13" s="66" t="s">
        <v>681</v>
      </c>
      <c r="K13" s="10">
        <f ca="1">INDEX(apuestas_jun24[orden],MATCH(resultados_jun[Apuesta MiniPorra],apuestas_jun24[Apuesta Miniporra],0))</f>
        <v>19</v>
      </c>
      <c r="L13" s="6" t="str">
        <f>apuestas_jun24[[#This Row],[Nombre]]</f>
        <v>Luis Angel Garzon Velasco</v>
      </c>
      <c r="M13" s="14">
        <f>apuestas_jun24[[#This Row],[Apuesta Miniporra]]</f>
        <v>60.1</v>
      </c>
      <c r="N13" s="14">
        <f ca="1">INDEX(apuestas_jun24[desvio],MATCH(resultados_jun[[#This Row],[Apuesta MiniPorra]],apuestas_jun24[Apuesta Miniporra],0))</f>
        <v>4.0200000000000031</v>
      </c>
      <c r="O13" s="13">
        <f ca="1">INDEX(apuestas_jun24[desvio %],MATCH(resultados_jun[[#This Row],[Apuesta MiniPorra]],apuestas_jun24[Apuesta Miniporra],0))</f>
        <v>7.168330955777466E-2</v>
      </c>
      <c r="P13" s="4">
        <v>7</v>
      </c>
      <c r="Q13" s="28">
        <f>IF(ISBLANK(omie!S11),"",omie!T11)</f>
        <v>79.13</v>
      </c>
      <c r="R13" s="78"/>
      <c r="S13" s="78"/>
      <c r="T13" s="28"/>
      <c r="U13"/>
    </row>
    <row r="14" spans="1:25" x14ac:dyDescent="0.2">
      <c r="A14" t="s">
        <v>681</v>
      </c>
      <c r="B14" t="s">
        <v>328</v>
      </c>
      <c r="C14" s="28">
        <v>59</v>
      </c>
      <c r="D14" t="s">
        <v>118</v>
      </c>
      <c r="E14" t="s">
        <v>328</v>
      </c>
      <c r="F14" s="28">
        <f ca="1">apuestas_jun24[[#This Row],[Apuesta Miniporra]]-$B$3</f>
        <v>2.9200000000000017</v>
      </c>
      <c r="G14" s="68">
        <f ca="1">ABS(apuestas_jun24[[#This Row],[desvio]])/$B$3</f>
        <v>5.2068473609129848E-2</v>
      </c>
      <c r="H14" s="4">
        <f ca="1">_xlfn.RANK.EQ(apuestas_jun24[[#This Row],[desvio %]],apuestas_jun24[desvio %],1)</f>
        <v>15</v>
      </c>
      <c r="J14" s="66" t="s">
        <v>681</v>
      </c>
      <c r="K14" s="10">
        <f ca="1">INDEX(apuestas_jun24[orden],MATCH(resultados_jun[Apuesta MiniPorra],apuestas_jun24[Apuesta Miniporra],0))</f>
        <v>15</v>
      </c>
      <c r="L14" s="6" t="str">
        <f>apuestas_jun24[[#This Row],[Nombre]]</f>
        <v>Aitor Folch</v>
      </c>
      <c r="M14" s="14">
        <f>apuestas_jun24[[#This Row],[Apuesta Miniporra]]</f>
        <v>59</v>
      </c>
      <c r="N14" s="14">
        <f ca="1">INDEX(apuestas_jun24[desvio],MATCH(resultados_jun[[#This Row],[Apuesta MiniPorra]],apuestas_jun24[Apuesta Miniporra],0))</f>
        <v>2.9200000000000017</v>
      </c>
      <c r="O14" s="13">
        <f ca="1">INDEX(apuestas_jun24[desvio %],MATCH(resultados_jun[[#This Row],[Apuesta MiniPorra]],apuestas_jun24[Apuesta Miniporra],0))</f>
        <v>5.2068473609129848E-2</v>
      </c>
      <c r="P14" s="4">
        <v>8</v>
      </c>
      <c r="Q14" s="28">
        <f>IF(ISBLANK(omie!S12),"",omie!T12)</f>
        <v>71.42</v>
      </c>
      <c r="R14" s="78"/>
      <c r="S14" s="78"/>
      <c r="T14" s="28"/>
      <c r="U14"/>
    </row>
    <row r="15" spans="1:25" x14ac:dyDescent="0.2">
      <c r="A15" t="s">
        <v>681</v>
      </c>
      <c r="B15" t="s">
        <v>219</v>
      </c>
      <c r="C15" s="28">
        <v>58.88</v>
      </c>
      <c r="D15" t="s">
        <v>118</v>
      </c>
      <c r="E15" t="s">
        <v>142</v>
      </c>
      <c r="F15" s="28">
        <f ca="1">apuestas_jun24[[#This Row],[Apuesta Miniporra]]-$B$3</f>
        <v>2.8000000000000043</v>
      </c>
      <c r="G15" s="68">
        <f ca="1">ABS(apuestas_jun24[[#This Row],[desvio]])/$B$3</f>
        <v>4.992867332382319E-2</v>
      </c>
      <c r="H15" s="4">
        <f ca="1">_xlfn.RANK.EQ(apuestas_jun24[[#This Row],[desvio %]],apuestas_jun24[desvio %],1)</f>
        <v>12</v>
      </c>
      <c r="J15" s="66" t="s">
        <v>681</v>
      </c>
      <c r="K15" s="10">
        <f ca="1">INDEX(apuestas_jun24[orden],MATCH(resultados_jun[Apuesta MiniPorra],apuestas_jun24[Apuesta Miniporra],0))</f>
        <v>12</v>
      </c>
      <c r="L15" s="6" t="str">
        <f>apuestas_jun24[[#This Row],[Nombre]]</f>
        <v>Jaime Larrañaga Juez</v>
      </c>
      <c r="M15" s="14">
        <f>apuestas_jun24[[#This Row],[Apuesta Miniporra]]</f>
        <v>58.88</v>
      </c>
      <c r="N15" s="14">
        <f ca="1">INDEX(apuestas_jun24[desvio],MATCH(resultados_jun[[#This Row],[Apuesta MiniPorra]],apuestas_jun24[Apuesta Miniporra],0))</f>
        <v>2.8000000000000043</v>
      </c>
      <c r="O15" s="13">
        <f ca="1">INDEX(apuestas_jun24[desvio %],MATCH(resultados_jun[[#This Row],[Apuesta MiniPorra]],apuestas_jun24[Apuesta Miniporra],0))</f>
        <v>4.992867332382319E-2</v>
      </c>
      <c r="P15" s="4">
        <v>9</v>
      </c>
      <c r="Q15" s="28">
        <f>IF(ISBLANK(omie!S13),"",omie!T13)</f>
        <v>16.43</v>
      </c>
      <c r="R15" s="78"/>
      <c r="S15" s="78"/>
      <c r="T15" s="28"/>
      <c r="U15"/>
    </row>
    <row r="16" spans="1:25" x14ac:dyDescent="0.2">
      <c r="A16" t="s">
        <v>681</v>
      </c>
      <c r="B16" t="s">
        <v>789</v>
      </c>
      <c r="C16" s="28">
        <v>56.3</v>
      </c>
      <c r="D16" t="s">
        <v>118</v>
      </c>
      <c r="E16" t="s">
        <v>753</v>
      </c>
      <c r="F16" s="28">
        <f ca="1">apuestas_jun24[[#This Row],[Apuesta Miniporra]]-$B$3</f>
        <v>0.21999999999999886</v>
      </c>
      <c r="G16" s="68">
        <f ca="1">ABS(apuestas_jun24[[#This Row],[desvio]])/$B$3</f>
        <v>3.9229671897289386E-3</v>
      </c>
      <c r="H16" s="4">
        <f ca="1">_xlfn.RANK.EQ(apuestas_jun24[[#This Row],[desvio %]],apuestas_jun24[desvio %],1)</f>
        <v>2</v>
      </c>
      <c r="J16" s="66" t="s">
        <v>681</v>
      </c>
      <c r="K16" s="10">
        <f ca="1">INDEX(apuestas_jun24[orden],MATCH(resultados_jun[Apuesta MiniPorra],apuestas_jun24[Apuesta Miniporra],0))</f>
        <v>2</v>
      </c>
      <c r="L16" s="6" t="str">
        <f>apuestas_jun24[[#This Row],[Nombre]]</f>
        <v>Javier Lazaro</v>
      </c>
      <c r="M16" s="14">
        <f>apuestas_jun24[[#This Row],[Apuesta Miniporra]]</f>
        <v>56.3</v>
      </c>
      <c r="N16" s="14">
        <f ca="1">INDEX(apuestas_jun24[desvio],MATCH(resultados_jun[[#This Row],[Apuesta MiniPorra]],apuestas_jun24[Apuesta Miniporra],0))</f>
        <v>0.21999999999999886</v>
      </c>
      <c r="O16" s="13">
        <f ca="1">INDEX(apuestas_jun24[desvio %],MATCH(resultados_jun[[#This Row],[Apuesta MiniPorra]],apuestas_jun24[Apuesta Miniporra],0))</f>
        <v>3.9229671897289386E-3</v>
      </c>
      <c r="P16" s="4">
        <v>10</v>
      </c>
      <c r="Q16" s="28">
        <f>IF(ISBLANK(omie!S14),"",omie!T14)</f>
        <v>44.61</v>
      </c>
      <c r="R16" s="78"/>
      <c r="S16" s="78"/>
      <c r="T16" s="28"/>
      <c r="U16"/>
    </row>
    <row r="17" spans="1:23" x14ac:dyDescent="0.2">
      <c r="A17" t="s">
        <v>681</v>
      </c>
      <c r="B17" t="s">
        <v>791</v>
      </c>
      <c r="C17" s="28">
        <v>56.2</v>
      </c>
      <c r="D17" t="s">
        <v>118</v>
      </c>
      <c r="E17" t="s">
        <v>775</v>
      </c>
      <c r="F17" s="28">
        <f ca="1">apuestas_jun24[[#This Row],[Apuesta Miniporra]]-$B$3</f>
        <v>0.12000000000000455</v>
      </c>
      <c r="G17" s="68">
        <f ca="1">ABS(apuestas_jun24[[#This Row],[desvio]])/$B$3</f>
        <v>2.1398002853067859E-3</v>
      </c>
      <c r="H17" s="4">
        <f ca="1">_xlfn.RANK.EQ(apuestas_jun24[[#This Row],[desvio %]],apuestas_jun24[desvio %],1)</f>
        <v>1</v>
      </c>
      <c r="J17" s="66" t="s">
        <v>681</v>
      </c>
      <c r="K17" s="10">
        <f ca="1">INDEX(apuestas_jun24[orden],MATCH(resultados_jun[Apuesta MiniPorra],apuestas_jun24[Apuesta Miniporra],0))</f>
        <v>1</v>
      </c>
      <c r="L17" s="6" t="str">
        <f>apuestas_jun24[[#This Row],[Nombre]]</f>
        <v>Paco Luis Pérez Zarco</v>
      </c>
      <c r="M17" s="14">
        <f>apuestas_jun24[[#This Row],[Apuesta Miniporra]]</f>
        <v>56.2</v>
      </c>
      <c r="N17" s="14">
        <f ca="1">INDEX(apuestas_jun24[desvio],MATCH(resultados_jun[[#This Row],[Apuesta MiniPorra]],apuestas_jun24[Apuesta Miniporra],0))</f>
        <v>0.12000000000000455</v>
      </c>
      <c r="O17" s="13">
        <f ca="1">INDEX(apuestas_jun24[desvio %],MATCH(resultados_jun[[#This Row],[Apuesta MiniPorra]],apuestas_jun24[Apuesta Miniporra],0))</f>
        <v>2.1398002853067859E-3</v>
      </c>
      <c r="P17" s="4">
        <v>11</v>
      </c>
      <c r="Q17" s="28">
        <f>IF(ISBLANK(omie!S15),"",omie!T15)</f>
        <v>65.48</v>
      </c>
      <c r="R17" s="78"/>
      <c r="S17" s="78"/>
      <c r="T17" s="28"/>
      <c r="U17"/>
    </row>
    <row r="18" spans="1:23" x14ac:dyDescent="0.2">
      <c r="A18" t="s">
        <v>681</v>
      </c>
      <c r="B18" t="s">
        <v>215</v>
      </c>
      <c r="C18" s="28">
        <v>55.55</v>
      </c>
      <c r="D18" t="s">
        <v>118</v>
      </c>
      <c r="E18" t="s">
        <v>103</v>
      </c>
      <c r="F18" s="28">
        <f ca="1">apuestas_jun24[[#This Row],[Apuesta Miniporra]]-$B$3</f>
        <v>-0.53000000000000114</v>
      </c>
      <c r="G18" s="68">
        <f ca="1">ABS(apuestas_jun24[[#This Row],[desvio]])/$B$3</f>
        <v>9.4507845934379657E-3</v>
      </c>
      <c r="H18" s="4">
        <f ca="1">_xlfn.RANK.EQ(apuestas_jun24[[#This Row],[desvio %]],apuestas_jun24[desvio %],1)</f>
        <v>3</v>
      </c>
      <c r="J18" s="66" t="s">
        <v>681</v>
      </c>
      <c r="K18" s="10">
        <f ca="1">INDEX(apuestas_jun24[orden],MATCH(resultados_jun[Apuesta MiniPorra],apuestas_jun24[Apuesta Miniporra],0))</f>
        <v>3</v>
      </c>
      <c r="L18" s="6" t="str">
        <f>apuestas_jun24[[#This Row],[Nombre]]</f>
        <v>Carles Estruch Puig</v>
      </c>
      <c r="M18" s="14">
        <f>apuestas_jun24[[#This Row],[Apuesta Miniporra]]</f>
        <v>55.55</v>
      </c>
      <c r="N18" s="14">
        <f ca="1">INDEX(apuestas_jun24[desvio],MATCH(resultados_jun[[#This Row],[Apuesta MiniPorra]],apuestas_jun24[Apuesta Miniporra],0))</f>
        <v>-0.53000000000000114</v>
      </c>
      <c r="O18" s="13">
        <f ca="1">INDEX(apuestas_jun24[desvio %],MATCH(resultados_jun[[#This Row],[Apuesta MiniPorra]],apuestas_jun24[Apuesta Miniporra],0))</f>
        <v>9.4507845934379657E-3</v>
      </c>
      <c r="P18" s="4">
        <v>12</v>
      </c>
      <c r="Q18" s="28">
        <f>IF(ISBLANK(omie!S16),"",omie!T16)</f>
        <v>55.15</v>
      </c>
      <c r="R18" s="78"/>
      <c r="S18" s="78"/>
      <c r="T18" s="28"/>
      <c r="U18"/>
    </row>
    <row r="19" spans="1:23" x14ac:dyDescent="0.2">
      <c r="A19" t="s">
        <v>681</v>
      </c>
      <c r="B19" t="s">
        <v>653</v>
      </c>
      <c r="C19" s="28">
        <v>55.33</v>
      </c>
      <c r="D19" t="s">
        <v>118</v>
      </c>
      <c r="E19" t="s">
        <v>566</v>
      </c>
      <c r="F19" s="28">
        <f ca="1">apuestas_jun24[[#This Row],[Apuesta Miniporra]]-$B$3</f>
        <v>-0.75</v>
      </c>
      <c r="G19" s="68">
        <f ca="1">ABS(apuestas_jun24[[#This Row],[desvio]])/$B$3</f>
        <v>1.3373751783166904E-2</v>
      </c>
      <c r="H19" s="4">
        <f ca="1">_xlfn.RANK.EQ(apuestas_jun24[[#This Row],[desvio %]],apuestas_jun24[desvio %],1)</f>
        <v>4</v>
      </c>
      <c r="J19" s="66" t="s">
        <v>681</v>
      </c>
      <c r="K19" s="10">
        <f ca="1">INDEX(apuestas_jun24[orden],MATCH(resultados_jun[Apuesta MiniPorra],apuestas_jun24[Apuesta Miniporra],0))</f>
        <v>4</v>
      </c>
      <c r="L19" s="6" t="str">
        <f>apuestas_jun24[[#This Row],[Nombre]]</f>
        <v>Sergio Gallego Bolaños</v>
      </c>
      <c r="M19" s="14">
        <f>apuestas_jun24[[#This Row],[Apuesta Miniporra]]</f>
        <v>55.33</v>
      </c>
      <c r="N19" s="14">
        <f ca="1">INDEX(apuestas_jun24[desvio],MATCH(resultados_jun[[#This Row],[Apuesta MiniPorra]],apuestas_jun24[Apuesta Miniporra],0))</f>
        <v>-0.75</v>
      </c>
      <c r="O19" s="13">
        <f ca="1">INDEX(apuestas_jun24[desvio %],MATCH(resultados_jun[[#This Row],[Apuesta MiniPorra]],apuestas_jun24[Apuesta Miniporra],0))</f>
        <v>1.3373751783166904E-2</v>
      </c>
      <c r="P19" s="4">
        <v>13</v>
      </c>
      <c r="Q19" s="28">
        <f>IF(ISBLANK(omie!S17),"",omie!T17)</f>
        <v>65.22</v>
      </c>
      <c r="R19" s="71"/>
      <c r="S19" s="71"/>
      <c r="T19" s="28"/>
      <c r="U19"/>
    </row>
    <row r="20" spans="1:23" x14ac:dyDescent="0.2">
      <c r="A20" t="s">
        <v>681</v>
      </c>
      <c r="B20" t="s">
        <v>1028</v>
      </c>
      <c r="C20" s="28">
        <v>55.32</v>
      </c>
      <c r="D20" t="s">
        <v>770</v>
      </c>
      <c r="E20" t="s">
        <v>771</v>
      </c>
      <c r="F20" s="28">
        <f ca="1">apuestas_jun24[[#This Row],[Apuesta Miniporra]]-$B$3</f>
        <v>-0.75999999999999801</v>
      </c>
      <c r="G20" s="68">
        <f ca="1">ABS(apuestas_jun24[[#This Row],[desvio]])/$B$3</f>
        <v>1.3552068473609095E-2</v>
      </c>
      <c r="H20" s="4">
        <f ca="1">_xlfn.RANK.EQ(apuestas_jun24[[#This Row],[desvio %]],apuestas_jun24[desvio %],1)</f>
        <v>5</v>
      </c>
      <c r="J20" s="66" t="s">
        <v>681</v>
      </c>
      <c r="K20" s="10">
        <f ca="1">INDEX(apuestas_jun24[orden],MATCH(resultados_jun[Apuesta MiniPorra],apuestas_jun24[Apuesta Miniporra],0))</f>
        <v>5</v>
      </c>
      <c r="L20" s="6" t="str">
        <f>apuestas_jun24[[#This Row],[Nombre]]</f>
        <v>Ricardo Estévez Solís</v>
      </c>
      <c r="M20" s="14">
        <f>apuestas_jun24[[#This Row],[Apuesta Miniporra]]</f>
        <v>55.32</v>
      </c>
      <c r="N20" s="14">
        <f ca="1">INDEX(apuestas_jun24[desvio],MATCH(resultados_jun[[#This Row],[Apuesta MiniPorra]],apuestas_jun24[Apuesta Miniporra],0))</f>
        <v>-0.75999999999999801</v>
      </c>
      <c r="O20" s="13">
        <f ca="1">INDEX(apuestas_jun24[desvio %],MATCH(resultados_jun[[#This Row],[Apuesta MiniPorra]],apuestas_jun24[Apuesta Miniporra],0))</f>
        <v>1.3552068473609095E-2</v>
      </c>
      <c r="P20" s="4">
        <v>14</v>
      </c>
      <c r="Q20" s="28">
        <f>IF(ISBLANK(omie!S18),"",omie!T18)</f>
        <v>43.74</v>
      </c>
      <c r="T20" s="28"/>
      <c r="U20" s="115"/>
      <c r="V20" s="115"/>
      <c r="W20" s="115"/>
    </row>
    <row r="21" spans="1:23" x14ac:dyDescent="0.2">
      <c r="A21" t="s">
        <v>681</v>
      </c>
      <c r="B21" t="s">
        <v>792</v>
      </c>
      <c r="C21" s="28">
        <v>55.3</v>
      </c>
      <c r="D21" t="s">
        <v>118</v>
      </c>
      <c r="E21" t="s">
        <v>664</v>
      </c>
      <c r="F21" s="28">
        <f ca="1">apuestas_jun24[[#This Row],[Apuesta Miniporra]]-$B$3</f>
        <v>-0.78000000000000114</v>
      </c>
      <c r="G21" s="68">
        <f ca="1">ABS(apuestas_jun24[[#This Row],[desvio]])/$B$3</f>
        <v>1.3908701854493602E-2</v>
      </c>
      <c r="H21" s="4">
        <f ca="1">_xlfn.RANK.EQ(apuestas_jun24[[#This Row],[desvio %]],apuestas_jun24[desvio %],1)</f>
        <v>6</v>
      </c>
      <c r="J21" s="66" t="s">
        <v>681</v>
      </c>
      <c r="K21" s="10">
        <f ca="1">INDEX(apuestas_jun24[orden],MATCH(resultados_jun[Apuesta MiniPorra],apuestas_jun24[Apuesta Miniporra],0))</f>
        <v>6</v>
      </c>
      <c r="L21" s="6" t="str">
        <f>apuestas_jun24[[#This Row],[Nombre]]</f>
        <v>Gorka Arratibel Pastor</v>
      </c>
      <c r="M21" s="14">
        <f>apuestas_jun24[[#This Row],[Apuesta Miniporra]]</f>
        <v>55.3</v>
      </c>
      <c r="N21" s="14">
        <f ca="1">INDEX(apuestas_jun24[desvio],MATCH(resultados_jun[[#This Row],[Apuesta MiniPorra]],apuestas_jun24[Apuesta Miniporra],0))</f>
        <v>-0.78000000000000114</v>
      </c>
      <c r="O21" s="13">
        <f ca="1">INDEX(apuestas_jun24[desvio %],MATCH(resultados_jun[[#This Row],[Apuesta MiniPorra]],apuestas_jun24[Apuesta Miniporra],0))</f>
        <v>1.3908701854493602E-2</v>
      </c>
      <c r="P21" s="4">
        <v>15</v>
      </c>
      <c r="Q21" s="28">
        <f>IF(ISBLANK(omie!S19),"",omie!T19)</f>
        <v>19.690000000000001</v>
      </c>
      <c r="T21" s="28"/>
      <c r="U21" s="115"/>
      <c r="V21" s="115"/>
      <c r="W21" s="115"/>
    </row>
    <row r="22" spans="1:23" x14ac:dyDescent="0.2">
      <c r="A22" t="s">
        <v>681</v>
      </c>
      <c r="B22" t="s">
        <v>406</v>
      </c>
      <c r="C22" s="28">
        <v>55</v>
      </c>
      <c r="D22" t="s">
        <v>746</v>
      </c>
      <c r="E22" t="s">
        <v>271</v>
      </c>
      <c r="F22" s="28">
        <f ca="1">apuestas_jun24[[#This Row],[Apuesta Miniporra]]-$B$3</f>
        <v>-1.0799999999999983</v>
      </c>
      <c r="G22" s="68">
        <f ca="1">ABS(apuestas_jun24[[#This Row],[desvio]])/$B$3</f>
        <v>1.9258202567760313E-2</v>
      </c>
      <c r="H22" s="4">
        <f ca="1">_xlfn.RANK.EQ(apuestas_jun24[[#This Row],[desvio %]],apuestas_jun24[desvio %],1)</f>
        <v>7</v>
      </c>
      <c r="J22" s="66" t="s">
        <v>681</v>
      </c>
      <c r="K22" s="10">
        <f ca="1">INDEX(apuestas_jun24[orden],MATCH(resultados_jun[Apuesta MiniPorra],apuestas_jun24[Apuesta Miniporra],0))</f>
        <v>7</v>
      </c>
      <c r="L22" s="6" t="str">
        <f>apuestas_jun24[[#This Row],[Nombre]]</f>
        <v>Javier Pérez Salazar</v>
      </c>
      <c r="M22" s="14">
        <f>apuestas_jun24[[#This Row],[Apuesta Miniporra]]</f>
        <v>55</v>
      </c>
      <c r="N22" s="14">
        <f ca="1">INDEX(apuestas_jun24[desvio],MATCH(resultados_jun[[#This Row],[Apuesta MiniPorra]],apuestas_jun24[Apuesta Miniporra],0))</f>
        <v>-1.0799999999999983</v>
      </c>
      <c r="O22" s="13">
        <f ca="1">INDEX(apuestas_jun24[desvio %],MATCH(resultados_jun[[#This Row],[Apuesta MiniPorra]],apuestas_jun24[Apuesta Miniporra],0))</f>
        <v>1.9258202567760313E-2</v>
      </c>
      <c r="P22" s="4">
        <v>16</v>
      </c>
      <c r="Q22" s="28">
        <f>IF(ISBLANK(omie!S20),"",omie!T20)</f>
        <v>16.12</v>
      </c>
      <c r="T22" s="28"/>
      <c r="U22" s="115"/>
      <c r="V22" s="115"/>
      <c r="W22" s="115"/>
    </row>
    <row r="23" spans="1:23" x14ac:dyDescent="0.2">
      <c r="A23" t="s">
        <v>681</v>
      </c>
      <c r="B23" t="s">
        <v>401</v>
      </c>
      <c r="C23" s="28">
        <v>54.56</v>
      </c>
      <c r="D23" t="s">
        <v>118</v>
      </c>
      <c r="E23" t="s">
        <v>331</v>
      </c>
      <c r="F23" s="28">
        <f ca="1">apuestas_jun24[[#This Row],[Apuesta Miniporra]]-$B$3</f>
        <v>-1.519999999999996</v>
      </c>
      <c r="G23" s="68">
        <f ca="1">ABS(apuestas_jun24[[#This Row],[desvio]])/$B$3</f>
        <v>2.710413694721819E-2</v>
      </c>
      <c r="H23" s="4">
        <f ca="1">_xlfn.RANK.EQ(apuestas_jun24[[#This Row],[desvio %]],apuestas_jun24[desvio %],1)</f>
        <v>8</v>
      </c>
      <c r="J23" s="66" t="s">
        <v>681</v>
      </c>
      <c r="K23" s="10">
        <f ca="1">INDEX(apuestas_jun24[orden],MATCH(resultados_jun[Apuesta MiniPorra],apuestas_jun24[Apuesta Miniporra],0))</f>
        <v>8</v>
      </c>
      <c r="L23" s="6" t="str">
        <f>apuestas_jun24[[#This Row],[Nombre]]</f>
        <v>Juan Pedro Conejo Sanchez</v>
      </c>
      <c r="M23" s="14">
        <f>apuestas_jun24[[#This Row],[Apuesta Miniporra]]</f>
        <v>54.56</v>
      </c>
      <c r="N23" s="14">
        <f ca="1">INDEX(apuestas_jun24[desvio],MATCH(resultados_jun[[#This Row],[Apuesta MiniPorra]],apuestas_jun24[Apuesta Miniporra],0))</f>
        <v>-1.519999999999996</v>
      </c>
      <c r="O23" s="13">
        <f ca="1">INDEX(apuestas_jun24[desvio %],MATCH(resultados_jun[[#This Row],[Apuesta MiniPorra]],apuestas_jun24[Apuesta Miniporra],0))</f>
        <v>2.710413694721819E-2</v>
      </c>
      <c r="P23" s="4">
        <v>17</v>
      </c>
      <c r="Q23" s="28">
        <f>IF(ISBLANK(omie!S21),"",omie!T21)</f>
        <v>29.27</v>
      </c>
      <c r="T23" s="28"/>
      <c r="U23"/>
    </row>
    <row r="24" spans="1:23" x14ac:dyDescent="0.2">
      <c r="A24" t="s">
        <v>681</v>
      </c>
      <c r="B24" t="s">
        <v>412</v>
      </c>
      <c r="C24" s="28">
        <v>54.22</v>
      </c>
      <c r="D24" t="s">
        <v>118</v>
      </c>
      <c r="E24" t="s">
        <v>745</v>
      </c>
      <c r="F24" s="28">
        <f ca="1">apuestas_jun24[[#This Row],[Apuesta Miniporra]]-$B$3</f>
        <v>-1.8599999999999994</v>
      </c>
      <c r="G24" s="68">
        <f ca="1">ABS(apuestas_jun24[[#This Row],[desvio]])/$B$3</f>
        <v>3.3166904422253916E-2</v>
      </c>
      <c r="H24" s="4">
        <f ca="1">_xlfn.RANK.EQ(apuestas_jun24[[#This Row],[desvio %]],apuestas_jun24[desvio %],1)</f>
        <v>9</v>
      </c>
      <c r="J24" s="66" t="s">
        <v>681</v>
      </c>
      <c r="K24" s="10">
        <f ca="1">INDEX(apuestas_jun24[orden],MATCH(resultados_jun[Apuesta MiniPorra],apuestas_jun24[Apuesta Miniporra],0))</f>
        <v>9</v>
      </c>
      <c r="L24" s="6" t="str">
        <f>apuestas_jun24[[#This Row],[Nombre]]</f>
        <v>Jose Manuel Otero López</v>
      </c>
      <c r="M24" s="14">
        <f>apuestas_jun24[[#This Row],[Apuesta Miniporra]]</f>
        <v>54.22</v>
      </c>
      <c r="N24" s="14">
        <f ca="1">INDEX(apuestas_jun24[desvio],MATCH(resultados_jun[[#This Row],[Apuesta MiniPorra]],apuestas_jun24[Apuesta Miniporra],0))</f>
        <v>-1.8599999999999994</v>
      </c>
      <c r="O24" s="13">
        <f ca="1">INDEX(apuestas_jun24[desvio %],MATCH(resultados_jun[[#This Row],[Apuesta MiniPorra]],apuestas_jun24[Apuesta Miniporra],0))</f>
        <v>3.3166904422253916E-2</v>
      </c>
      <c r="P24" s="4">
        <v>18</v>
      </c>
      <c r="Q24" s="28">
        <f>IF(ISBLANK(omie!S22),"",omie!T22)</f>
        <v>56.71</v>
      </c>
      <c r="T24" s="28"/>
      <c r="U24"/>
    </row>
    <row r="25" spans="1:23" x14ac:dyDescent="0.2">
      <c r="A25" t="s">
        <v>681</v>
      </c>
      <c r="B25" t="s">
        <v>787</v>
      </c>
      <c r="C25" s="28">
        <v>53.41</v>
      </c>
      <c r="D25" t="s">
        <v>118</v>
      </c>
      <c r="E25" t="s">
        <v>203</v>
      </c>
      <c r="F25" s="28">
        <f ca="1">apuestas_jun24[[#This Row],[Apuesta Miniporra]]-$B$3</f>
        <v>-2.6700000000000017</v>
      </c>
      <c r="G25" s="68">
        <f ca="1">ABS(apuestas_jun24[[#This Row],[desvio]])/$B$3</f>
        <v>4.7610556348074214E-2</v>
      </c>
      <c r="H25" s="4">
        <f ca="1">_xlfn.RANK.EQ(apuestas_jun24[[#This Row],[desvio %]],apuestas_jun24[desvio %],1)</f>
        <v>10</v>
      </c>
      <c r="J25" s="66" t="s">
        <v>681</v>
      </c>
      <c r="K25" s="10">
        <f ca="1">INDEX(apuestas_jun24[orden],MATCH(resultados_jun[Apuesta MiniPorra],apuestas_jun24[Apuesta Miniporra],0))</f>
        <v>10</v>
      </c>
      <c r="L25" s="6" t="str">
        <f>apuestas_jun24[[#This Row],[Nombre]]</f>
        <v>Alejandro Lopez Fernandez</v>
      </c>
      <c r="M25" s="14">
        <f>apuestas_jun24[[#This Row],[Apuesta Miniporra]]</f>
        <v>53.41</v>
      </c>
      <c r="N25" s="14">
        <f ca="1">INDEX(apuestas_jun24[desvio],MATCH(resultados_jun[[#This Row],[Apuesta MiniPorra]],apuestas_jun24[Apuesta Miniporra],0))</f>
        <v>-2.6700000000000017</v>
      </c>
      <c r="O25" s="13">
        <f ca="1">INDEX(apuestas_jun24[desvio %],MATCH(resultados_jun[[#This Row],[Apuesta MiniPorra]],apuestas_jun24[Apuesta Miniporra],0))</f>
        <v>4.7610556348074214E-2</v>
      </c>
      <c r="P25" s="4">
        <v>19</v>
      </c>
      <c r="Q25" s="28">
        <f>IF(ISBLANK(omie!S23),"",omie!T23)</f>
        <v>76.33</v>
      </c>
      <c r="T25" s="28"/>
      <c r="U25"/>
    </row>
    <row r="26" spans="1:23" x14ac:dyDescent="0.2">
      <c r="A26" t="s">
        <v>681</v>
      </c>
      <c r="B26" t="s">
        <v>788</v>
      </c>
      <c r="C26" s="28">
        <v>53.4</v>
      </c>
      <c r="D26" t="s">
        <v>118</v>
      </c>
      <c r="E26" t="s">
        <v>748</v>
      </c>
      <c r="F26" s="28">
        <f ca="1">apuestas_jun24[[#This Row],[Apuesta Miniporra]]-$B$3</f>
        <v>-2.6799999999999997</v>
      </c>
      <c r="G26" s="68">
        <f ca="1">ABS(apuestas_jun24[[#This Row],[desvio]])/$B$3</f>
        <v>4.7788873038516401E-2</v>
      </c>
      <c r="H26" s="4">
        <f ca="1">_xlfn.RANK.EQ(apuestas_jun24[[#This Row],[desvio %]],apuestas_jun24[desvio %],1)</f>
        <v>11</v>
      </c>
      <c r="J26" s="66" t="s">
        <v>681</v>
      </c>
      <c r="K26" s="10">
        <f ca="1">INDEX(apuestas_jun24[orden],MATCH(resultados_jun[Apuesta MiniPorra],apuestas_jun24[Apuesta Miniporra],0))</f>
        <v>11</v>
      </c>
      <c r="L26" s="6" t="str">
        <f>apuestas_jun24[[#This Row],[Nombre]]</f>
        <v>Gabino Jiménez-Castillo</v>
      </c>
      <c r="M26" s="14">
        <f>apuestas_jun24[[#This Row],[Apuesta Miniporra]]</f>
        <v>53.4</v>
      </c>
      <c r="N26" s="14">
        <f ca="1">INDEX(apuestas_jun24[desvio],MATCH(resultados_jun[[#This Row],[Apuesta MiniPorra]],apuestas_jun24[Apuesta Miniporra],0))</f>
        <v>-2.6799999999999997</v>
      </c>
      <c r="O26" s="13">
        <f ca="1">INDEX(apuestas_jun24[desvio %],MATCH(resultados_jun[[#This Row],[Apuesta MiniPorra]],apuestas_jun24[Apuesta Miniporra],0))</f>
        <v>4.7788873038516401E-2</v>
      </c>
      <c r="P26" s="4">
        <v>20</v>
      </c>
      <c r="Q26" s="28">
        <f>IF(ISBLANK(omie!S24),"",omie!T24)</f>
        <v>90.6</v>
      </c>
      <c r="T26" s="28"/>
      <c r="U26"/>
    </row>
    <row r="27" spans="1:23" x14ac:dyDescent="0.2">
      <c r="A27" t="s">
        <v>681</v>
      </c>
      <c r="B27" t="s">
        <v>335</v>
      </c>
      <c r="C27" s="28">
        <v>53.21</v>
      </c>
      <c r="D27" t="s">
        <v>757</v>
      </c>
      <c r="E27" t="s">
        <v>758</v>
      </c>
      <c r="F27" s="28">
        <f ca="1">apuestas_jun24[[#This Row],[Apuesta Miniporra]]-$B$3</f>
        <v>-2.8699999999999974</v>
      </c>
      <c r="G27" s="68">
        <f ca="1">ABS(apuestas_jun24[[#This Row],[desvio]])/$B$3</f>
        <v>5.117689015691864E-2</v>
      </c>
      <c r="H27" s="4">
        <f ca="1">_xlfn.RANK.EQ(apuestas_jun24[[#This Row],[desvio %]],apuestas_jun24[desvio %],1)</f>
        <v>13</v>
      </c>
      <c r="J27" s="66" t="s">
        <v>681</v>
      </c>
      <c r="K27" s="10">
        <f ca="1">INDEX(apuestas_jun24[orden],MATCH(resultados_jun[Apuesta MiniPorra],apuestas_jun24[Apuesta Miniporra],0))</f>
        <v>13</v>
      </c>
      <c r="L27" s="6" t="str">
        <f>apuestas_jun24[[#This Row],[Nombre]]</f>
        <v>Carlos Callejón</v>
      </c>
      <c r="M27" s="14">
        <f>apuestas_jun24[[#This Row],[Apuesta Miniporra]]</f>
        <v>53.21</v>
      </c>
      <c r="N27" s="14">
        <f ca="1">INDEX(apuestas_jun24[desvio],MATCH(resultados_jun[[#This Row],[Apuesta MiniPorra]],apuestas_jun24[Apuesta Miniporra],0))</f>
        <v>-2.8699999999999974</v>
      </c>
      <c r="O27" s="13">
        <f ca="1">INDEX(apuestas_jun24[desvio %],MATCH(resultados_jun[[#This Row],[Apuesta MiniPorra]],apuestas_jun24[Apuesta Miniporra],0))</f>
        <v>5.117689015691864E-2</v>
      </c>
      <c r="P27" s="4">
        <v>21</v>
      </c>
      <c r="Q27" s="28">
        <f>IF(ISBLANK(omie!S25),"",omie!T25)</f>
        <v>85.92</v>
      </c>
      <c r="T27" s="28"/>
      <c r="U27"/>
    </row>
    <row r="28" spans="1:23" x14ac:dyDescent="0.2">
      <c r="A28" t="s">
        <v>681</v>
      </c>
      <c r="B28" t="s">
        <v>414</v>
      </c>
      <c r="C28" s="28">
        <v>53.2</v>
      </c>
      <c r="D28" t="s">
        <v>118</v>
      </c>
      <c r="E28" t="s">
        <v>300</v>
      </c>
      <c r="F28" s="28">
        <f ca="1">apuestas_jun24[[#This Row],[Apuesta Miniporra]]-$B$3</f>
        <v>-2.8799999999999955</v>
      </c>
      <c r="G28" s="68">
        <f ca="1">ABS(apuestas_jun24[[#This Row],[desvio]])/$B$3</f>
        <v>5.1355206847360835E-2</v>
      </c>
      <c r="H28" s="4">
        <f ca="1">_xlfn.RANK.EQ(apuestas_jun24[[#This Row],[desvio %]],apuestas_jun24[desvio %],1)</f>
        <v>14</v>
      </c>
      <c r="J28" s="66" t="s">
        <v>681</v>
      </c>
      <c r="K28" s="10">
        <f ca="1">INDEX(apuestas_jun24[orden],MATCH(resultados_jun[Apuesta MiniPorra],apuestas_jun24[Apuesta Miniporra],0))</f>
        <v>14</v>
      </c>
      <c r="L28" s="6" t="str">
        <f>apuestas_jun24[[#This Row],[Nombre]]</f>
        <v>Laura Gómez López</v>
      </c>
      <c r="M28" s="14">
        <f>apuestas_jun24[[#This Row],[Apuesta Miniporra]]</f>
        <v>53.2</v>
      </c>
      <c r="N28" s="14">
        <f ca="1">INDEX(apuestas_jun24[desvio],MATCH(resultados_jun[[#This Row],[Apuesta MiniPorra]],apuestas_jun24[Apuesta Miniporra],0))</f>
        <v>-2.8799999999999955</v>
      </c>
      <c r="O28" s="13">
        <f ca="1">INDEX(apuestas_jun24[desvio %],MATCH(resultados_jun[[#This Row],[Apuesta MiniPorra]],apuestas_jun24[Apuesta Miniporra],0))</f>
        <v>5.1355206847360835E-2</v>
      </c>
      <c r="P28" s="4">
        <v>22</v>
      </c>
      <c r="Q28" s="28">
        <f>IF(ISBLANK(omie!S26),"",omie!T26)</f>
        <v>42.91</v>
      </c>
      <c r="T28" s="28"/>
      <c r="U28"/>
    </row>
    <row r="29" spans="1:23" x14ac:dyDescent="0.2">
      <c r="A29" t="s">
        <v>681</v>
      </c>
      <c r="B29" t="s">
        <v>381</v>
      </c>
      <c r="C29" s="28">
        <v>52.95</v>
      </c>
      <c r="D29" t="s">
        <v>694</v>
      </c>
      <c r="E29" t="s">
        <v>37</v>
      </c>
      <c r="F29" s="28">
        <f ca="1">apuestas_jun24[[#This Row],[Apuesta Miniporra]]-$B$3</f>
        <v>-3.1299999999999955</v>
      </c>
      <c r="G29" s="68">
        <f ca="1">ABS(apuestas_jun24[[#This Row],[desvio]])/$B$3</f>
        <v>5.5813124108416469E-2</v>
      </c>
      <c r="H29" s="4">
        <f ca="1">_xlfn.RANK.EQ(apuestas_jun24[[#This Row],[desvio %]],apuestas_jun24[desvio %],1)</f>
        <v>16</v>
      </c>
      <c r="J29" s="66" t="s">
        <v>681</v>
      </c>
      <c r="K29" s="10">
        <f ca="1">INDEX(apuestas_jun24[orden],MATCH(resultados_jun[Apuesta MiniPorra],apuestas_jun24[Apuesta Miniporra],0))</f>
        <v>16</v>
      </c>
      <c r="L29" s="6" t="str">
        <f>apuestas_jun24[[#This Row],[Nombre]]</f>
        <v>Roberto Cavero García</v>
      </c>
      <c r="M29" s="14">
        <f>apuestas_jun24[[#This Row],[Apuesta Miniporra]]</f>
        <v>52.95</v>
      </c>
      <c r="N29" s="14">
        <f ca="1">INDEX(apuestas_jun24[desvio],MATCH(resultados_jun[[#This Row],[Apuesta MiniPorra]],apuestas_jun24[Apuesta Miniporra],0))</f>
        <v>-3.1299999999999955</v>
      </c>
      <c r="O29" s="13">
        <f ca="1">INDEX(apuestas_jun24[desvio %],MATCH(resultados_jun[[#This Row],[Apuesta MiniPorra]],apuestas_jun24[Apuesta Miniporra],0))</f>
        <v>5.5813124108416469E-2</v>
      </c>
      <c r="P29" s="4">
        <v>23</v>
      </c>
      <c r="Q29" s="28">
        <f>IF(ISBLANK(omie!S27),"",omie!T27)</f>
        <v>26.76</v>
      </c>
      <c r="T29" s="28"/>
      <c r="U29"/>
    </row>
    <row r="30" spans="1:23" x14ac:dyDescent="0.2">
      <c r="A30" t="s">
        <v>681</v>
      </c>
      <c r="B30" t="s">
        <v>409</v>
      </c>
      <c r="C30" s="28">
        <v>52.5</v>
      </c>
      <c r="D30" t="s">
        <v>762</v>
      </c>
      <c r="E30" t="s">
        <v>462</v>
      </c>
      <c r="F30" s="28">
        <f ca="1">apuestas_jun24[[#This Row],[Apuesta Miniporra]]-$B$3</f>
        <v>-3.5799999999999983</v>
      </c>
      <c r="G30" s="68">
        <f ca="1">ABS(apuestas_jun24[[#This Row],[desvio]])/$B$3</f>
        <v>6.3837375178316669E-2</v>
      </c>
      <c r="H30" s="4">
        <f ca="1">_xlfn.RANK.EQ(apuestas_jun24[[#This Row],[desvio %]],apuestas_jun24[desvio %],1)</f>
        <v>17</v>
      </c>
      <c r="J30" s="66" t="s">
        <v>681</v>
      </c>
      <c r="K30" s="10">
        <f ca="1">INDEX(apuestas_jun24[orden],MATCH(resultados_jun[Apuesta MiniPorra],apuestas_jun24[Apuesta Miniporra],0))</f>
        <v>17</v>
      </c>
      <c r="L30" s="6" t="str">
        <f>apuestas_jun24[[#This Row],[Nombre]]</f>
        <v>Gladys Rocha Blanco</v>
      </c>
      <c r="M30" s="14">
        <f>apuestas_jun24[[#This Row],[Apuesta Miniporra]]</f>
        <v>52.5</v>
      </c>
      <c r="N30" s="14">
        <f ca="1">INDEX(apuestas_jun24[desvio],MATCH(resultados_jun[[#This Row],[Apuesta MiniPorra]],apuestas_jun24[Apuesta Miniporra],0))</f>
        <v>-3.5799999999999983</v>
      </c>
      <c r="O30" s="13">
        <f ca="1">INDEX(apuestas_jun24[desvio %],MATCH(resultados_jun[[#This Row],[Apuesta MiniPorra]],apuestas_jun24[Apuesta Miniporra],0))</f>
        <v>6.3837375178316669E-2</v>
      </c>
      <c r="P30" s="4">
        <v>24</v>
      </c>
      <c r="Q30" s="28">
        <f>IF(ISBLANK(omie!S28),"",omie!T28)</f>
        <v>41.15</v>
      </c>
      <c r="T30" s="28"/>
      <c r="U30"/>
    </row>
    <row r="31" spans="1:23" x14ac:dyDescent="0.2">
      <c r="A31" t="s">
        <v>681</v>
      </c>
      <c r="B31" t="s">
        <v>404</v>
      </c>
      <c r="C31" s="28">
        <v>52.24</v>
      </c>
      <c r="D31" t="s">
        <v>801</v>
      </c>
      <c r="E31" t="s">
        <v>802</v>
      </c>
      <c r="F31" s="28">
        <f ca="1">apuestas_jun24[[#This Row],[Apuesta Miniporra]]-$B$3</f>
        <v>-3.8399999999999963</v>
      </c>
      <c r="G31" s="68">
        <f ca="1">ABS(apuestas_jun24[[#This Row],[desvio]])/$B$3</f>
        <v>6.8473609129814483E-2</v>
      </c>
      <c r="H31" s="4">
        <f ca="1">_xlfn.RANK.EQ(apuestas_jun24[[#This Row],[desvio %]],apuestas_jun24[desvio %],1)</f>
        <v>18</v>
      </c>
      <c r="J31" s="66" t="s">
        <v>681</v>
      </c>
      <c r="K31" s="10">
        <f ca="1">INDEX(apuestas_jun24[orden],MATCH(resultados_jun[Apuesta MiniPorra],apuestas_jun24[Apuesta Miniporra],0))</f>
        <v>18</v>
      </c>
      <c r="L31" s="6" t="str">
        <f>apuestas_jun24[[#This Row],[Nombre]]</f>
        <v>Juan Luis Jarillo Gómez</v>
      </c>
      <c r="M31" s="14">
        <f>apuestas_jun24[[#This Row],[Apuesta Miniporra]]</f>
        <v>52.24</v>
      </c>
      <c r="N31" s="14">
        <f ca="1">INDEX(apuestas_jun24[desvio],MATCH(resultados_jun[[#This Row],[Apuesta MiniPorra]],apuestas_jun24[Apuesta Miniporra],0))</f>
        <v>-3.8399999999999963</v>
      </c>
      <c r="O31" s="13">
        <f ca="1">INDEX(apuestas_jun24[desvio %],MATCH(resultados_jun[[#This Row],[Apuesta MiniPorra]],apuestas_jun24[Apuesta Miniporra],0))</f>
        <v>6.8473609129814483E-2</v>
      </c>
      <c r="P31" s="4">
        <v>25</v>
      </c>
      <c r="Q31" s="28">
        <f>IF(ISBLANK(omie!S29),"",omie!T29)</f>
        <v>70.069999999999993</v>
      </c>
      <c r="T31" s="28"/>
      <c r="U31"/>
    </row>
    <row r="32" spans="1:23" ht="11.45" customHeight="1" x14ac:dyDescent="0.2">
      <c r="A32" t="s">
        <v>681</v>
      </c>
      <c r="B32" t="s">
        <v>652</v>
      </c>
      <c r="C32" s="28">
        <v>51.49</v>
      </c>
      <c r="D32" t="s">
        <v>118</v>
      </c>
      <c r="E32" t="s">
        <v>637</v>
      </c>
      <c r="F32" s="28">
        <f ca="1">apuestas_jun24[[#This Row],[Apuesta Miniporra]]-$B$3</f>
        <v>-4.5899999999999963</v>
      </c>
      <c r="G32" s="68">
        <f ca="1">ABS(apuestas_jun24[[#This Row],[desvio]])/$B$3</f>
        <v>8.1847360912981393E-2</v>
      </c>
      <c r="H32" s="4">
        <f ca="1">_xlfn.RANK.EQ(apuestas_jun24[[#This Row],[desvio %]],apuestas_jun24[desvio %],1)</f>
        <v>21</v>
      </c>
      <c r="J32" s="66" t="s">
        <v>681</v>
      </c>
      <c r="K32" s="10">
        <f ca="1">INDEX(apuestas_jun24[orden],MATCH(resultados_jun[Apuesta MiniPorra],apuestas_jun24[Apuesta Miniporra],0))</f>
        <v>21</v>
      </c>
      <c r="L32" s="6" t="str">
        <f>apuestas_jun24[[#This Row],[Nombre]]</f>
        <v>Carlos Martin</v>
      </c>
      <c r="M32" s="14">
        <f>apuestas_jun24[[#This Row],[Apuesta Miniporra]]</f>
        <v>51.49</v>
      </c>
      <c r="N32" s="14">
        <f ca="1">INDEX(apuestas_jun24[desvio],MATCH(resultados_jun[[#This Row],[Apuesta MiniPorra]],apuestas_jun24[Apuesta Miniporra],0))</f>
        <v>-4.5899999999999963</v>
      </c>
      <c r="O32" s="13">
        <f ca="1">INDEX(apuestas_jun24[desvio %],MATCH(resultados_jun[[#This Row],[Apuesta MiniPorra]],apuestas_jun24[Apuesta Miniporra],0))</f>
        <v>8.1847360912981393E-2</v>
      </c>
      <c r="P32" s="4">
        <v>26</v>
      </c>
      <c r="Q32" s="28">
        <f>IF(ISBLANK(omie!S30),"",omie!T30)</f>
        <v>97.17</v>
      </c>
      <c r="T32" s="28"/>
      <c r="U32"/>
    </row>
    <row r="33" spans="1:21" x14ac:dyDescent="0.2">
      <c r="A33" t="s">
        <v>681</v>
      </c>
      <c r="B33" t="s">
        <v>336</v>
      </c>
      <c r="C33" s="28">
        <v>51.4</v>
      </c>
      <c r="D33" t="s">
        <v>807</v>
      </c>
      <c r="E33" t="s">
        <v>2</v>
      </c>
      <c r="F33" s="28">
        <f ca="1">apuestas_jun24[[#This Row],[Apuesta Miniporra]]-$B$3</f>
        <v>-4.68</v>
      </c>
      <c r="G33" s="68">
        <f ca="1">ABS(apuestas_jun24[[#This Row],[desvio]])/$B$3</f>
        <v>8.3452211126961481E-2</v>
      </c>
      <c r="H33" s="4">
        <f ca="1">_xlfn.RANK.EQ(apuestas_jun24[[#This Row],[desvio %]],apuestas_jun24[desvio %],1)</f>
        <v>22</v>
      </c>
      <c r="J33" s="66" t="s">
        <v>681</v>
      </c>
      <c r="K33" s="10">
        <f ca="1">INDEX(apuestas_jun24[orden],MATCH(resultados_jun[Apuesta MiniPorra],apuestas_jun24[Apuesta Miniporra],0))</f>
        <v>22</v>
      </c>
      <c r="L33" s="6" t="str">
        <f>apuestas_jun24[[#This Row],[Nombre]]</f>
        <v>Javier Revuelta Alonso</v>
      </c>
      <c r="M33" s="14">
        <f>apuestas_jun24[[#This Row],[Apuesta Miniporra]]</f>
        <v>51.4</v>
      </c>
      <c r="N33" s="14">
        <f ca="1">INDEX(apuestas_jun24[desvio],MATCH(resultados_jun[[#This Row],[Apuesta MiniPorra]],apuestas_jun24[Apuesta Miniporra],0))</f>
        <v>-4.68</v>
      </c>
      <c r="O33" s="13">
        <f ca="1">INDEX(apuestas_jun24[desvio %],MATCH(resultados_jun[[#This Row],[Apuesta MiniPorra]],apuestas_jun24[Apuesta Miniporra],0))</f>
        <v>8.3452211126961481E-2</v>
      </c>
      <c r="P33" s="4">
        <v>27</v>
      </c>
      <c r="Q33" s="28">
        <f>IF(ISBLANK(omie!S31),"",omie!T31)</f>
        <v>89.1</v>
      </c>
      <c r="T33" s="28"/>
      <c r="U33"/>
    </row>
    <row r="34" spans="1:21" x14ac:dyDescent="0.2">
      <c r="A34" t="s">
        <v>681</v>
      </c>
      <c r="B34" t="s">
        <v>225</v>
      </c>
      <c r="C34" s="28">
        <v>50.8</v>
      </c>
      <c r="D34" t="s">
        <v>764</v>
      </c>
      <c r="E34" t="s">
        <v>199</v>
      </c>
      <c r="F34" s="28">
        <f ca="1">apuestas_jun24[[#This Row],[Apuesta Miniporra]]-$B$3</f>
        <v>-5.2800000000000011</v>
      </c>
      <c r="G34" s="68">
        <f ca="1">ABS(apuestas_jun24[[#This Row],[desvio]])/$B$3</f>
        <v>9.4151212553495026E-2</v>
      </c>
      <c r="H34" s="4">
        <f ca="1">_xlfn.RANK.EQ(apuestas_jun24[[#This Row],[desvio %]],apuestas_jun24[desvio %],1)</f>
        <v>23</v>
      </c>
      <c r="J34" s="66" t="s">
        <v>681</v>
      </c>
      <c r="K34" s="10">
        <f ca="1">INDEX(apuestas_jun24[orden],MATCH(resultados_jun[Apuesta MiniPorra],apuestas_jun24[Apuesta Miniporra],0))</f>
        <v>23</v>
      </c>
      <c r="L34" s="6" t="str">
        <f>apuestas_jun24[[#This Row],[Nombre]]</f>
        <v>Elena Muñoz Vioque</v>
      </c>
      <c r="M34" s="14">
        <f>apuestas_jun24[[#This Row],[Apuesta Miniporra]]</f>
        <v>50.8</v>
      </c>
      <c r="N34" s="14">
        <f ca="1">INDEX(apuestas_jun24[desvio],MATCH(resultados_jun[[#This Row],[Apuesta MiniPorra]],apuestas_jun24[Apuesta Miniporra],0))</f>
        <v>-5.2800000000000011</v>
      </c>
      <c r="O34" s="13">
        <f ca="1">INDEX(apuestas_jun24[desvio %],MATCH(resultados_jun[[#This Row],[Apuesta MiniPorra]],apuestas_jun24[Apuesta Miniporra],0))</f>
        <v>9.4151212553495026E-2</v>
      </c>
      <c r="P34" s="4">
        <v>28</v>
      </c>
      <c r="Q34" s="28">
        <f>IF(ISBLANK(omie!S32),"",omie!T32)</f>
        <v>82.04</v>
      </c>
      <c r="T34" s="28"/>
      <c r="U34"/>
    </row>
    <row r="35" spans="1:21" x14ac:dyDescent="0.2">
      <c r="A35" t="s">
        <v>681</v>
      </c>
      <c r="B35" t="s">
        <v>543</v>
      </c>
      <c r="C35" s="28">
        <v>49.29</v>
      </c>
      <c r="D35" t="s">
        <v>806</v>
      </c>
      <c r="E35" t="s">
        <v>351</v>
      </c>
      <c r="F35" s="28">
        <f ca="1">apuestas_jun24[[#This Row],[Apuesta Miniporra]]-$B$3</f>
        <v>-6.7899999999999991</v>
      </c>
      <c r="G35" s="68">
        <f ca="1">ABS(apuestas_jun24[[#This Row],[desvio]])/$B$3</f>
        <v>0.12107703281027103</v>
      </c>
      <c r="H35" s="4">
        <f ca="1">_xlfn.RANK.EQ(apuestas_jun24[[#This Row],[desvio %]],apuestas_jun24[desvio %],1)</f>
        <v>24</v>
      </c>
      <c r="J35" s="66" t="s">
        <v>681</v>
      </c>
      <c r="K35" s="10">
        <f ca="1">INDEX(apuestas_jun24[orden],MATCH(resultados_jun[Apuesta MiniPorra],apuestas_jun24[Apuesta Miniporra],0))</f>
        <v>24</v>
      </c>
      <c r="L35" s="6" t="str">
        <f>apuestas_jun24[[#This Row],[Nombre]]</f>
        <v>Roberto Parro Cortés</v>
      </c>
      <c r="M35" s="14">
        <f>apuestas_jun24[[#This Row],[Apuesta Miniporra]]</f>
        <v>49.29</v>
      </c>
      <c r="N35" s="14">
        <f ca="1">INDEX(apuestas_jun24[desvio],MATCH(resultados_jun[[#This Row],[Apuesta MiniPorra]],apuestas_jun24[Apuesta Miniporra],0))</f>
        <v>-6.7899999999999991</v>
      </c>
      <c r="O35" s="13">
        <f ca="1">INDEX(apuestas_jun24[desvio %],MATCH(resultados_jun[[#This Row],[Apuesta MiniPorra]],apuestas_jun24[Apuesta Miniporra],0))</f>
        <v>0.12107703281027103</v>
      </c>
      <c r="P35" s="4">
        <v>29</v>
      </c>
      <c r="Q35" s="28">
        <f>IF(ISBLANK(omie!S33),"",omie!T33)</f>
        <v>50.54</v>
      </c>
      <c r="T35" s="28"/>
      <c r="U35"/>
    </row>
    <row r="36" spans="1:21" x14ac:dyDescent="0.2">
      <c r="A36" t="s">
        <v>681</v>
      </c>
      <c r="B36" t="s">
        <v>364</v>
      </c>
      <c r="C36" s="28">
        <v>48.01</v>
      </c>
      <c r="D36" t="s">
        <v>118</v>
      </c>
      <c r="E36" t="s">
        <v>357</v>
      </c>
      <c r="F36" s="28">
        <f ca="1">apuestas_jun24[[#This Row],[Apuesta Miniporra]]-$B$3</f>
        <v>-8.07</v>
      </c>
      <c r="G36" s="68">
        <f ca="1">ABS(apuestas_jun24[[#This Row],[desvio]])/$B$3</f>
        <v>0.14390156918687591</v>
      </c>
      <c r="H36" s="4">
        <f ca="1">_xlfn.RANK.EQ(apuestas_jun24[[#This Row],[desvio %]],apuestas_jun24[desvio %],1)</f>
        <v>27</v>
      </c>
      <c r="J36" s="66" t="s">
        <v>681</v>
      </c>
      <c r="K36" s="4">
        <f ca="1">INDEX(apuestas_jun24[orden],MATCH(resultados_jun[Apuesta MiniPorra],apuestas_jun24[Apuesta Miniporra],0))</f>
        <v>27</v>
      </c>
      <c r="L36" s="63" t="str">
        <f>apuestas_jun24[[#This Row],[Nombre]]</f>
        <v>Marcos Fortea Escolano</v>
      </c>
      <c r="M36" s="28">
        <f>apuestas_jun24[[#This Row],[Apuesta Miniporra]]</f>
        <v>48.01</v>
      </c>
      <c r="N36" s="4">
        <f ca="1">INDEX(apuestas_jun24[desvio],MATCH(resultados_jun[[#This Row],[Apuesta MiniPorra]],apuestas_jun24[Apuesta Miniporra],0))</f>
        <v>-8.07</v>
      </c>
      <c r="O36" s="13">
        <f ca="1">INDEX(apuestas_jun24[desvio %],MATCH(resultados_jun[[#This Row],[Apuesta MiniPorra]],apuestas_jun24[Apuesta Miniporra],0))</f>
        <v>0.14390156918687591</v>
      </c>
      <c r="P36" s="4">
        <v>30</v>
      </c>
      <c r="Q36" s="28">
        <f>IF(ISBLANK(omie!S34),"",omie!T34)</f>
        <v>57.94</v>
      </c>
      <c r="T36"/>
      <c r="U36"/>
    </row>
    <row r="37" spans="1:21" x14ac:dyDescent="0.2">
      <c r="A37" t="s">
        <v>681</v>
      </c>
      <c r="B37" t="s">
        <v>222</v>
      </c>
      <c r="C37" s="28">
        <v>47.82</v>
      </c>
      <c r="D37" t="s">
        <v>799</v>
      </c>
      <c r="E37" t="s">
        <v>178</v>
      </c>
      <c r="F37" s="28">
        <f ca="1">apuestas_jun24[[#This Row],[Apuesta Miniporra]]-$B$3</f>
        <v>-8.259999999999998</v>
      </c>
      <c r="G37" s="68">
        <f ca="1">ABS(apuestas_jun24[[#This Row],[desvio]])/$B$3</f>
        <v>0.14728958630527814</v>
      </c>
      <c r="H37" s="4">
        <f ca="1">_xlfn.RANK.EQ(apuestas_jun24[[#This Row],[desvio %]],apuestas_jun24[desvio %],1)</f>
        <v>28</v>
      </c>
      <c r="J37" s="66" t="s">
        <v>681</v>
      </c>
      <c r="K37" s="4">
        <f ca="1">INDEX(apuestas_jun24[orden],MATCH(resultados_jun[Apuesta MiniPorra],apuestas_jun24[Apuesta Miniporra],0))</f>
        <v>28</v>
      </c>
      <c r="L37" s="63" t="str">
        <f>apuestas_jun24[[#This Row],[Nombre]]</f>
        <v>Jose F Vidal</v>
      </c>
      <c r="M37" s="28">
        <f>apuestas_jun24[[#This Row],[Apuesta Miniporra]]</f>
        <v>47.82</v>
      </c>
      <c r="N37" s="4">
        <f ca="1">INDEX(apuestas_jun24[desvio],MATCH(resultados_jun[[#This Row],[Apuesta MiniPorra]],apuestas_jun24[Apuesta Miniporra],0))</f>
        <v>-8.259999999999998</v>
      </c>
      <c r="O37" s="13">
        <f ca="1">INDEX(apuestas_jun24[desvio %],MATCH(resultados_jun[[#This Row],[Apuesta MiniPorra]],apuestas_jun24[Apuesta Miniporra],0))</f>
        <v>0.14728958630527814</v>
      </c>
      <c r="Q37" s="78"/>
      <c r="T37"/>
      <c r="U37"/>
    </row>
    <row r="38" spans="1:21" x14ac:dyDescent="0.2">
      <c r="A38" t="s">
        <v>681</v>
      </c>
      <c r="B38" t="s">
        <v>407</v>
      </c>
      <c r="C38" s="28">
        <v>46.66</v>
      </c>
      <c r="D38" t="s">
        <v>118</v>
      </c>
      <c r="E38" t="s">
        <v>151</v>
      </c>
      <c r="F38" s="28">
        <f ca="1">apuestas_jun24[[#This Row],[Apuesta Miniporra]]-$B$3</f>
        <v>-9.4200000000000017</v>
      </c>
      <c r="G38" s="68">
        <f ca="1">ABS(apuestas_jun24[[#This Row],[desvio]])/$B$3</f>
        <v>0.16797432239657636</v>
      </c>
      <c r="H38" s="4">
        <f ca="1">_xlfn.RANK.EQ(apuestas_jun24[[#This Row],[desvio %]],apuestas_jun24[desvio %],1)</f>
        <v>29</v>
      </c>
      <c r="J38" s="66" t="s">
        <v>681</v>
      </c>
      <c r="K38" s="4">
        <f ca="1">INDEX(apuestas_jun24[orden],MATCH(resultados_jun[Apuesta MiniPorra],apuestas_jun24[Apuesta Miniporra],0))</f>
        <v>29</v>
      </c>
      <c r="L38" s="63" t="str">
        <f>apuestas_jun24[[#This Row],[Nombre]]</f>
        <v>Vicente Fayos Gavila</v>
      </c>
      <c r="M38" s="28">
        <f>apuestas_jun24[[#This Row],[Apuesta Miniporra]]</f>
        <v>46.66</v>
      </c>
      <c r="N38" s="4">
        <f ca="1">INDEX(apuestas_jun24[desvio],MATCH(resultados_jun[[#This Row],[Apuesta MiniPorra]],apuestas_jun24[Apuesta Miniporra],0))</f>
        <v>-9.4200000000000017</v>
      </c>
      <c r="O38" s="13">
        <f ca="1">INDEX(apuestas_jun24[desvio %],MATCH(resultados_jun[[#This Row],[Apuesta MiniPorra]],apuestas_jun24[Apuesta Miniporra],0))</f>
        <v>0.16797432239657636</v>
      </c>
      <c r="P38" s="78"/>
      <c r="Q38" s="78"/>
      <c r="U38" s="42"/>
    </row>
    <row r="39" spans="1:21" x14ac:dyDescent="0.2">
      <c r="A39" t="s">
        <v>681</v>
      </c>
      <c r="B39" t="s">
        <v>242</v>
      </c>
      <c r="C39" s="28">
        <v>46.5</v>
      </c>
      <c r="D39" t="s">
        <v>711</v>
      </c>
      <c r="E39" t="s">
        <v>242</v>
      </c>
      <c r="F39" s="28">
        <f ca="1">apuestas_jun24[[#This Row],[Apuesta Miniporra]]-$B$3</f>
        <v>-9.5799999999999983</v>
      </c>
      <c r="G39" s="68">
        <f ca="1">ABS(apuestas_jun24[[#This Row],[desvio]])/$B$3</f>
        <v>0.17082738944365189</v>
      </c>
      <c r="H39" s="4">
        <f ca="1">_xlfn.RANK.EQ(apuestas_jun24[[#This Row],[desvio %]],apuestas_jun24[desvio %],1)</f>
        <v>30</v>
      </c>
      <c r="J39" s="66" t="s">
        <v>681</v>
      </c>
      <c r="K39" s="4">
        <f ca="1">INDEX(apuestas_jun24[orden],MATCH(resultados_jun[Apuesta MiniPorra],apuestas_jun24[Apuesta Miniporra],0))</f>
        <v>30</v>
      </c>
      <c r="L39" s="63" t="str">
        <f>apuestas_jun24[[#This Row],[Nombre]]</f>
        <v>Javier Espelta</v>
      </c>
      <c r="M39" s="28">
        <f>apuestas_jun24[[#This Row],[Apuesta Miniporra]]</f>
        <v>46.5</v>
      </c>
      <c r="N39" s="4">
        <f ca="1">INDEX(apuestas_jun24[desvio],MATCH(resultados_jun[[#This Row],[Apuesta MiniPorra]],apuestas_jun24[Apuesta Miniporra],0))</f>
        <v>-9.5799999999999983</v>
      </c>
      <c r="O39" s="13">
        <f ca="1">INDEX(apuestas_jun24[desvio %],MATCH(resultados_jun[[#This Row],[Apuesta MiniPorra]],apuestas_jun24[Apuesta Miniporra],0))</f>
        <v>0.17082738944365189</v>
      </c>
      <c r="P39" s="78"/>
      <c r="Q39" s="78"/>
      <c r="U39" s="42"/>
    </row>
    <row r="40" spans="1:21" x14ac:dyDescent="0.2">
      <c r="A40" t="s">
        <v>681</v>
      </c>
      <c r="B40" t="s">
        <v>542</v>
      </c>
      <c r="C40" s="28">
        <v>44.45</v>
      </c>
      <c r="D40" t="s">
        <v>715</v>
      </c>
      <c r="E40" t="s">
        <v>542</v>
      </c>
      <c r="F40" s="28">
        <f ca="1">apuestas_jun24[[#This Row],[Apuesta Miniporra]]-$B$3</f>
        <v>-11.629999999999995</v>
      </c>
      <c r="G40" s="68">
        <f ca="1">ABS(apuestas_jun24[[#This Row],[desvio]])/$B$3</f>
        <v>0.20738231098430807</v>
      </c>
      <c r="H40" s="4">
        <f ca="1">_xlfn.RANK.EQ(apuestas_jun24[[#This Row],[desvio %]],apuestas_jun24[desvio %],1)</f>
        <v>31</v>
      </c>
      <c r="J40" s="66" t="s">
        <v>681</v>
      </c>
      <c r="K40" s="4">
        <f ca="1">INDEX(apuestas_jun24[orden],MATCH(resultados_jun[Apuesta MiniPorra],apuestas_jun24[Apuesta Miniporra],0))</f>
        <v>31</v>
      </c>
      <c r="L40" s="63" t="str">
        <f>apuestas_jun24[[#This Row],[Nombre]]</f>
        <v>Sergio Alfonso</v>
      </c>
      <c r="M40" s="28">
        <f>apuestas_jun24[[#This Row],[Apuesta Miniporra]]</f>
        <v>44.45</v>
      </c>
      <c r="N40" s="4">
        <f ca="1">INDEX(apuestas_jun24[desvio],MATCH(resultados_jun[[#This Row],[Apuesta MiniPorra]],apuestas_jun24[Apuesta Miniporra],0))</f>
        <v>-11.629999999999995</v>
      </c>
      <c r="O40" s="13">
        <f ca="1">INDEX(apuestas_jun24[desvio %],MATCH(resultados_jun[[#This Row],[Apuesta MiniPorra]],apuestas_jun24[Apuesta Miniporra],0))</f>
        <v>0.20738231098430807</v>
      </c>
      <c r="P40" s="78"/>
      <c r="Q40" s="78"/>
      <c r="U40" s="42"/>
    </row>
    <row r="41" spans="1:21" x14ac:dyDescent="0.2">
      <c r="A41" t="s">
        <v>681</v>
      </c>
      <c r="B41" t="s">
        <v>337</v>
      </c>
      <c r="C41" s="28">
        <v>44.44</v>
      </c>
      <c r="D41" t="s">
        <v>728</v>
      </c>
      <c r="E41" t="s">
        <v>309</v>
      </c>
      <c r="F41" s="28">
        <f ca="1">apuestas_jun24[[#This Row],[Apuesta Miniporra]]-$B$3</f>
        <v>-11.64</v>
      </c>
      <c r="G41" s="68">
        <f ca="1">ABS(apuestas_jun24[[#This Row],[desvio]])/$B$3</f>
        <v>0.20756062767475036</v>
      </c>
      <c r="H41" s="4">
        <f ca="1">_xlfn.RANK.EQ(apuestas_jun24[[#This Row],[desvio %]],apuestas_jun24[desvio %],1)</f>
        <v>32</v>
      </c>
      <c r="J41" s="66" t="s">
        <v>681</v>
      </c>
      <c r="K41" s="4">
        <f ca="1">INDEX(apuestas_jun24[orden],MATCH(resultados_jun[Apuesta MiniPorra],apuestas_jun24[Apuesta Miniporra],0))</f>
        <v>32</v>
      </c>
      <c r="L41" s="63" t="str">
        <f>apuestas_jun24[[#This Row],[Nombre]]</f>
        <v>Francisco Valverde Sánchez</v>
      </c>
      <c r="M41" s="28">
        <f>apuestas_jun24[[#This Row],[Apuesta Miniporra]]</f>
        <v>44.44</v>
      </c>
      <c r="N41" s="4">
        <f ca="1">INDEX(apuestas_jun24[desvio],MATCH(resultados_jun[[#This Row],[Apuesta MiniPorra]],apuestas_jun24[Apuesta Miniporra],0))</f>
        <v>-11.64</v>
      </c>
      <c r="O41" s="13">
        <f ca="1">INDEX(apuestas_jun24[desvio %],MATCH(resultados_jun[[#This Row],[Apuesta MiniPorra]],apuestas_jun24[Apuesta Miniporra],0))</f>
        <v>0.20756062767475036</v>
      </c>
      <c r="P41" s="78"/>
      <c r="Q41" s="78"/>
      <c r="U41" s="42"/>
    </row>
    <row r="42" spans="1:21" x14ac:dyDescent="0.2">
      <c r="A42" t="s">
        <v>681</v>
      </c>
      <c r="B42" t="s">
        <v>292</v>
      </c>
      <c r="C42" s="28">
        <v>43.83</v>
      </c>
      <c r="D42" t="s">
        <v>118</v>
      </c>
      <c r="E42" t="s">
        <v>531</v>
      </c>
      <c r="F42" s="28">
        <f ca="1">apuestas_jun24[[#This Row],[Apuesta Miniporra]]-$B$3</f>
        <v>-12.25</v>
      </c>
      <c r="G42" s="68">
        <f ca="1">ABS(apuestas_jun24[[#This Row],[desvio]])/$B$3</f>
        <v>0.21843794579172612</v>
      </c>
      <c r="H42" s="4">
        <f ca="1">_xlfn.RANK.EQ(apuestas_jun24[[#This Row],[desvio %]],apuestas_jun24[desvio %],1)</f>
        <v>33</v>
      </c>
      <c r="J42" s="66" t="s">
        <v>681</v>
      </c>
      <c r="K42" s="4">
        <f ca="1">INDEX(apuestas_jun24[orden],MATCH(resultados_jun[Apuesta MiniPorra],apuestas_jun24[Apuesta Miniporra],0))</f>
        <v>33</v>
      </c>
      <c r="L42" t="str">
        <f>apuestas_jun24[[#This Row],[Nombre]]</f>
        <v>Oscar Mulas Crespo</v>
      </c>
      <c r="M42" s="28">
        <f>apuestas_jun24[[#This Row],[Apuesta Miniporra]]</f>
        <v>43.83</v>
      </c>
      <c r="N42" s="4">
        <f ca="1">INDEX(apuestas_jun24[desvio],MATCH(resultados_jun[[#This Row],[Apuesta MiniPorra]],apuestas_jun24[Apuesta Miniporra],0))</f>
        <v>-12.25</v>
      </c>
      <c r="O42" s="13">
        <f ca="1">INDEX(apuestas_jun24[desvio %],MATCH(resultados_jun[[#This Row],[Apuesta MiniPorra]],apuestas_jun24[Apuesta Miniporra],0))</f>
        <v>0.21843794579172612</v>
      </c>
      <c r="P42" s="78"/>
      <c r="Q42" s="78"/>
      <c r="U42" s="42"/>
    </row>
    <row r="43" spans="1:21" x14ac:dyDescent="0.2">
      <c r="A43" t="s">
        <v>681</v>
      </c>
      <c r="B43" t="s">
        <v>782</v>
      </c>
      <c r="C43" s="28">
        <v>43.73</v>
      </c>
      <c r="D43" t="s">
        <v>118</v>
      </c>
      <c r="E43" t="s">
        <v>709</v>
      </c>
      <c r="F43" s="28">
        <f ca="1">apuestas_jun24[[#This Row],[Apuesta Miniporra]]-$B$3</f>
        <v>-12.350000000000001</v>
      </c>
      <c r="G43" s="68">
        <f ca="1">ABS(apuestas_jun24[[#This Row],[desvio]])/$B$3</f>
        <v>0.22022111269614839</v>
      </c>
      <c r="H43" s="4">
        <f ca="1">_xlfn.RANK.EQ(apuestas_jun24[[#This Row],[desvio %]],apuestas_jun24[desvio %],1)</f>
        <v>34</v>
      </c>
      <c r="J43" s="66" t="s">
        <v>681</v>
      </c>
      <c r="K43" s="4">
        <f ca="1">INDEX(apuestas_jun24[orden],MATCH(resultados_jun[Apuesta MiniPorra],apuestas_jun24[Apuesta Miniporra],0))</f>
        <v>34</v>
      </c>
      <c r="L43" t="str">
        <f>apuestas_jun24[[#This Row],[Nombre]]</f>
        <v>Sergio García Sanz</v>
      </c>
      <c r="M43" s="28">
        <f>apuestas_jun24[[#This Row],[Apuesta Miniporra]]</f>
        <v>43.73</v>
      </c>
      <c r="N43" s="4">
        <f ca="1">INDEX(apuestas_jun24[desvio],MATCH(resultados_jun[[#This Row],[Apuesta MiniPorra]],apuestas_jun24[Apuesta Miniporra],0))</f>
        <v>-12.350000000000001</v>
      </c>
      <c r="O43" s="13">
        <f ca="1">INDEX(apuestas_jun24[desvio %],MATCH(resultados_jun[[#This Row],[Apuesta MiniPorra]],apuestas_jun24[Apuesta Miniporra],0))</f>
        <v>0.22022111269614839</v>
      </c>
      <c r="P43" s="78"/>
      <c r="Q43" s="78"/>
      <c r="U43" s="42"/>
    </row>
    <row r="44" spans="1:21" x14ac:dyDescent="0.2">
      <c r="A44" t="s">
        <v>681</v>
      </c>
      <c r="B44" t="s">
        <v>645</v>
      </c>
      <c r="C44" s="28">
        <v>43.71</v>
      </c>
      <c r="D44" t="s">
        <v>742</v>
      </c>
      <c r="E44" t="s">
        <v>581</v>
      </c>
      <c r="F44" s="28">
        <f ca="1">apuestas_jun24[[#This Row],[Apuesta Miniporra]]-$B$3</f>
        <v>-12.369999999999997</v>
      </c>
      <c r="G44" s="68">
        <f ca="1">ABS(apuestas_jun24[[#This Row],[desvio]])/$B$3</f>
        <v>0.22057774607703276</v>
      </c>
      <c r="H44" s="4">
        <f ca="1">_xlfn.RANK.EQ(apuestas_jun24[[#This Row],[desvio %]],apuestas_jun24[desvio %],1)</f>
        <v>35</v>
      </c>
      <c r="J44" s="66" t="s">
        <v>681</v>
      </c>
      <c r="K44" s="4">
        <f ca="1">INDEX(apuestas_jun24[orden],MATCH(resultados_jun[Apuesta MiniPorra],apuestas_jun24[Apuesta Miniporra],0))</f>
        <v>35</v>
      </c>
      <c r="L44" t="str">
        <f>apuestas_jun24[[#This Row],[Nombre]]</f>
        <v>Jose Antonio Quidiello Antuña</v>
      </c>
      <c r="M44" s="28">
        <f>apuestas_jun24[[#This Row],[Apuesta Miniporra]]</f>
        <v>43.71</v>
      </c>
      <c r="N44" s="4">
        <f ca="1">INDEX(apuestas_jun24[desvio],MATCH(resultados_jun[[#This Row],[Apuesta MiniPorra]],apuestas_jun24[Apuesta Miniporra],0))</f>
        <v>-12.369999999999997</v>
      </c>
      <c r="O44" s="13">
        <f ca="1">INDEX(apuestas_jun24[desvio %],MATCH(resultados_jun[[#This Row],[Apuesta MiniPorra]],apuestas_jun24[Apuesta Miniporra],0))</f>
        <v>0.22057774607703276</v>
      </c>
      <c r="P44" s="78"/>
      <c r="Q44" s="78"/>
      <c r="U44" s="42"/>
    </row>
    <row r="45" spans="1:21" x14ac:dyDescent="0.2">
      <c r="A45" t="s">
        <v>681</v>
      </c>
      <c r="B45" t="s">
        <v>779</v>
      </c>
      <c r="C45" s="28">
        <v>43.28</v>
      </c>
      <c r="D45" t="s">
        <v>687</v>
      </c>
      <c r="E45" t="s">
        <v>688</v>
      </c>
      <c r="F45" s="28">
        <f ca="1">apuestas_jun24[[#This Row],[Apuesta Miniporra]]-$B$3</f>
        <v>-12.799999999999997</v>
      </c>
      <c r="G45" s="68">
        <f ca="1">ABS(apuestas_jun24[[#This Row],[desvio]])/$B$3</f>
        <v>0.22824536376604845</v>
      </c>
      <c r="H45" s="4">
        <f ca="1">_xlfn.RANK.EQ(apuestas_jun24[[#This Row],[desvio %]],apuestas_jun24[desvio %],1)</f>
        <v>36</v>
      </c>
      <c r="J45" s="66" t="s">
        <v>681</v>
      </c>
      <c r="K45" s="4">
        <f ca="1">INDEX(apuestas_jun24[orden],MATCH(resultados_jun[Apuesta MiniPorra],apuestas_jun24[Apuesta Miniporra],0))</f>
        <v>36</v>
      </c>
      <c r="L45" t="str">
        <f>apuestas_jun24[[#This Row],[Nombre]]</f>
        <v>Javier Fernandez Maza</v>
      </c>
      <c r="M45" s="28">
        <f>apuestas_jun24[[#This Row],[Apuesta Miniporra]]</f>
        <v>43.28</v>
      </c>
      <c r="N45" s="4">
        <f ca="1">INDEX(apuestas_jun24[desvio],MATCH(resultados_jun[[#This Row],[Apuesta MiniPorra]],apuestas_jun24[Apuesta Miniporra],0))</f>
        <v>-12.799999999999997</v>
      </c>
      <c r="O45" s="13">
        <f ca="1">INDEX(apuestas_jun24[desvio %],MATCH(resultados_jun[[#This Row],[Apuesta MiniPorra]],apuestas_jun24[Apuesta Miniporra],0))</f>
        <v>0.22824536376604845</v>
      </c>
      <c r="P45" s="78"/>
      <c r="Q45" s="78"/>
      <c r="U45" s="42"/>
    </row>
    <row r="46" spans="1:21" x14ac:dyDescent="0.2">
      <c r="A46" t="s">
        <v>681</v>
      </c>
      <c r="B46" t="s">
        <v>399</v>
      </c>
      <c r="C46" s="28">
        <v>43.2</v>
      </c>
      <c r="D46" t="s">
        <v>699</v>
      </c>
      <c r="E46" t="s">
        <v>700</v>
      </c>
      <c r="F46" s="28">
        <f ca="1">apuestas_jun24[[#This Row],[Apuesta Miniporra]]-$B$3</f>
        <v>-12.879999999999995</v>
      </c>
      <c r="G46" s="68">
        <f ca="1">ABS(apuestas_jun24[[#This Row],[desvio]])/$B$3</f>
        <v>0.22967189728958623</v>
      </c>
      <c r="H46" s="4">
        <f ca="1">_xlfn.RANK.EQ(apuestas_jun24[[#This Row],[desvio %]],apuestas_jun24[desvio %],1)</f>
        <v>37</v>
      </c>
      <c r="J46" s="66" t="s">
        <v>681</v>
      </c>
      <c r="K46" s="4">
        <f ca="1">INDEX(apuestas_jun24[orden],MATCH(resultados_jun[Apuesta MiniPorra],apuestas_jun24[Apuesta Miniporra],0))</f>
        <v>37</v>
      </c>
      <c r="L46" t="str">
        <f>apuestas_jun24[[#This Row],[Nombre]]</f>
        <v>Sergio Lopez Oliver</v>
      </c>
      <c r="M46" s="28">
        <f>apuestas_jun24[[#This Row],[Apuesta Miniporra]]</f>
        <v>43.2</v>
      </c>
      <c r="N46" s="4">
        <f ca="1">INDEX(apuestas_jun24[desvio],MATCH(resultados_jun[[#This Row],[Apuesta MiniPorra]],apuestas_jun24[Apuesta Miniporra],0))</f>
        <v>-12.879999999999995</v>
      </c>
      <c r="O46" s="13">
        <f ca="1">INDEX(apuestas_jun24[desvio %],MATCH(resultados_jun[[#This Row],[Apuesta MiniPorra]],apuestas_jun24[Apuesta Miniporra],0))</f>
        <v>0.22967189728958623</v>
      </c>
      <c r="P46" s="78"/>
      <c r="Q46" s="78"/>
      <c r="U46" s="42"/>
    </row>
    <row r="47" spans="1:21" x14ac:dyDescent="0.2">
      <c r="A47" t="s">
        <v>681</v>
      </c>
      <c r="B47" t="s">
        <v>474</v>
      </c>
      <c r="C47" s="28">
        <v>42.25</v>
      </c>
      <c r="D47" t="s">
        <v>118</v>
      </c>
      <c r="E47" t="s">
        <v>535</v>
      </c>
      <c r="F47" s="28">
        <f ca="1">apuestas_jun24[[#This Row],[Apuesta Miniporra]]-$B$3</f>
        <v>-13.829999999999998</v>
      </c>
      <c r="G47" s="68">
        <f ca="1">ABS(apuestas_jun24[[#This Row],[desvio]])/$B$3</f>
        <v>0.24661198288159769</v>
      </c>
      <c r="H47" s="4">
        <f ca="1">_xlfn.RANK.EQ(apuestas_jun24[[#This Row],[desvio %]],apuestas_jun24[desvio %],1)</f>
        <v>39</v>
      </c>
      <c r="J47" s="66" t="s">
        <v>681</v>
      </c>
      <c r="K47" s="4">
        <f ca="1">INDEX(apuestas_jun24[orden],MATCH(resultados_jun[Apuesta MiniPorra],apuestas_jun24[Apuesta Miniporra],0))</f>
        <v>39</v>
      </c>
      <c r="L47" t="str">
        <f>apuestas_jun24[[#This Row],[Nombre]]</f>
        <v>Javier Colón Cortegoso</v>
      </c>
      <c r="M47" s="28">
        <f>apuestas_jun24[[#This Row],[Apuesta Miniporra]]</f>
        <v>42.25</v>
      </c>
      <c r="N47" s="4">
        <f ca="1">INDEX(apuestas_jun24[desvio],MATCH(resultados_jun[[#This Row],[Apuesta MiniPorra]],apuestas_jun24[Apuesta Miniporra],0))</f>
        <v>-13.829999999999998</v>
      </c>
      <c r="O47" s="13">
        <f ca="1">INDEX(apuestas_jun24[desvio %],MATCH(resultados_jun[[#This Row],[Apuesta MiniPorra]],apuestas_jun24[Apuesta Miniporra],0))</f>
        <v>0.24661198288159769</v>
      </c>
      <c r="P47" s="78"/>
      <c r="Q47" s="78"/>
      <c r="U47" s="42"/>
    </row>
    <row r="48" spans="1:21" x14ac:dyDescent="0.2">
      <c r="A48" t="s">
        <v>681</v>
      </c>
      <c r="B48" t="s">
        <v>362</v>
      </c>
      <c r="C48" s="28">
        <v>42.11</v>
      </c>
      <c r="D48" t="s">
        <v>118</v>
      </c>
      <c r="E48" t="s">
        <v>213</v>
      </c>
      <c r="F48" s="28">
        <f ca="1">apuestas_jun24[[#This Row],[Apuesta Miniporra]]-$B$3</f>
        <v>-13.969999999999999</v>
      </c>
      <c r="G48" s="68">
        <f ca="1">ABS(apuestas_jun24[[#This Row],[desvio]])/$B$3</f>
        <v>0.24910841654778887</v>
      </c>
      <c r="H48" s="4">
        <f ca="1">_xlfn.RANK.EQ(apuestas_jun24[[#This Row],[desvio %]],apuestas_jun24[desvio %],1)</f>
        <v>40</v>
      </c>
      <c r="J48" s="66" t="s">
        <v>681</v>
      </c>
      <c r="K48" s="4">
        <f ca="1">INDEX(apuestas_jun24[orden],MATCH(resultados_jun[Apuesta MiniPorra],apuestas_jun24[Apuesta Miniporra],0))</f>
        <v>40</v>
      </c>
      <c r="L48" t="str">
        <f>apuestas_jun24[[#This Row],[Nombre]]</f>
        <v>Inés Monroy</v>
      </c>
      <c r="M48" s="28">
        <f>apuestas_jun24[[#This Row],[Apuesta Miniporra]]</f>
        <v>42.11</v>
      </c>
      <c r="N48" s="4">
        <f ca="1">INDEX(apuestas_jun24[desvio],MATCH(resultados_jun[[#This Row],[Apuesta MiniPorra]],apuestas_jun24[Apuesta Miniporra],0))</f>
        <v>-13.969999999999999</v>
      </c>
      <c r="O48" s="13">
        <f ca="1">INDEX(apuestas_jun24[desvio %],MATCH(resultados_jun[[#This Row],[Apuesta MiniPorra]],apuestas_jun24[Apuesta Miniporra],0))</f>
        <v>0.24910841654778887</v>
      </c>
      <c r="P48" s="78"/>
      <c r="Q48" s="78"/>
      <c r="U48" s="42"/>
    </row>
    <row r="49" spans="1:21" x14ac:dyDescent="0.2">
      <c r="A49" t="s">
        <v>681</v>
      </c>
      <c r="B49" t="s">
        <v>363</v>
      </c>
      <c r="C49" s="28">
        <v>42.1</v>
      </c>
      <c r="D49" t="s">
        <v>118</v>
      </c>
      <c r="E49" t="s">
        <v>76</v>
      </c>
      <c r="F49" s="28">
        <f ca="1">apuestas_jun24[[#This Row],[Apuesta Miniporra]]-$B$3</f>
        <v>-13.979999999999997</v>
      </c>
      <c r="G49" s="68">
        <f ca="1">ABS(apuestas_jun24[[#This Row],[desvio]])/$B$3</f>
        <v>0.24928673323823106</v>
      </c>
      <c r="H49" s="4">
        <f ca="1">_xlfn.RANK.EQ(apuestas_jun24[[#This Row],[desvio %]],apuestas_jun24[desvio %],1)</f>
        <v>41</v>
      </c>
      <c r="J49" s="66" t="s">
        <v>681</v>
      </c>
      <c r="K49" s="4">
        <f ca="1">INDEX(apuestas_jun24[orden],MATCH(resultados_jun[Apuesta MiniPorra],apuestas_jun24[Apuesta Miniporra],0))</f>
        <v>41</v>
      </c>
      <c r="L49" t="str">
        <f>apuestas_jun24[[#This Row],[Nombre]]</f>
        <v>Roque Alonso Alonso</v>
      </c>
      <c r="M49" s="28">
        <f>apuestas_jun24[[#This Row],[Apuesta Miniporra]]</f>
        <v>42.1</v>
      </c>
      <c r="N49" s="4">
        <f ca="1">INDEX(apuestas_jun24[desvio],MATCH(resultados_jun[[#This Row],[Apuesta MiniPorra]],apuestas_jun24[Apuesta Miniporra],0))</f>
        <v>-13.979999999999997</v>
      </c>
      <c r="O49" s="71">
        <f ca="1">INDEX(apuestas_jun24[desvio %],MATCH(resultados_jun[[#This Row],[Apuesta MiniPorra]],apuestas_jun24[Apuesta Miniporra],0))</f>
        <v>0.24928673323823106</v>
      </c>
      <c r="P49" s="78"/>
      <c r="Q49" s="78"/>
      <c r="U49" s="42"/>
    </row>
    <row r="50" spans="1:21" x14ac:dyDescent="0.2">
      <c r="A50" t="s">
        <v>681</v>
      </c>
      <c r="B50" t="s">
        <v>408</v>
      </c>
      <c r="C50" s="28">
        <v>41.91</v>
      </c>
      <c r="D50" t="s">
        <v>684</v>
      </c>
      <c r="E50" t="s">
        <v>456</v>
      </c>
      <c r="F50" s="28">
        <f ca="1">apuestas_jun24[[#This Row],[Apuesta Miniporra]]-$B$3</f>
        <v>-14.170000000000002</v>
      </c>
      <c r="G50" s="68">
        <f ca="1">ABS(apuestas_jun24[[#This Row],[desvio]])/$B$3</f>
        <v>0.25267475035663339</v>
      </c>
      <c r="H50" s="4">
        <f ca="1">_xlfn.RANK.EQ(apuestas_jun24[[#This Row],[desvio %]],apuestas_jun24[desvio %],1)</f>
        <v>42</v>
      </c>
      <c r="J50" s="66" t="s">
        <v>681</v>
      </c>
      <c r="K50" s="4">
        <f ca="1">INDEX(apuestas_jun24[orden],MATCH(resultados_jun[Apuesta MiniPorra],apuestas_jun24[Apuesta Miniporra],0))</f>
        <v>42</v>
      </c>
      <c r="L50" t="str">
        <f>apuestas_jun24[[#This Row],[Nombre]]</f>
        <v>Julián Mateo Muñoz</v>
      </c>
      <c r="M50" s="28">
        <f>apuestas_jun24[[#This Row],[Apuesta Miniporra]]</f>
        <v>41.91</v>
      </c>
      <c r="N50" s="4">
        <f ca="1">INDEX(apuestas_jun24[desvio],MATCH(resultados_jun[[#This Row],[Apuesta MiniPorra]],apuestas_jun24[Apuesta Miniporra],0))</f>
        <v>-14.170000000000002</v>
      </c>
      <c r="O50" s="71">
        <f ca="1">INDEX(apuestas_jun24[desvio %],MATCH(resultados_jun[[#This Row],[Apuesta MiniPorra]],apuestas_jun24[Apuesta Miniporra],0))</f>
        <v>0.25267475035663339</v>
      </c>
      <c r="P50" s="78"/>
      <c r="Q50" s="78"/>
      <c r="U50" s="42"/>
    </row>
    <row r="51" spans="1:21" x14ac:dyDescent="0.2">
      <c r="A51" t="s">
        <v>681</v>
      </c>
      <c r="B51" t="s">
        <v>217</v>
      </c>
      <c r="C51" s="28">
        <v>39.93</v>
      </c>
      <c r="D51" t="s">
        <v>118</v>
      </c>
      <c r="E51" t="s">
        <v>123</v>
      </c>
      <c r="F51" s="28">
        <f ca="1">apuestas_jun24[[#This Row],[Apuesta Miniporra]]-$B$3</f>
        <v>-16.149999999999999</v>
      </c>
      <c r="G51" s="68">
        <f ca="1">ABS(apuestas_jun24[[#This Row],[desvio]])/$B$3</f>
        <v>0.28798145506419398</v>
      </c>
      <c r="H51" s="4">
        <f ca="1">_xlfn.RANK.EQ(apuestas_jun24[[#This Row],[desvio %]],apuestas_jun24[desvio %],1)</f>
        <v>43</v>
      </c>
      <c r="J51" s="66" t="s">
        <v>681</v>
      </c>
      <c r="K51" s="4">
        <f ca="1">INDEX(apuestas_jun24[orden],MATCH(resultados_jun[Apuesta MiniPorra],apuestas_jun24[Apuesta Miniporra],0))</f>
        <v>43</v>
      </c>
      <c r="L51" t="str">
        <f>apuestas_jun24[[#This Row],[Nombre]]</f>
        <v>Fernando Sánchez-Rey Maeso</v>
      </c>
      <c r="M51" s="28">
        <f>apuestas_jun24[[#This Row],[Apuesta Miniporra]]</f>
        <v>39.93</v>
      </c>
      <c r="N51" s="4">
        <f ca="1">INDEX(apuestas_jun24[desvio],MATCH(resultados_jun[[#This Row],[Apuesta MiniPorra]],apuestas_jun24[Apuesta Miniporra],0))</f>
        <v>-16.149999999999999</v>
      </c>
      <c r="O51" s="71">
        <f ca="1">INDEX(apuestas_jun24[desvio %],MATCH(resultados_jun[[#This Row],[Apuesta MiniPorra]],apuestas_jun24[Apuesta Miniporra],0))</f>
        <v>0.28798145506419398</v>
      </c>
      <c r="P51" s="78"/>
      <c r="Q51" s="78"/>
      <c r="U51" s="42"/>
    </row>
    <row r="52" spans="1:21" x14ac:dyDescent="0.2">
      <c r="A52" t="s">
        <v>681</v>
      </c>
      <c r="B52" t="s">
        <v>221</v>
      </c>
      <c r="C52" s="28">
        <v>39.590000000000003</v>
      </c>
      <c r="D52" t="s">
        <v>118</v>
      </c>
      <c r="E52" t="s">
        <v>124</v>
      </c>
      <c r="F52" s="28">
        <f ca="1">apuestas_jun24[[#This Row],[Apuesta Miniporra]]-$B$3</f>
        <v>-16.489999999999995</v>
      </c>
      <c r="G52" s="68">
        <f ca="1">ABS(apuestas_jun24[[#This Row],[desvio]])/$B$3</f>
        <v>0.29404422253922957</v>
      </c>
      <c r="H52" s="4">
        <f ca="1">_xlfn.RANK.EQ(apuestas_jun24[[#This Row],[desvio %]],apuestas_jun24[desvio %],1)</f>
        <v>44</v>
      </c>
      <c r="J52" s="66" t="s">
        <v>681</v>
      </c>
      <c r="K52" s="4">
        <f ca="1">INDEX(apuestas_jun24[orden],MATCH(resultados_jun[Apuesta MiniPorra],apuestas_jun24[Apuesta Miniporra],0))</f>
        <v>44</v>
      </c>
      <c r="L52" t="str">
        <f>apuestas_jun24[[#This Row],[Nombre]]</f>
        <v>Alfonso Lezcano</v>
      </c>
      <c r="M52" s="28">
        <f>apuestas_jun24[[#This Row],[Apuesta Miniporra]]</f>
        <v>39.590000000000003</v>
      </c>
      <c r="N52" s="4">
        <f ca="1">INDEX(apuestas_jun24[desvio],MATCH(resultados_jun[[#This Row],[Apuesta MiniPorra]],apuestas_jun24[Apuesta Miniporra],0))</f>
        <v>-16.489999999999995</v>
      </c>
      <c r="O52" s="71">
        <f ca="1">INDEX(apuestas_jun24[desvio %],MATCH(resultados_jun[[#This Row],[Apuesta MiniPorra]],apuestas_jun24[Apuesta Miniporra],0))</f>
        <v>0.29404422253922957</v>
      </c>
      <c r="P52" s="71"/>
      <c r="Q52" s="71"/>
      <c r="U52" s="42"/>
    </row>
    <row r="53" spans="1:21" x14ac:dyDescent="0.2">
      <c r="A53" t="s">
        <v>681</v>
      </c>
      <c r="B53" t="s">
        <v>651</v>
      </c>
      <c r="C53" s="28">
        <v>38.9</v>
      </c>
      <c r="D53" t="s">
        <v>118</v>
      </c>
      <c r="E53" t="s">
        <v>633</v>
      </c>
      <c r="F53" s="28">
        <f ca="1">apuestas_jun24[[#This Row],[Apuesta Miniporra]]-$B$3</f>
        <v>-17.18</v>
      </c>
      <c r="G53" s="68">
        <f ca="1">ABS(apuestas_jun24[[#This Row],[desvio]])/$B$3</f>
        <v>0.30634807417974325</v>
      </c>
      <c r="H53" s="4">
        <f ca="1">_xlfn.RANK.EQ(apuestas_jun24[[#This Row],[desvio %]],apuestas_jun24[desvio %],1)</f>
        <v>45</v>
      </c>
      <c r="J53" s="66" t="s">
        <v>681</v>
      </c>
      <c r="K53" s="4">
        <f ca="1">INDEX(apuestas_jun24[orden],MATCH(resultados_jun[Apuesta MiniPorra],apuestas_jun24[Apuesta Miniporra],0))</f>
        <v>45</v>
      </c>
      <c r="L53" t="str">
        <f>apuestas_jun24[[#This Row],[Nombre]]</f>
        <v>Carlos Martínez García</v>
      </c>
      <c r="M53" s="28">
        <f>apuestas_jun24[[#This Row],[Apuesta Miniporra]]</f>
        <v>38.9</v>
      </c>
      <c r="N53" s="4">
        <f ca="1">INDEX(apuestas_jun24[desvio],MATCH(resultados_jun[[#This Row],[Apuesta MiniPorra]],apuestas_jun24[Apuesta Miniporra],0))</f>
        <v>-17.18</v>
      </c>
      <c r="O53" s="71">
        <f ca="1">INDEX(apuestas_jun24[desvio %],MATCH(resultados_jun[[#This Row],[Apuesta MiniPorra]],apuestas_jun24[Apuesta Miniporra],0))</f>
        <v>0.30634807417974325</v>
      </c>
      <c r="U53" s="42"/>
    </row>
    <row r="54" spans="1:21" x14ac:dyDescent="0.2">
      <c r="A54" t="s">
        <v>681</v>
      </c>
      <c r="B54" t="s">
        <v>780</v>
      </c>
      <c r="C54" s="28">
        <v>38.5</v>
      </c>
      <c r="D54" t="s">
        <v>118</v>
      </c>
      <c r="E54" t="s">
        <v>692</v>
      </c>
      <c r="F54" s="28">
        <f ca="1">apuestas_jun24[[#This Row],[Apuesta Miniporra]]-$B$3</f>
        <v>-17.579999999999998</v>
      </c>
      <c r="G54" s="68">
        <f ca="1">ABS(apuestas_jun24[[#This Row],[desvio]])/$B$3</f>
        <v>0.31348074179743224</v>
      </c>
      <c r="H54" s="4">
        <f ca="1">_xlfn.RANK.EQ(apuestas_jun24[[#This Row],[desvio %]],apuestas_jun24[desvio %],1)</f>
        <v>46</v>
      </c>
      <c r="J54" s="66" t="s">
        <v>681</v>
      </c>
      <c r="K54" s="4">
        <f ca="1">INDEX(apuestas_jun24[orden],MATCH(resultados_jun[Apuesta MiniPorra],apuestas_jun24[Apuesta Miniporra],0))</f>
        <v>46</v>
      </c>
      <c r="L54" t="str">
        <f>apuestas_jun24[[#This Row],[Nombre]]</f>
        <v>Daniel Pérez Carrasco</v>
      </c>
      <c r="M54" s="28">
        <f>apuestas_jun24[[#This Row],[Apuesta Miniporra]]</f>
        <v>38.5</v>
      </c>
      <c r="N54" s="4">
        <f ca="1">INDEX(apuestas_jun24[desvio],MATCH(resultados_jun[[#This Row],[Apuesta MiniPorra]],apuestas_jun24[Apuesta Miniporra],0))</f>
        <v>-17.579999999999998</v>
      </c>
      <c r="O54" s="71">
        <f ca="1">INDEX(apuestas_jun24[desvio %],MATCH(resultados_jun[[#This Row],[Apuesta MiniPorra]],apuestas_jun24[Apuesta Miniporra],0))</f>
        <v>0.31348074179743224</v>
      </c>
      <c r="U54" s="42"/>
    </row>
    <row r="55" spans="1:21" x14ac:dyDescent="0.2">
      <c r="A55" t="s">
        <v>681</v>
      </c>
      <c r="B55" t="s">
        <v>783</v>
      </c>
      <c r="C55" s="28">
        <v>35.880000000000003</v>
      </c>
      <c r="D55" t="s">
        <v>118</v>
      </c>
      <c r="E55" t="s">
        <v>719</v>
      </c>
      <c r="F55" s="28">
        <f ca="1">apuestas_jun24[[#This Row],[Apuesta Miniporra]]-$B$3</f>
        <v>-20.199999999999996</v>
      </c>
      <c r="G55" s="68">
        <f ca="1">ABS(apuestas_jun24[[#This Row],[desvio]])/$B$3</f>
        <v>0.3601997146932952</v>
      </c>
      <c r="H55" s="4">
        <f ca="1">_xlfn.RANK.EQ(apuestas_jun24[[#This Row],[desvio %]],apuestas_jun24[desvio %],1)</f>
        <v>47</v>
      </c>
      <c r="J55" s="66" t="s">
        <v>681</v>
      </c>
      <c r="K55" s="4">
        <f ca="1">INDEX(apuestas_jun24[orden],MATCH(resultados_jun[Apuesta MiniPorra],apuestas_jun24[Apuesta Miniporra],0))</f>
        <v>47</v>
      </c>
      <c r="L55" t="str">
        <f>apuestas_jun24[[#This Row],[Nombre]]</f>
        <v>Ignacio Irigoyen</v>
      </c>
      <c r="M55" s="28">
        <f>apuestas_jun24[[#This Row],[Apuesta Miniporra]]</f>
        <v>35.880000000000003</v>
      </c>
      <c r="N55" s="4">
        <f ca="1">INDEX(apuestas_jun24[desvio],MATCH(resultados_jun[[#This Row],[Apuesta MiniPorra]],apuestas_jun24[Apuesta Miniporra],0))</f>
        <v>-20.199999999999996</v>
      </c>
      <c r="O55" s="71">
        <f ca="1">INDEX(apuestas_jun24[desvio %],MATCH(resultados_jun[[#This Row],[Apuesta MiniPorra]],apuestas_jun24[Apuesta Miniporra],0))</f>
        <v>0.3601997146932952</v>
      </c>
      <c r="U55" s="42"/>
    </row>
    <row r="56" spans="1:21" x14ac:dyDescent="0.2">
      <c r="A56" t="s">
        <v>681</v>
      </c>
      <c r="B56" t="s">
        <v>541</v>
      </c>
      <c r="C56" s="28">
        <v>35.15</v>
      </c>
      <c r="D56" t="s">
        <v>713</v>
      </c>
      <c r="E56" t="s">
        <v>525</v>
      </c>
      <c r="F56" s="28">
        <f ca="1">apuestas_jun24[[#This Row],[Apuesta Miniporra]]-$B$3</f>
        <v>-20.93</v>
      </c>
      <c r="G56" s="68">
        <f ca="1">ABS(apuestas_jun24[[#This Row],[desvio]])/$B$3</f>
        <v>0.37321683309557774</v>
      </c>
      <c r="H56" s="4">
        <f ca="1">_xlfn.RANK.EQ(apuestas_jun24[[#This Row],[desvio %]],apuestas_jun24[desvio %],1)</f>
        <v>48</v>
      </c>
      <c r="J56" s="66" t="s">
        <v>681</v>
      </c>
      <c r="K56" s="4">
        <f ca="1">INDEX(apuestas_jun24[orden],MATCH(resultados_jun[Apuesta MiniPorra],apuestas_jun24[Apuesta Miniporra],0))</f>
        <v>48</v>
      </c>
      <c r="L56" t="str">
        <f>apuestas_jun24[[#This Row],[Nombre]]</f>
        <v>Daniel Reganon</v>
      </c>
      <c r="M56" s="28">
        <f>apuestas_jun24[[#This Row],[Apuesta Miniporra]]</f>
        <v>35.15</v>
      </c>
      <c r="N56" s="4">
        <f ca="1">INDEX(apuestas_jun24[desvio],MATCH(resultados_jun[[#This Row],[Apuesta MiniPorra]],apuestas_jun24[Apuesta Miniporra],0))</f>
        <v>-20.93</v>
      </c>
      <c r="O56" s="71">
        <f ca="1">INDEX(apuestas_jun24[desvio %],MATCH(resultados_jun[[#This Row],[Apuesta MiniPorra]],apuestas_jun24[Apuesta Miniporra],0))</f>
        <v>0.37321683309557774</v>
      </c>
      <c r="U56" s="42"/>
    </row>
    <row r="57" spans="1:21" x14ac:dyDescent="0.2">
      <c r="A57" t="s">
        <v>681</v>
      </c>
      <c r="B57" t="s">
        <v>9</v>
      </c>
      <c r="C57" s="28">
        <v>35</v>
      </c>
      <c r="D57" t="s">
        <v>723</v>
      </c>
      <c r="E57" t="s">
        <v>124</v>
      </c>
      <c r="F57" s="28">
        <f ca="1">apuestas_jun24[[#This Row],[Apuesta Miniporra]]-$B$3</f>
        <v>-21.08</v>
      </c>
      <c r="G57" s="68">
        <f ca="1">ABS(apuestas_jun24[[#This Row],[desvio]])/$B$3</f>
        <v>0.37589158345221113</v>
      </c>
      <c r="H57" s="4">
        <f ca="1">_xlfn.RANK.EQ(apuestas_jun24[[#This Row],[desvio %]],apuestas_jun24[desvio %],1)</f>
        <v>49</v>
      </c>
      <c r="J57" s="66" t="s">
        <v>681</v>
      </c>
      <c r="K57" s="4">
        <f ca="1">INDEX(apuestas_jun24[orden],MATCH(resultados_jun[Apuesta MiniPorra],apuestas_jun24[Apuesta Miniporra],0))</f>
        <v>49</v>
      </c>
      <c r="L57" t="str">
        <f>apuestas_jun24[[#This Row],[Nombre]]</f>
        <v>Alfonso Zárate Conde</v>
      </c>
      <c r="M57" s="28">
        <f>apuestas_jun24[[#This Row],[Apuesta Miniporra]]</f>
        <v>35</v>
      </c>
      <c r="N57" s="4">
        <f ca="1">INDEX(apuestas_jun24[desvio],MATCH(resultados_jun[[#This Row],[Apuesta MiniPorra]],apuestas_jun24[Apuesta Miniporra],0))</f>
        <v>-21.08</v>
      </c>
      <c r="O57" s="71">
        <f ca="1">INDEX(apuestas_jun24[desvio %],MATCH(resultados_jun[[#This Row],[Apuesta MiniPorra]],apuestas_jun24[Apuesta Miniporra],0))</f>
        <v>0.37589158345221113</v>
      </c>
      <c r="U57" s="42"/>
    </row>
    <row r="58" spans="1:21" x14ac:dyDescent="0.2">
      <c r="A58" t="s">
        <v>681</v>
      </c>
      <c r="B58" t="s">
        <v>781</v>
      </c>
      <c r="C58" s="28">
        <v>31.85</v>
      </c>
      <c r="D58" t="s">
        <v>705</v>
      </c>
      <c r="E58" t="s">
        <v>706</v>
      </c>
      <c r="F58" s="28">
        <f ca="1">apuestas_jun24[[#This Row],[Apuesta Miniporra]]-$B$3</f>
        <v>-24.229999999999997</v>
      </c>
      <c r="G58" s="68">
        <f ca="1">ABS(apuestas_jun24[[#This Row],[desvio]])/$B$3</f>
        <v>0.43206134094151211</v>
      </c>
      <c r="H58" s="4">
        <f ca="1">_xlfn.RANK.EQ(apuestas_jun24[[#This Row],[desvio %]],apuestas_jun24[desvio %],1)</f>
        <v>50</v>
      </c>
      <c r="J58" s="66" t="s">
        <v>681</v>
      </c>
      <c r="K58" s="4">
        <f ca="1">INDEX(apuestas_jun24[orden],MATCH(resultados_jun[Apuesta MiniPorra],apuestas_jun24[Apuesta Miniporra],0))</f>
        <v>50</v>
      </c>
      <c r="L58" t="str">
        <f>apuestas_jun24[[#This Row],[Nombre]]</f>
        <v>Jorge Gonzalez Onieva Johansson</v>
      </c>
      <c r="M58" s="28">
        <f>apuestas_jun24[[#This Row],[Apuesta Miniporra]]</f>
        <v>31.85</v>
      </c>
      <c r="N58" s="4">
        <f ca="1">INDEX(apuestas_jun24[desvio],MATCH(resultados_jun[[#This Row],[Apuesta MiniPorra]],apuestas_jun24[Apuesta Miniporra],0))</f>
        <v>-24.229999999999997</v>
      </c>
      <c r="O58" s="71">
        <f ca="1">INDEX(apuestas_jun24[desvio %],MATCH(resultados_jun[[#This Row],[Apuesta MiniPorra]],apuestas_jun24[Apuesta Miniporra],0))</f>
        <v>0.43206134094151211</v>
      </c>
      <c r="U58" s="42"/>
    </row>
    <row r="59" spans="1:21" x14ac:dyDescent="0.2">
      <c r="A59" t="s">
        <v>681</v>
      </c>
      <c r="B59" t="s">
        <v>411</v>
      </c>
      <c r="C59" s="28">
        <v>29.45</v>
      </c>
      <c r="D59" t="s">
        <v>696</v>
      </c>
      <c r="E59" t="s">
        <v>697</v>
      </c>
      <c r="F59" s="28">
        <f ca="1">apuestas_jun24[[#This Row],[Apuesta Miniporra]]-$B$3</f>
        <v>-26.63</v>
      </c>
      <c r="G59" s="68">
        <f ca="1">ABS(apuestas_jun24[[#This Row],[desvio]])/$B$3</f>
        <v>0.47485734664764623</v>
      </c>
      <c r="H59" s="4">
        <f ca="1">_xlfn.RANK.EQ(apuestas_jun24[[#This Row],[desvio %]],apuestas_jun24[desvio %],1)</f>
        <v>51</v>
      </c>
      <c r="J59" s="66" t="s">
        <v>681</v>
      </c>
      <c r="K59" s="4">
        <f ca="1">INDEX(apuestas_jun24[orden],MATCH(resultados_jun[Apuesta MiniPorra],apuestas_jun24[Apuesta Miniporra],0))</f>
        <v>51</v>
      </c>
      <c r="L59" t="str">
        <f>apuestas_jun24[[#This Row],[Nombre]]</f>
        <v>Jonathan Pazmiño Espinoza</v>
      </c>
      <c r="M59" s="28">
        <f>apuestas_jun24[[#This Row],[Apuesta Miniporra]]</f>
        <v>29.45</v>
      </c>
      <c r="N59" s="4">
        <f ca="1">INDEX(apuestas_jun24[desvio],MATCH(resultados_jun[[#This Row],[Apuesta MiniPorra]],apuestas_jun24[Apuesta Miniporra],0))</f>
        <v>-26.63</v>
      </c>
      <c r="O59" s="71">
        <f ca="1">INDEX(apuestas_jun24[desvio %],MATCH(resultados_jun[[#This Row],[Apuesta MiniPorra]],apuestas_jun24[Apuesta Miniporra],0))</f>
        <v>0.47485734664764623</v>
      </c>
      <c r="U59" s="42"/>
    </row>
    <row r="60" spans="1:21" x14ac:dyDescent="0.2">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row r="72" spans="21:21" x14ac:dyDescent="0.2">
      <c r="U72" s="42"/>
    </row>
  </sheetData>
  <mergeCells count="11">
    <mergeCell ref="Y1:Y5"/>
    <mergeCell ref="G3:H3"/>
    <mergeCell ref="M3:M5"/>
    <mergeCell ref="N3:O5"/>
    <mergeCell ref="P3:Q5"/>
    <mergeCell ref="U20:W22"/>
    <mergeCell ref="K1:L5"/>
    <mergeCell ref="M1:M2"/>
    <mergeCell ref="N1:O2"/>
    <mergeCell ref="P1:Q2"/>
    <mergeCell ref="R1:T5"/>
  </mergeCells>
  <phoneticPr fontId="9" type="noConversion"/>
  <conditionalFormatting sqref="P38:Q59 R8:S13 O7:O59 Q37 R17:S26">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9">
    <cfRule type="expression" dxfId="90" priority="3">
      <formula>$K7=3</formula>
    </cfRule>
    <cfRule type="expression" dxfId="89" priority="4">
      <formula>$K7=2</formula>
    </cfRule>
    <cfRule type="expression" dxfId="88" priority="5">
      <formula>$K7=1</formula>
    </cfRule>
  </conditionalFormatting>
  <conditionalFormatting sqref="C7:C59">
    <cfRule type="duplicateValues" dxfId="87" priority="29"/>
  </conditionalFormatting>
  <conditionalFormatting sqref="B7:B59">
    <cfRule type="duplicateValues" dxfId="86" priority="31"/>
  </conditionalFormatting>
  <conditionalFormatting sqref="R8:S13 R17:S26">
    <cfRule type="expression" dxfId="85" priority="37">
      <formula>$K38=3</formula>
    </cfRule>
    <cfRule type="expression" dxfId="84" priority="38">
      <formula>$K38=2</formula>
    </cfRule>
    <cfRule type="expression" dxfId="83" priority="39">
      <formula>$K38=1</formula>
    </cfRule>
  </conditionalFormatting>
  <conditionalFormatting sqref="P38:Q59 Q37">
    <cfRule type="expression" dxfId="82" priority="60">
      <formula>$K34=3</formula>
    </cfRule>
    <cfRule type="expression" dxfId="81" priority="61">
      <formula>$K34=2</formula>
    </cfRule>
    <cfRule type="expression" dxfId="80" priority="62">
      <formula>$K34=1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P38:Q59 R8:S13 O7:O59 Q37 R17:S26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EB95A-00BB-4A5E-AEA7-25E12FE2DF9D}">
  <sheetPr codeName="Hoja17">
    <tabColor rgb="FFC00000"/>
  </sheetPr>
  <dimension ref="A1:Y71"/>
  <sheetViews>
    <sheetView showGridLines="0" zoomScale="115" zoomScaleNormal="115" workbookViewId="0">
      <selection activeCell="L9" sqref="L9"/>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6.85546875" customWidth="1"/>
    <col min="11" max="11" width="9.42578125" customWidth="1"/>
    <col min="12" max="12" width="29.28515625" customWidth="1"/>
    <col min="16" max="16" width="9.28515625" style="4" customWidth="1"/>
    <col min="17"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COUNTA(apuestas_juL24[Mes de apuesta])</f>
        <v>52</v>
      </c>
      <c r="G1" s="15" t="s">
        <v>236</v>
      </c>
      <c r="H1" s="23">
        <v>31</v>
      </c>
      <c r="I1" s="29"/>
      <c r="K1" s="136" t="s">
        <v>546</v>
      </c>
      <c r="L1" s="137"/>
      <c r="M1" s="125" t="s">
        <v>3</v>
      </c>
      <c r="N1" s="131" t="s">
        <v>940</v>
      </c>
      <c r="O1" s="132"/>
      <c r="P1" s="129" t="s">
        <v>4</v>
      </c>
      <c r="Q1" s="130"/>
      <c r="R1" s="151" t="s">
        <v>941</v>
      </c>
      <c r="S1" s="152"/>
      <c r="T1" s="152"/>
      <c r="U1" s="79"/>
      <c r="Y1" s="115"/>
    </row>
    <row r="2" spans="1:25" ht="12" customHeight="1" x14ac:dyDescent="0.2">
      <c r="A2" t="s">
        <v>3</v>
      </c>
      <c r="B2" s="23" t="str">
        <f>A7</f>
        <v>Jul 2024</v>
      </c>
      <c r="C2" s="4" t="s">
        <v>243</v>
      </c>
      <c r="G2" s="15" t="s">
        <v>253</v>
      </c>
      <c r="H2" s="24">
        <f ca="1">TODAY()</f>
        <v>45584</v>
      </c>
      <c r="I2" s="29"/>
      <c r="K2" s="138"/>
      <c r="L2" s="139"/>
      <c r="M2" s="126"/>
      <c r="N2" s="133"/>
      <c r="O2" s="134"/>
      <c r="P2" s="129"/>
      <c r="Q2" s="130"/>
      <c r="R2" s="151"/>
      <c r="S2" s="152"/>
      <c r="T2" s="152"/>
      <c r="U2" s="79"/>
      <c r="Y2" s="115"/>
    </row>
    <row r="3" spans="1:25" ht="12" customHeight="1" x14ac:dyDescent="0.2">
      <c r="A3" t="s">
        <v>229</v>
      </c>
      <c r="B3" s="44">
        <f ca="1">IF(C3="",ROUND(AVERAGE(omie!W5:OFFSET(omie!W5,MATCH(B4,omie_julio[fecha],0)-1,0)),2),C3)</f>
        <v>72.31</v>
      </c>
      <c r="C3" s="65"/>
      <c r="G3" s="115" t="s">
        <v>248</v>
      </c>
      <c r="H3" s="115"/>
      <c r="I3" s="29"/>
      <c r="K3" s="138"/>
      <c r="L3" s="139"/>
      <c r="M3" s="127" t="s">
        <v>13</v>
      </c>
      <c r="N3" s="135">
        <f>H1</f>
        <v>31</v>
      </c>
      <c r="O3" s="135"/>
      <c r="P3" s="128">
        <f ca="1">B3</f>
        <v>72.31</v>
      </c>
      <c r="Q3" s="128"/>
      <c r="R3" s="151"/>
      <c r="S3" s="152"/>
      <c r="T3" s="152"/>
      <c r="U3" s="79"/>
      <c r="Y3" s="115"/>
    </row>
    <row r="4" spans="1:25" ht="12" customHeight="1" x14ac:dyDescent="0.2">
      <c r="A4" t="s">
        <v>6</v>
      </c>
      <c r="B4" s="3">
        <f>DATE(2024,7,H1)</f>
        <v>45504</v>
      </c>
      <c r="G4" t="s">
        <v>247</v>
      </c>
      <c r="H4" s="67">
        <f>[1]omie_dinamic_dia!$G$2</f>
        <v>20</v>
      </c>
      <c r="I4" s="29"/>
      <c r="K4" s="138"/>
      <c r="L4" s="139"/>
      <c r="M4" s="127"/>
      <c r="N4" s="135"/>
      <c r="O4" s="135"/>
      <c r="P4" s="128"/>
      <c r="Q4" s="128"/>
      <c r="R4" s="151"/>
      <c r="S4" s="152"/>
      <c r="T4" s="152"/>
      <c r="U4" s="79"/>
      <c r="Y4" s="115"/>
    </row>
    <row r="5" spans="1:25" ht="12" customHeight="1" x14ac:dyDescent="0.2">
      <c r="A5" t="s">
        <v>15</v>
      </c>
      <c r="B5" s="3">
        <f>MAX(omie_julio[fecha])</f>
        <v>45504</v>
      </c>
      <c r="I5" s="29"/>
      <c r="K5" s="140"/>
      <c r="L5" s="141"/>
      <c r="M5" s="127"/>
      <c r="N5" s="135"/>
      <c r="O5" s="135"/>
      <c r="P5" s="128"/>
      <c r="Q5" s="128"/>
      <c r="R5" s="151"/>
      <c r="S5" s="152"/>
      <c r="T5" s="152"/>
      <c r="U5" s="79"/>
      <c r="Y5" s="115"/>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816</v>
      </c>
      <c r="B7" t="s">
        <v>786</v>
      </c>
      <c r="C7" s="28">
        <v>79.41</v>
      </c>
      <c r="D7" t="s">
        <v>927</v>
      </c>
      <c r="E7" t="s">
        <v>739</v>
      </c>
      <c r="F7" s="28">
        <f ca="1">apuestas_juL24[[#This Row],[Apuesta Miniporra]]-$B$3</f>
        <v>7.0999999999999943</v>
      </c>
      <c r="G7" s="68">
        <f ca="1">ABS(apuestas_juL24[[#This Row],[desvio]])/$B$3</f>
        <v>9.8188355690775747E-2</v>
      </c>
      <c r="H7" s="4">
        <f ca="1">_xlfn.RANK.EQ(apuestas_juL24[[#This Row],[desvio %]],apuestas_juL24[desvio %],1)</f>
        <v>38</v>
      </c>
      <c r="J7" s="66" t="s">
        <v>816</v>
      </c>
      <c r="K7" s="10">
        <f ca="1">INDEX(apuestas_juL24[orden],MATCH(resultados_jul[Apuesta MiniPorra],apuestas_juL24[Apuesta Miniporra],0))</f>
        <v>38</v>
      </c>
      <c r="L7" s="6" t="str">
        <f>apuestas_juL24[[#This Row],[Nombre]]</f>
        <v>Jesús Aceituno López</v>
      </c>
      <c r="M7" s="14">
        <f>apuestas_juL24[[#This Row],[Apuesta Miniporra]]</f>
        <v>79.41</v>
      </c>
      <c r="N7" s="14">
        <f ca="1">INDEX(apuestas_juL24[desvio],MATCH(resultados_jul[[#This Row],[Apuesta MiniPorra]],apuestas_juL24[Apuesta Miniporra],0))</f>
        <v>7.0999999999999943</v>
      </c>
      <c r="O7" s="13">
        <f ca="1">INDEX(apuestas_juL24[desvio %],MATCH(resultados_jul[[#This Row],[Apuesta MiniPorra]],apuestas_juL24[Apuesta Miniporra],0))</f>
        <v>9.8188355690775747E-2</v>
      </c>
      <c r="P7" s="4">
        <v>1</v>
      </c>
      <c r="Q7" s="28">
        <f>IF(ISBLANK(omie!V5),"",omie!W5)</f>
        <v>53.22</v>
      </c>
      <c r="T7"/>
      <c r="U7"/>
      <c r="X7" s="4"/>
      <c r="Y7" s="4"/>
    </row>
    <row r="8" spans="1:25" x14ac:dyDescent="0.2">
      <c r="A8" t="s">
        <v>816</v>
      </c>
      <c r="B8" t="s">
        <v>942</v>
      </c>
      <c r="C8" s="28">
        <v>78.89</v>
      </c>
      <c r="D8" t="s">
        <v>900</v>
      </c>
      <c r="E8" t="s">
        <v>901</v>
      </c>
      <c r="F8" s="28">
        <f ca="1">apuestas_juL24[[#This Row],[Apuesta Miniporra]]-$B$3</f>
        <v>6.5799999999999983</v>
      </c>
      <c r="G8" s="68">
        <f ca="1">ABS(apuestas_juL24[[#This Row],[desvio]])/$B$3</f>
        <v>9.099709583736687E-2</v>
      </c>
      <c r="H8" s="4">
        <f ca="1">_xlfn.RANK.EQ(apuestas_juL24[[#This Row],[desvio %]],apuestas_juL24[desvio %],1)</f>
        <v>33</v>
      </c>
      <c r="J8" s="66" t="s">
        <v>816</v>
      </c>
      <c r="K8" s="10">
        <f ca="1">INDEX(apuestas_juL24[orden],MATCH(resultados_jul[Apuesta MiniPorra],apuestas_juL24[Apuesta Miniporra],0))</f>
        <v>33</v>
      </c>
      <c r="L8" s="6" t="str">
        <f>apuestas_juL24[[#This Row],[Nombre]]</f>
        <v>Rafael Tejada Bonilla</v>
      </c>
      <c r="M8" s="14">
        <f>apuestas_juL24[[#This Row],[Apuesta Miniporra]]</f>
        <v>78.89</v>
      </c>
      <c r="N8" s="14">
        <f ca="1">INDEX(apuestas_juL24[desvio],MATCH(resultados_jul[[#This Row],[Apuesta MiniPorra]],apuestas_juL24[Apuesta Miniporra],0))</f>
        <v>6.5799999999999983</v>
      </c>
      <c r="O8" s="13">
        <f ca="1">INDEX(apuestas_juL24[desvio %],MATCH(resultados_jul[[#This Row],[Apuesta MiniPorra]],apuestas_juL24[Apuesta Miniporra],0))</f>
        <v>9.099709583736687E-2</v>
      </c>
      <c r="P8" s="4">
        <v>2</v>
      </c>
      <c r="Q8" s="28">
        <f>IF(ISBLANK(omie!V6),"",omie!W6)</f>
        <v>46.97</v>
      </c>
      <c r="R8" s="78"/>
      <c r="S8" s="78"/>
      <c r="T8"/>
      <c r="U8"/>
      <c r="X8" s="4"/>
      <c r="Y8" s="4"/>
    </row>
    <row r="9" spans="1:25" x14ac:dyDescent="0.2">
      <c r="A9" t="s">
        <v>816</v>
      </c>
      <c r="B9" t="s">
        <v>785</v>
      </c>
      <c r="C9" s="28">
        <v>78.650000000000006</v>
      </c>
      <c r="D9" t="s">
        <v>118</v>
      </c>
      <c r="E9" t="s">
        <v>733</v>
      </c>
      <c r="F9" s="28">
        <f ca="1">apuestas_juL24[[#This Row],[Apuesta Miniporra]]-$B$3</f>
        <v>6.3400000000000034</v>
      </c>
      <c r="G9" s="68">
        <f ca="1">ABS(apuestas_juL24[[#This Row],[desvio]])/$B$3</f>
        <v>8.7678052828101274E-2</v>
      </c>
      <c r="H9" s="4">
        <f ca="1">_xlfn.RANK.EQ(apuestas_juL24[[#This Row],[desvio %]],apuestas_juL24[desvio %],1)</f>
        <v>32</v>
      </c>
      <c r="J9" s="66" t="s">
        <v>816</v>
      </c>
      <c r="K9" s="10">
        <f ca="1">INDEX(apuestas_juL24[orden],MATCH(resultados_jul[Apuesta MiniPorra],apuestas_juL24[Apuesta Miniporra],0))</f>
        <v>32</v>
      </c>
      <c r="L9" s="6" t="str">
        <f>apuestas_juL24[[#This Row],[Nombre]]</f>
        <v>Víctor Baeschlin Sánchez</v>
      </c>
      <c r="M9" s="14">
        <f>apuestas_juL24[[#This Row],[Apuesta Miniporra]]</f>
        <v>78.650000000000006</v>
      </c>
      <c r="N9" s="14">
        <f ca="1">INDEX(apuestas_juL24[desvio],MATCH(resultados_jul[[#This Row],[Apuesta MiniPorra]],apuestas_juL24[Apuesta Miniporra],0))</f>
        <v>6.3400000000000034</v>
      </c>
      <c r="O9" s="13">
        <f ca="1">INDEX(apuestas_juL24[desvio %],MATCH(resultados_jul[[#This Row],[Apuesta MiniPorra]],apuestas_juL24[Apuesta Miniporra],0))</f>
        <v>8.7678052828101274E-2</v>
      </c>
      <c r="P9" s="4">
        <v>3</v>
      </c>
      <c r="Q9" s="28">
        <f>IF(ISBLANK(omie!V7),"",omie!W7)</f>
        <v>61.71</v>
      </c>
      <c r="R9" s="78"/>
      <c r="S9" s="78"/>
      <c r="T9" s="28"/>
      <c r="U9"/>
      <c r="X9" s="4"/>
      <c r="Y9" s="4"/>
    </row>
    <row r="10" spans="1:25" x14ac:dyDescent="0.2">
      <c r="A10" t="s">
        <v>816</v>
      </c>
      <c r="B10" t="s">
        <v>328</v>
      </c>
      <c r="C10" s="28">
        <v>78.52</v>
      </c>
      <c r="D10" t="s">
        <v>118</v>
      </c>
      <c r="E10" t="s">
        <v>328</v>
      </c>
      <c r="F10" s="28">
        <f ca="1">apuestas_juL24[[#This Row],[Apuesta Miniporra]]-$B$3</f>
        <v>6.2099999999999937</v>
      </c>
      <c r="G10" s="68">
        <f ca="1">ABS(apuestas_juL24[[#This Row],[desvio]])/$B$3</f>
        <v>8.588023786474891E-2</v>
      </c>
      <c r="H10" s="4">
        <f ca="1">_xlfn.RANK.EQ(apuestas_juL24[[#This Row],[desvio %]],apuestas_juL24[desvio %],1)</f>
        <v>31</v>
      </c>
      <c r="J10" s="66" t="s">
        <v>816</v>
      </c>
      <c r="K10" s="10">
        <f ca="1">INDEX(apuestas_juL24[orden],MATCH(resultados_jul[Apuesta MiniPorra],apuestas_juL24[Apuesta Miniporra],0))</f>
        <v>31</v>
      </c>
      <c r="L10" s="6" t="str">
        <f>apuestas_juL24[[#This Row],[Nombre]]</f>
        <v>Aitor Folch</v>
      </c>
      <c r="M10" s="14">
        <f>apuestas_juL24[[#This Row],[Apuesta Miniporra]]</f>
        <v>78.52</v>
      </c>
      <c r="N10" s="14">
        <f ca="1">INDEX(apuestas_juL24[desvio],MATCH(resultados_jul[[#This Row],[Apuesta MiniPorra]],apuestas_juL24[Apuesta Miniporra],0))</f>
        <v>6.2099999999999937</v>
      </c>
      <c r="O10" s="13">
        <f ca="1">INDEX(apuestas_juL24[desvio %],MATCH(resultados_jul[[#This Row],[Apuesta MiniPorra]],apuestas_juL24[Apuesta Miniporra],0))</f>
        <v>8.588023786474891E-2</v>
      </c>
      <c r="P10" s="4">
        <v>4</v>
      </c>
      <c r="Q10" s="28">
        <f>IF(ISBLANK(omie!V8),"",omie!W8)</f>
        <v>51.85</v>
      </c>
      <c r="R10" s="78"/>
      <c r="S10" s="78"/>
      <c r="T10" s="28"/>
      <c r="U10"/>
      <c r="X10" s="4"/>
      <c r="Y10" s="4"/>
    </row>
    <row r="11" spans="1:25" x14ac:dyDescent="0.2">
      <c r="A11" t="s">
        <v>816</v>
      </c>
      <c r="B11" t="s">
        <v>413</v>
      </c>
      <c r="C11" s="28">
        <v>77.77</v>
      </c>
      <c r="D11" t="s">
        <v>118</v>
      </c>
      <c r="E11" t="s">
        <v>317</v>
      </c>
      <c r="F11" s="28">
        <f ca="1">apuestas_juL24[[#This Row],[Apuesta Miniporra]]-$B$3</f>
        <v>5.4599999999999937</v>
      </c>
      <c r="G11" s="68">
        <f ca="1">ABS(apuestas_juL24[[#This Row],[desvio]])/$B$3</f>
        <v>7.5508228460793719E-2</v>
      </c>
      <c r="H11" s="4">
        <f ca="1">_xlfn.RANK.EQ(apuestas_juL24[[#This Row],[desvio %]],apuestas_juL24[desvio %],1)</f>
        <v>27</v>
      </c>
      <c r="J11" s="66" t="s">
        <v>816</v>
      </c>
      <c r="K11" s="10">
        <f ca="1">INDEX(apuestas_juL24[orden],MATCH(resultados_jul[Apuesta MiniPorra],apuestas_juL24[Apuesta Miniporra],0))</f>
        <v>27</v>
      </c>
      <c r="L11" s="6" t="str">
        <f>apuestas_juL24[[#This Row],[Nombre]]</f>
        <v>Beatriz Muñoz Rioboo</v>
      </c>
      <c r="M11" s="14">
        <f>apuestas_juL24[[#This Row],[Apuesta Miniporra]]</f>
        <v>77.77</v>
      </c>
      <c r="N11" s="14">
        <f ca="1">INDEX(apuestas_juL24[desvio],MATCH(resultados_jul[[#This Row],[Apuesta MiniPorra]],apuestas_juL24[Apuesta Miniporra],0))</f>
        <v>5.4599999999999937</v>
      </c>
      <c r="O11" s="13">
        <f ca="1">INDEX(apuestas_juL24[desvio %],MATCH(resultados_jul[[#This Row],[Apuesta MiniPorra]],apuestas_juL24[Apuesta Miniporra],0))</f>
        <v>7.5508228460793719E-2</v>
      </c>
      <c r="P11" s="4">
        <v>5</v>
      </c>
      <c r="Q11" s="28">
        <f>IF(ISBLANK(omie!V9),"",omie!W9)</f>
        <v>59.88</v>
      </c>
      <c r="R11" s="78"/>
      <c r="S11" s="78"/>
      <c r="T11" s="28"/>
      <c r="U11"/>
    </row>
    <row r="12" spans="1:25" x14ac:dyDescent="0.2">
      <c r="A12" t="s">
        <v>816</v>
      </c>
      <c r="B12" t="s">
        <v>218</v>
      </c>
      <c r="C12" s="28">
        <v>77.7</v>
      </c>
      <c r="D12" t="s">
        <v>118</v>
      </c>
      <c r="E12" t="s">
        <v>464</v>
      </c>
      <c r="F12" s="28">
        <f ca="1">apuestas_juL24[[#This Row],[Apuesta Miniporra]]-$B$3</f>
        <v>5.3900000000000006</v>
      </c>
      <c r="G12" s="68">
        <f ca="1">ABS(apuestas_juL24[[#This Row],[desvio]])/$B$3</f>
        <v>7.4540174249757993E-2</v>
      </c>
      <c r="H12" s="4">
        <f ca="1">_xlfn.RANK.EQ(apuestas_juL24[[#This Row],[desvio %]],apuestas_juL24[desvio %],1)</f>
        <v>26</v>
      </c>
      <c r="J12" s="66" t="s">
        <v>816</v>
      </c>
      <c r="K12" s="10">
        <f ca="1">INDEX(apuestas_juL24[orden],MATCH(resultados_jul[Apuesta MiniPorra],apuestas_juL24[Apuesta Miniporra],0))</f>
        <v>26</v>
      </c>
      <c r="L12" s="6" t="str">
        <f>apuestas_juL24[[#This Row],[Nombre]]</f>
        <v>Jorge Antonio González Sánchez</v>
      </c>
      <c r="M12" s="14">
        <f>apuestas_juL24[[#This Row],[Apuesta Miniporra]]</f>
        <v>77.7</v>
      </c>
      <c r="N12" s="14">
        <f ca="1">INDEX(apuestas_juL24[desvio],MATCH(resultados_jul[[#This Row],[Apuesta MiniPorra]],apuestas_juL24[Apuesta Miniporra],0))</f>
        <v>5.3900000000000006</v>
      </c>
      <c r="O12" s="13">
        <f ca="1">INDEX(apuestas_juL24[desvio %],MATCH(resultados_jul[[#This Row],[Apuesta MiniPorra]],apuestas_juL24[Apuesta Miniporra],0))</f>
        <v>7.4540174249757993E-2</v>
      </c>
      <c r="P12" s="4">
        <v>6</v>
      </c>
      <c r="Q12" s="28">
        <f>IF(ISBLANK(omie!V10),"",omie!W10)</f>
        <v>33.979999999999997</v>
      </c>
      <c r="R12" s="78"/>
      <c r="S12" s="78"/>
      <c r="T12" s="28"/>
      <c r="U12"/>
    </row>
    <row r="13" spans="1:25" x14ac:dyDescent="0.2">
      <c r="A13" t="s">
        <v>816</v>
      </c>
      <c r="B13" t="s">
        <v>474</v>
      </c>
      <c r="C13" s="28">
        <v>76.87</v>
      </c>
      <c r="D13" t="s">
        <v>118</v>
      </c>
      <c r="E13" t="s">
        <v>535</v>
      </c>
      <c r="F13" s="28">
        <f ca="1">apuestas_juL24[[#This Row],[Apuesta Miniporra]]-$B$3</f>
        <v>4.5600000000000023</v>
      </c>
      <c r="G13" s="68">
        <f ca="1">ABS(apuestas_juL24[[#This Row],[desvio]])/$B$3</f>
        <v>6.3061817176047599E-2</v>
      </c>
      <c r="H13" s="4">
        <f ca="1">_xlfn.RANK.EQ(apuestas_juL24[[#This Row],[desvio %]],apuestas_juL24[desvio %],1)</f>
        <v>23</v>
      </c>
      <c r="J13" s="66" t="s">
        <v>816</v>
      </c>
      <c r="K13" s="10">
        <f ca="1">INDEX(apuestas_juL24[orden],MATCH(resultados_jul[Apuesta MiniPorra],apuestas_juL24[Apuesta Miniporra],0))</f>
        <v>23</v>
      </c>
      <c r="L13" s="6" t="str">
        <f>apuestas_juL24[[#This Row],[Nombre]]</f>
        <v>Javier Colón Cortegoso</v>
      </c>
      <c r="M13" s="14">
        <f>apuestas_juL24[[#This Row],[Apuesta Miniporra]]</f>
        <v>76.87</v>
      </c>
      <c r="N13" s="14">
        <f ca="1">INDEX(apuestas_juL24[desvio],MATCH(resultados_jul[[#This Row],[Apuesta MiniPorra]],apuestas_juL24[Apuesta Miniporra],0))</f>
        <v>4.5600000000000023</v>
      </c>
      <c r="O13" s="13">
        <f ca="1">INDEX(apuestas_juL24[desvio %],MATCH(resultados_jul[[#This Row],[Apuesta MiniPorra]],apuestas_juL24[Apuesta Miniporra],0))</f>
        <v>6.3061817176047599E-2</v>
      </c>
      <c r="P13" s="4">
        <v>7</v>
      </c>
      <c r="Q13" s="28">
        <f>IF(ISBLANK(omie!V11),"",omie!W11)</f>
        <v>34.71</v>
      </c>
      <c r="R13" s="78"/>
      <c r="S13" s="78"/>
      <c r="T13" s="28"/>
      <c r="U13"/>
    </row>
    <row r="14" spans="1:25" x14ac:dyDescent="0.2">
      <c r="A14" t="s">
        <v>816</v>
      </c>
      <c r="B14" t="s">
        <v>943</v>
      </c>
      <c r="C14" s="28">
        <v>76.5</v>
      </c>
      <c r="D14" t="s">
        <v>876</v>
      </c>
      <c r="E14" t="s">
        <v>877</v>
      </c>
      <c r="F14" s="28">
        <f ca="1">apuestas_juL24[[#This Row],[Apuesta Miniporra]]-$B$3</f>
        <v>4.1899999999999977</v>
      </c>
      <c r="G14" s="68">
        <f ca="1">ABS(apuestas_juL24[[#This Row],[desvio]])/$B$3</f>
        <v>5.7944959203429645E-2</v>
      </c>
      <c r="H14" s="4">
        <f ca="1">_xlfn.RANK.EQ(apuestas_juL24[[#This Row],[desvio %]],apuestas_juL24[desvio %],1)</f>
        <v>20</v>
      </c>
      <c r="J14" s="66" t="s">
        <v>816</v>
      </c>
      <c r="K14" s="10">
        <f ca="1">INDEX(apuestas_juL24[orden],MATCH(resultados_jul[Apuesta MiniPorra],apuestas_juL24[Apuesta Miniporra],0))</f>
        <v>20</v>
      </c>
      <c r="L14" s="6" t="str">
        <f>apuestas_juL24[[#This Row],[Nombre]]</f>
        <v>Omip 28-06-2024</v>
      </c>
      <c r="M14" s="14">
        <f>apuestas_juL24[[#This Row],[Apuesta Miniporra]]</f>
        <v>76.5</v>
      </c>
      <c r="N14" s="14">
        <f ca="1">INDEX(apuestas_juL24[desvio],MATCH(resultados_jul[[#This Row],[Apuesta MiniPorra]],apuestas_juL24[Apuesta Miniporra],0))</f>
        <v>4.1899999999999977</v>
      </c>
      <c r="O14" s="13">
        <f ca="1">INDEX(apuestas_juL24[desvio %],MATCH(resultados_jul[[#This Row],[Apuesta MiniPorra]],apuestas_juL24[Apuesta Miniporra],0))</f>
        <v>5.7944959203429645E-2</v>
      </c>
      <c r="P14" s="4">
        <v>8</v>
      </c>
      <c r="Q14" s="28">
        <f>IF(ISBLANK(omie!V12),"",omie!W12)</f>
        <v>73.19</v>
      </c>
      <c r="R14" s="78"/>
      <c r="S14" s="78"/>
      <c r="T14" s="28"/>
      <c r="U14"/>
    </row>
    <row r="15" spans="1:25" x14ac:dyDescent="0.2">
      <c r="A15" t="s">
        <v>816</v>
      </c>
      <c r="B15" t="s">
        <v>1028</v>
      </c>
      <c r="C15" s="28">
        <v>76.430000000000007</v>
      </c>
      <c r="D15" t="s">
        <v>770</v>
      </c>
      <c r="E15" t="s">
        <v>771</v>
      </c>
      <c r="F15" s="28">
        <f ca="1">apuestas_juL24[[#This Row],[Apuesta Miniporra]]-$B$3</f>
        <v>4.1200000000000045</v>
      </c>
      <c r="G15" s="68">
        <f ca="1">ABS(apuestas_juL24[[#This Row],[desvio]])/$B$3</f>
        <v>5.6976904992393919E-2</v>
      </c>
      <c r="H15" s="4">
        <f ca="1">_xlfn.RANK.EQ(apuestas_juL24[[#This Row],[desvio %]],apuestas_juL24[desvio %],1)</f>
        <v>17</v>
      </c>
      <c r="J15" s="66" t="s">
        <v>816</v>
      </c>
      <c r="K15" s="10">
        <f ca="1">INDEX(apuestas_juL24[orden],MATCH(resultados_jul[Apuesta MiniPorra],apuestas_juL24[Apuesta Miniporra],0))</f>
        <v>17</v>
      </c>
      <c r="L15" s="6" t="str">
        <f>apuestas_juL24[[#This Row],[Nombre]]</f>
        <v>Ricardo Estévez Solís</v>
      </c>
      <c r="M15" s="14">
        <f>apuestas_juL24[[#This Row],[Apuesta Miniporra]]</f>
        <v>76.430000000000007</v>
      </c>
      <c r="N15" s="14">
        <f ca="1">INDEX(apuestas_juL24[desvio],MATCH(resultados_jul[[#This Row],[Apuesta MiniPorra]],apuestas_juL24[Apuesta Miniporra],0))</f>
        <v>4.1200000000000045</v>
      </c>
      <c r="O15" s="13">
        <f ca="1">INDEX(apuestas_juL24[desvio %],MATCH(resultados_jul[[#This Row],[Apuesta MiniPorra]],apuestas_juL24[Apuesta Miniporra],0))</f>
        <v>5.6976904992393919E-2</v>
      </c>
      <c r="P15" s="4">
        <v>9</v>
      </c>
      <c r="Q15" s="28">
        <f>IF(ISBLANK(omie!V13),"",omie!W13)</f>
        <v>69.55</v>
      </c>
      <c r="R15" s="78"/>
      <c r="S15" s="78"/>
      <c r="T15" s="28"/>
      <c r="U15"/>
    </row>
    <row r="16" spans="1:25" x14ac:dyDescent="0.2">
      <c r="A16" t="s">
        <v>816</v>
      </c>
      <c r="B16" t="s">
        <v>400</v>
      </c>
      <c r="C16" s="28">
        <v>74.650000000000006</v>
      </c>
      <c r="D16" t="s">
        <v>118</v>
      </c>
      <c r="E16" t="s">
        <v>194</v>
      </c>
      <c r="F16" s="28">
        <f ca="1">apuestas_juL24[[#This Row],[Apuesta Miniporra]]-$B$3</f>
        <v>2.3400000000000034</v>
      </c>
      <c r="G16" s="68">
        <f ca="1">ABS(apuestas_juL24[[#This Row],[desvio]])/$B$3</f>
        <v>3.2360669340340251E-2</v>
      </c>
      <c r="H16" s="4">
        <f ca="1">_xlfn.RANK.EQ(apuestas_juL24[[#This Row],[desvio %]],apuestas_juL24[desvio %],1)</f>
        <v>11</v>
      </c>
      <c r="J16" s="66" t="s">
        <v>816</v>
      </c>
      <c r="K16" s="10">
        <f ca="1">INDEX(apuestas_juL24[orden],MATCH(resultados_jul[Apuesta MiniPorra],apuestas_juL24[Apuesta Miniporra],0))</f>
        <v>11</v>
      </c>
      <c r="L16" s="6" t="str">
        <f>apuestas_juL24[[#This Row],[Nombre]]</f>
        <v>Manuel Nogales Guillén</v>
      </c>
      <c r="M16" s="14">
        <f>apuestas_juL24[[#This Row],[Apuesta Miniporra]]</f>
        <v>74.650000000000006</v>
      </c>
      <c r="N16" s="14">
        <f ca="1">INDEX(apuestas_juL24[desvio],MATCH(resultados_jul[[#This Row],[Apuesta MiniPorra]],apuestas_juL24[Apuesta Miniporra],0))</f>
        <v>2.3400000000000034</v>
      </c>
      <c r="O16" s="13">
        <f ca="1">INDEX(apuestas_juL24[desvio %],MATCH(resultados_jul[[#This Row],[Apuesta MiniPorra]],apuestas_juL24[Apuesta Miniporra],0))</f>
        <v>3.2360669340340251E-2</v>
      </c>
      <c r="P16" s="4">
        <v>10</v>
      </c>
      <c r="Q16" s="28">
        <f>IF(ISBLANK(omie!V14),"",omie!W14)</f>
        <v>87.61</v>
      </c>
      <c r="R16" s="78"/>
      <c r="S16" s="78"/>
      <c r="T16" s="28"/>
      <c r="U16"/>
    </row>
    <row r="17" spans="1:23" x14ac:dyDescent="0.2">
      <c r="A17" t="s">
        <v>816</v>
      </c>
      <c r="B17" t="s">
        <v>412</v>
      </c>
      <c r="C17" s="28">
        <v>74.540000000000006</v>
      </c>
      <c r="D17" t="s">
        <v>118</v>
      </c>
      <c r="E17" t="s">
        <v>924</v>
      </c>
      <c r="F17" s="28">
        <f ca="1">apuestas_juL24[[#This Row],[Apuesta Miniporra]]-$B$3</f>
        <v>2.230000000000004</v>
      </c>
      <c r="G17" s="68">
        <f ca="1">ABS(apuestas_juL24[[#This Row],[desvio]])/$B$3</f>
        <v>3.0839441294426829E-2</v>
      </c>
      <c r="H17" s="4">
        <f ca="1">_xlfn.RANK.EQ(apuestas_juL24[[#This Row],[desvio %]],apuestas_juL24[desvio %],1)</f>
        <v>9</v>
      </c>
      <c r="J17" s="66" t="s">
        <v>816</v>
      </c>
      <c r="K17" s="10">
        <f ca="1">INDEX(apuestas_juL24[orden],MATCH(resultados_jul[Apuesta MiniPorra],apuestas_juL24[Apuesta Miniporra],0))</f>
        <v>9</v>
      </c>
      <c r="L17" s="6" t="str">
        <f>apuestas_juL24[[#This Row],[Nombre]]</f>
        <v>Jose Manuel Otero López</v>
      </c>
      <c r="M17" s="14">
        <f>apuestas_juL24[[#This Row],[Apuesta Miniporra]]</f>
        <v>74.540000000000006</v>
      </c>
      <c r="N17" s="14">
        <f ca="1">INDEX(apuestas_juL24[desvio],MATCH(resultados_jul[[#This Row],[Apuesta MiniPorra]],apuestas_juL24[Apuesta Miniporra],0))</f>
        <v>2.230000000000004</v>
      </c>
      <c r="O17" s="13">
        <f ca="1">INDEX(apuestas_juL24[desvio %],MATCH(resultados_jul[[#This Row],[Apuesta MiniPorra]],apuestas_juL24[Apuesta Miniporra],0))</f>
        <v>3.0839441294426829E-2</v>
      </c>
      <c r="P17" s="4">
        <v>11</v>
      </c>
      <c r="Q17" s="28">
        <f>IF(ISBLANK(omie!V15),"",omie!W15)</f>
        <v>85.53</v>
      </c>
      <c r="R17" s="78"/>
      <c r="S17" s="78"/>
      <c r="T17" s="28"/>
      <c r="U17"/>
    </row>
    <row r="18" spans="1:23" x14ac:dyDescent="0.2">
      <c r="A18" t="s">
        <v>816</v>
      </c>
      <c r="B18" t="s">
        <v>408</v>
      </c>
      <c r="C18" s="28">
        <v>74.47</v>
      </c>
      <c r="D18" t="s">
        <v>881</v>
      </c>
      <c r="E18" t="s">
        <v>456</v>
      </c>
      <c r="F18" s="28">
        <f ca="1">apuestas_juL24[[#This Row],[Apuesta Miniporra]]-$B$3</f>
        <v>2.1599999999999966</v>
      </c>
      <c r="G18" s="68">
        <f ca="1">ABS(apuestas_juL24[[#This Row],[desvio]])/$B$3</f>
        <v>2.9871387083390908E-2</v>
      </c>
      <c r="H18" s="4">
        <f ca="1">_xlfn.RANK.EQ(apuestas_juL24[[#This Row],[desvio %]],apuestas_juL24[desvio %],1)</f>
        <v>8</v>
      </c>
      <c r="J18" s="66" t="s">
        <v>816</v>
      </c>
      <c r="K18" s="10">
        <f ca="1">INDEX(apuestas_juL24[orden],MATCH(resultados_jul[Apuesta MiniPorra],apuestas_juL24[Apuesta Miniporra],0))</f>
        <v>8</v>
      </c>
      <c r="L18" s="6" t="str">
        <f>apuestas_juL24[[#This Row],[Nombre]]</f>
        <v>Julián Mateo Muñoz</v>
      </c>
      <c r="M18" s="14">
        <f>apuestas_juL24[[#This Row],[Apuesta Miniporra]]</f>
        <v>74.47</v>
      </c>
      <c r="N18" s="14">
        <f ca="1">INDEX(apuestas_juL24[desvio],MATCH(resultados_jul[[#This Row],[Apuesta MiniPorra]],apuestas_juL24[Apuesta Miniporra],0))</f>
        <v>2.1599999999999966</v>
      </c>
      <c r="O18" s="13">
        <f ca="1">INDEX(apuestas_juL24[desvio %],MATCH(resultados_jul[[#This Row],[Apuesta MiniPorra]],apuestas_juL24[Apuesta Miniporra],0))</f>
        <v>2.9871387083390908E-2</v>
      </c>
      <c r="P18" s="4">
        <v>12</v>
      </c>
      <c r="Q18" s="28">
        <f>IF(ISBLANK(omie!V16),"",omie!W16)</f>
        <v>58.78</v>
      </c>
      <c r="R18" s="78"/>
      <c r="S18" s="78"/>
      <c r="T18" s="28"/>
      <c r="U18"/>
    </row>
    <row r="19" spans="1:23" x14ac:dyDescent="0.2">
      <c r="A19" t="s">
        <v>816</v>
      </c>
      <c r="B19" t="s">
        <v>381</v>
      </c>
      <c r="C19" s="28">
        <v>73.94</v>
      </c>
      <c r="D19" t="s">
        <v>872</v>
      </c>
      <c r="E19" t="s">
        <v>37</v>
      </c>
      <c r="F19" s="28">
        <f ca="1">apuestas_juL24[[#This Row],[Apuesta Miniporra]]-$B$3</f>
        <v>1.6299999999999955</v>
      </c>
      <c r="G19" s="68">
        <f ca="1">ABS(apuestas_juL24[[#This Row],[desvio]])/$B$3</f>
        <v>2.2541833771262555E-2</v>
      </c>
      <c r="H19" s="4">
        <f ca="1">_xlfn.RANK.EQ(apuestas_juL24[[#This Row],[desvio %]],apuestas_juL24[desvio %],1)</f>
        <v>7</v>
      </c>
      <c r="J19" s="66" t="s">
        <v>816</v>
      </c>
      <c r="K19" s="10">
        <f ca="1">INDEX(apuestas_juL24[orden],MATCH(resultados_jul[Apuesta MiniPorra],apuestas_juL24[Apuesta Miniporra],0))</f>
        <v>7</v>
      </c>
      <c r="L19" s="6" t="str">
        <f>apuestas_juL24[[#This Row],[Nombre]]</f>
        <v>Roberto Cavero García</v>
      </c>
      <c r="M19" s="14">
        <f>apuestas_juL24[[#This Row],[Apuesta Miniporra]]</f>
        <v>73.94</v>
      </c>
      <c r="N19" s="14">
        <f ca="1">INDEX(apuestas_juL24[desvio],MATCH(resultados_jul[[#This Row],[Apuesta MiniPorra]],apuestas_juL24[Apuesta Miniporra],0))</f>
        <v>1.6299999999999955</v>
      </c>
      <c r="O19" s="13">
        <f ca="1">INDEX(apuestas_juL24[desvio %],MATCH(resultados_jul[[#This Row],[Apuesta MiniPorra]],apuestas_juL24[Apuesta Miniporra],0))</f>
        <v>2.2541833771262555E-2</v>
      </c>
      <c r="P19" s="4">
        <v>13</v>
      </c>
      <c r="Q19" s="28">
        <f>IF(ISBLANK(omie!V17),"",omie!W17)</f>
        <v>51.38</v>
      </c>
      <c r="R19" s="71"/>
      <c r="S19" s="71"/>
      <c r="T19" s="28"/>
      <c r="U19"/>
    </row>
    <row r="20" spans="1:23" x14ac:dyDescent="0.2">
      <c r="A20" t="s">
        <v>816</v>
      </c>
      <c r="B20" t="s">
        <v>336</v>
      </c>
      <c r="C20" s="28">
        <v>73.8</v>
      </c>
      <c r="D20" t="s">
        <v>879</v>
      </c>
      <c r="E20" t="s">
        <v>2</v>
      </c>
      <c r="F20" s="28">
        <f ca="1">apuestas_juL24[[#This Row],[Apuesta Miniporra]]-$B$3</f>
        <v>1.4899999999999949</v>
      </c>
      <c r="G20" s="68">
        <f ca="1">ABS(apuestas_juL24[[#This Row],[desvio]])/$B$3</f>
        <v>2.0605725349190911E-2</v>
      </c>
      <c r="H20" s="4">
        <f ca="1">_xlfn.RANK.EQ(apuestas_juL24[[#This Row],[desvio %]],apuestas_juL24[desvio %],1)</f>
        <v>6</v>
      </c>
      <c r="J20" s="66" t="s">
        <v>816</v>
      </c>
      <c r="K20" s="10">
        <f ca="1">INDEX(apuestas_juL24[orden],MATCH(resultados_jul[Apuesta MiniPorra],apuestas_juL24[Apuesta Miniporra],0))</f>
        <v>6</v>
      </c>
      <c r="L20" s="6" t="str">
        <f>apuestas_juL24[[#This Row],[Nombre]]</f>
        <v>Javier Revuelta Alonso</v>
      </c>
      <c r="M20" s="14">
        <f>apuestas_juL24[[#This Row],[Apuesta Miniporra]]</f>
        <v>73.8</v>
      </c>
      <c r="N20" s="14">
        <f ca="1">INDEX(apuestas_juL24[desvio],MATCH(resultados_jul[[#This Row],[Apuesta MiniPorra]],apuestas_juL24[Apuesta Miniporra],0))</f>
        <v>1.4899999999999949</v>
      </c>
      <c r="O20" s="13">
        <f ca="1">INDEX(apuestas_juL24[desvio %],MATCH(resultados_jul[[#This Row],[Apuesta MiniPorra]],apuestas_juL24[Apuesta Miniporra],0))</f>
        <v>2.0605725349190911E-2</v>
      </c>
      <c r="P20" s="4">
        <v>14</v>
      </c>
      <c r="Q20" s="28">
        <f>IF(ISBLANK(omie!V18),"",omie!W18)</f>
        <v>52.28</v>
      </c>
      <c r="T20" s="28"/>
      <c r="U20" s="115"/>
      <c r="V20" s="115"/>
      <c r="W20" s="115"/>
    </row>
    <row r="21" spans="1:23" x14ac:dyDescent="0.2">
      <c r="A21" t="s">
        <v>816</v>
      </c>
      <c r="B21" t="s">
        <v>542</v>
      </c>
      <c r="C21" s="28">
        <v>73.37</v>
      </c>
      <c r="D21" t="s">
        <v>888</v>
      </c>
      <c r="E21" t="s">
        <v>542</v>
      </c>
      <c r="F21" s="28">
        <f ca="1">apuestas_juL24[[#This Row],[Apuesta Miniporra]]-$B$3</f>
        <v>1.0600000000000023</v>
      </c>
      <c r="G21" s="68">
        <f ca="1">ABS(apuestas_juL24[[#This Row],[desvio]])/$B$3</f>
        <v>1.4659106624256703E-2</v>
      </c>
      <c r="H21" s="4">
        <f ca="1">_xlfn.RANK.EQ(apuestas_juL24[[#This Row],[desvio %]],apuestas_juL24[desvio %],1)</f>
        <v>5</v>
      </c>
      <c r="J21" s="66" t="s">
        <v>816</v>
      </c>
      <c r="K21" s="10">
        <f ca="1">INDEX(apuestas_juL24[orden],MATCH(resultados_jul[Apuesta MiniPorra],apuestas_juL24[Apuesta Miniporra],0))</f>
        <v>5</v>
      </c>
      <c r="L21" s="6" t="str">
        <f>apuestas_juL24[[#This Row],[Nombre]]</f>
        <v>Sergio Alfonso</v>
      </c>
      <c r="M21" s="14">
        <f>apuestas_juL24[[#This Row],[Apuesta Miniporra]]</f>
        <v>73.37</v>
      </c>
      <c r="N21" s="14">
        <f ca="1">INDEX(apuestas_juL24[desvio],MATCH(resultados_jul[[#This Row],[Apuesta MiniPorra]],apuestas_juL24[Apuesta Miniporra],0))</f>
        <v>1.0600000000000023</v>
      </c>
      <c r="O21" s="13">
        <f ca="1">INDEX(apuestas_juL24[desvio %],MATCH(resultados_jul[[#This Row],[Apuesta MiniPorra]],apuestas_juL24[Apuesta Miniporra],0))</f>
        <v>1.4659106624256703E-2</v>
      </c>
      <c r="P21" s="4">
        <v>15</v>
      </c>
      <c r="Q21" s="28">
        <f>IF(ISBLANK(omie!V19),"",omie!W19)</f>
        <v>53.95</v>
      </c>
      <c r="T21" s="28"/>
      <c r="U21" s="115"/>
      <c r="V21" s="115"/>
      <c r="W21" s="115"/>
    </row>
    <row r="22" spans="1:23" x14ac:dyDescent="0.2">
      <c r="A22" t="s">
        <v>816</v>
      </c>
      <c r="B22" t="s">
        <v>792</v>
      </c>
      <c r="C22" s="28">
        <v>72.58</v>
      </c>
      <c r="D22" t="s">
        <v>118</v>
      </c>
      <c r="E22" t="s">
        <v>664</v>
      </c>
      <c r="F22" s="28">
        <f ca="1">apuestas_juL24[[#This Row],[Apuesta Miniporra]]-$B$3</f>
        <v>0.26999999999999602</v>
      </c>
      <c r="G22" s="68">
        <f ca="1">ABS(apuestas_juL24[[#This Row],[desvio]])/$B$3</f>
        <v>3.7339233854238145E-3</v>
      </c>
      <c r="H22" s="4">
        <f ca="1">_xlfn.RANK.EQ(apuestas_juL24[[#This Row],[desvio %]],apuestas_juL24[desvio %],1)</f>
        <v>3</v>
      </c>
      <c r="J22" s="66" t="s">
        <v>816</v>
      </c>
      <c r="K22" s="10">
        <f ca="1">INDEX(apuestas_juL24[orden],MATCH(resultados_jul[Apuesta MiniPorra],apuestas_juL24[Apuesta Miniporra],0))</f>
        <v>3</v>
      </c>
      <c r="L22" s="6" t="str">
        <f>apuestas_juL24[[#This Row],[Nombre]]</f>
        <v>Gorka Arratibel Pastor</v>
      </c>
      <c r="M22" s="14">
        <f>apuestas_juL24[[#This Row],[Apuesta Miniporra]]</f>
        <v>72.58</v>
      </c>
      <c r="N22" s="14">
        <f ca="1">INDEX(apuestas_juL24[desvio],MATCH(resultados_jul[[#This Row],[Apuesta MiniPorra]],apuestas_juL24[Apuesta Miniporra],0))</f>
        <v>0.26999999999999602</v>
      </c>
      <c r="O22" s="13">
        <f ca="1">INDEX(apuestas_juL24[desvio %],MATCH(resultados_jul[[#This Row],[Apuesta MiniPorra]],apuestas_juL24[Apuesta Miniporra],0))</f>
        <v>3.7339233854238145E-3</v>
      </c>
      <c r="P22" s="4">
        <v>16</v>
      </c>
      <c r="Q22" s="28">
        <f>IF(ISBLANK(omie!V20),"",omie!W20)</f>
        <v>87.24</v>
      </c>
      <c r="T22" s="28"/>
      <c r="U22" s="115"/>
      <c r="V22" s="115"/>
      <c r="W22" s="115"/>
    </row>
    <row r="23" spans="1:23" x14ac:dyDescent="0.2">
      <c r="A23" t="s">
        <v>816</v>
      </c>
      <c r="B23" t="s">
        <v>944</v>
      </c>
      <c r="C23" s="28">
        <v>72.36</v>
      </c>
      <c r="D23" t="s">
        <v>118</v>
      </c>
      <c r="E23" t="s">
        <v>853</v>
      </c>
      <c r="F23" s="28">
        <f ca="1">apuestas_juL24[[#This Row],[Apuesta Miniporra]]-$B$3</f>
        <v>4.9999999999997158E-2</v>
      </c>
      <c r="G23" s="68">
        <f ca="1">ABS(apuestas_juL24[[#This Row],[desvio]])/$B$3</f>
        <v>6.9146729359697353E-4</v>
      </c>
      <c r="H23" s="4">
        <f ca="1">_xlfn.RANK.EQ(apuestas_juL24[[#This Row],[desvio %]],apuestas_juL24[desvio %],1)</f>
        <v>2</v>
      </c>
      <c r="J23" s="66" t="s">
        <v>816</v>
      </c>
      <c r="K23" s="10">
        <f ca="1">INDEX(apuestas_juL24[orden],MATCH(resultados_jul[Apuesta MiniPorra],apuestas_juL24[Apuesta Miniporra],0))</f>
        <v>2</v>
      </c>
      <c r="L23" s="6" t="str">
        <f>apuestas_juL24[[#This Row],[Nombre]]</f>
        <v>Andrea Zarbano</v>
      </c>
      <c r="M23" s="14">
        <f>apuestas_juL24[[#This Row],[Apuesta Miniporra]]</f>
        <v>72.36</v>
      </c>
      <c r="N23" s="14">
        <f ca="1">INDEX(apuestas_juL24[desvio],MATCH(resultados_jul[[#This Row],[Apuesta MiniPorra]],apuestas_juL24[Apuesta Miniporra],0))</f>
        <v>4.9999999999997158E-2</v>
      </c>
      <c r="O23" s="13">
        <f ca="1">INDEX(apuestas_juL24[desvio %],MATCH(resultados_jul[[#This Row],[Apuesta MiniPorra]],apuestas_juL24[Apuesta Miniporra],0))</f>
        <v>6.9146729359697353E-4</v>
      </c>
      <c r="P23" s="4">
        <v>17</v>
      </c>
      <c r="Q23" s="28">
        <f>IF(ISBLANK(omie!V21),"",omie!W21)</f>
        <v>94.42</v>
      </c>
      <c r="T23" s="28"/>
      <c r="U23"/>
    </row>
    <row r="24" spans="1:23" x14ac:dyDescent="0.2">
      <c r="A24" t="s">
        <v>816</v>
      </c>
      <c r="B24" t="s">
        <v>414</v>
      </c>
      <c r="C24" s="28">
        <v>72.3</v>
      </c>
      <c r="D24" t="s">
        <v>118</v>
      </c>
      <c r="E24" t="s">
        <v>467</v>
      </c>
      <c r="F24" s="28">
        <f ca="1">apuestas_juL24[[#This Row],[Apuesta Miniporra]]-$B$3</f>
        <v>-1.0000000000005116E-2</v>
      </c>
      <c r="G24" s="68">
        <f ca="1">ABS(apuestas_juL24[[#This Row],[desvio]])/$B$3</f>
        <v>1.3829345871947332E-4</v>
      </c>
      <c r="H24" s="4">
        <f ca="1">_xlfn.RANK.EQ(apuestas_juL24[[#This Row],[desvio %]],apuestas_juL24[desvio %],1)</f>
        <v>1</v>
      </c>
      <c r="J24" s="66" t="s">
        <v>816</v>
      </c>
      <c r="K24" s="10">
        <f ca="1">INDEX(apuestas_juL24[orden],MATCH(resultados_jul[Apuesta MiniPorra],apuestas_juL24[Apuesta Miniporra],0))</f>
        <v>1</v>
      </c>
      <c r="L24" s="6" t="str">
        <f>apuestas_juL24[[#This Row],[Nombre]]</f>
        <v>Laura Gómez López</v>
      </c>
      <c r="M24" s="14">
        <f>apuestas_juL24[[#This Row],[Apuesta Miniporra]]</f>
        <v>72.3</v>
      </c>
      <c r="N24" s="14">
        <f ca="1">INDEX(apuestas_juL24[desvio],MATCH(resultados_jul[[#This Row],[Apuesta MiniPorra]],apuestas_juL24[Apuesta Miniporra],0))</f>
        <v>-1.0000000000005116E-2</v>
      </c>
      <c r="O24" s="13">
        <f ca="1">INDEX(apuestas_juL24[desvio %],MATCH(resultados_jul[[#This Row],[Apuesta MiniPorra]],apuestas_juL24[Apuesta Miniporra],0))</f>
        <v>1.3829345871947332E-4</v>
      </c>
      <c r="P24" s="4">
        <v>18</v>
      </c>
      <c r="Q24" s="28">
        <f>IF(ISBLANK(omie!V22),"",omie!W22)</f>
        <v>101.37</v>
      </c>
      <c r="T24" s="28"/>
      <c r="U24"/>
    </row>
    <row r="25" spans="1:23" x14ac:dyDescent="0.2">
      <c r="A25" t="s">
        <v>816</v>
      </c>
      <c r="B25" t="s">
        <v>225</v>
      </c>
      <c r="C25" s="28">
        <v>71.8</v>
      </c>
      <c r="D25" t="s">
        <v>118</v>
      </c>
      <c r="E25" t="s">
        <v>199</v>
      </c>
      <c r="F25" s="28">
        <f ca="1">apuestas_juL24[[#This Row],[Apuesta Miniporra]]-$B$3</f>
        <v>-0.51000000000000512</v>
      </c>
      <c r="G25" s="68">
        <f ca="1">ABS(apuestas_juL24[[#This Row],[desvio]])/$B$3</f>
        <v>7.0529663946896021E-3</v>
      </c>
      <c r="H25" s="4">
        <f ca="1">_xlfn.RANK.EQ(apuestas_juL24[[#This Row],[desvio %]],apuestas_juL24[desvio %],1)</f>
        <v>4</v>
      </c>
      <c r="J25" s="66" t="s">
        <v>816</v>
      </c>
      <c r="K25" s="10">
        <f ca="1">INDEX(apuestas_juL24[orden],MATCH(resultados_jul[Apuesta MiniPorra],apuestas_juL24[Apuesta Miniporra],0))</f>
        <v>4</v>
      </c>
      <c r="L25" s="6" t="str">
        <f>apuestas_juL24[[#This Row],[Nombre]]</f>
        <v>Elena Muñoz Vioque</v>
      </c>
      <c r="M25" s="14">
        <f>apuestas_juL24[[#This Row],[Apuesta Miniporra]]</f>
        <v>71.8</v>
      </c>
      <c r="N25" s="14">
        <f ca="1">INDEX(apuestas_juL24[desvio],MATCH(resultados_jul[[#This Row],[Apuesta MiniPorra]],apuestas_juL24[Apuesta Miniporra],0))</f>
        <v>-0.51000000000000512</v>
      </c>
      <c r="O25" s="13">
        <f ca="1">INDEX(apuestas_juL24[desvio %],MATCH(resultados_jul[[#This Row],[Apuesta MiniPorra]],apuestas_juL24[Apuesta Miniporra],0))</f>
        <v>7.0529663946896021E-3</v>
      </c>
      <c r="P25" s="4">
        <v>19</v>
      </c>
      <c r="Q25" s="28">
        <f>IF(ISBLANK(omie!V23),"",omie!W23)</f>
        <v>97.78</v>
      </c>
      <c r="T25" s="28"/>
      <c r="U25"/>
    </row>
    <row r="26" spans="1:23" x14ac:dyDescent="0.2">
      <c r="A26" t="s">
        <v>816</v>
      </c>
      <c r="B26" t="s">
        <v>222</v>
      </c>
      <c r="C26" s="28">
        <v>70</v>
      </c>
      <c r="D26" t="s">
        <v>849</v>
      </c>
      <c r="E26" t="s">
        <v>178</v>
      </c>
      <c r="F26" s="28">
        <f ca="1">apuestas_juL24[[#This Row],[Apuesta Miniporra]]-$B$3</f>
        <v>-2.3100000000000023</v>
      </c>
      <c r="G26" s="68">
        <f ca="1">ABS(apuestas_juL24[[#This Row],[desvio]])/$B$3</f>
        <v>3.1945788964182022E-2</v>
      </c>
      <c r="H26" s="4">
        <f ca="1">_xlfn.RANK.EQ(apuestas_juL24[[#This Row],[desvio %]],apuestas_juL24[desvio %],1)</f>
        <v>10</v>
      </c>
      <c r="J26" s="66" t="s">
        <v>816</v>
      </c>
      <c r="K26" s="10">
        <f ca="1">INDEX(apuestas_juL24[orden],MATCH(resultados_jul[Apuesta MiniPorra],apuestas_juL24[Apuesta Miniporra],0))</f>
        <v>10</v>
      </c>
      <c r="L26" s="6" t="str">
        <f>apuestas_juL24[[#This Row],[Nombre]]</f>
        <v>Jose F Vidal</v>
      </c>
      <c r="M26" s="14">
        <f>apuestas_juL24[[#This Row],[Apuesta Miniporra]]</f>
        <v>70</v>
      </c>
      <c r="N26" s="14">
        <f ca="1">INDEX(apuestas_juL24[desvio],MATCH(resultados_jul[[#This Row],[Apuesta MiniPorra]],apuestas_juL24[Apuesta Miniporra],0))</f>
        <v>-2.3100000000000023</v>
      </c>
      <c r="O26" s="13">
        <f ca="1">INDEX(apuestas_juL24[desvio %],MATCH(resultados_jul[[#This Row],[Apuesta MiniPorra]],apuestas_juL24[Apuesta Miniporra],0))</f>
        <v>3.1945788964182022E-2</v>
      </c>
      <c r="P26" s="4">
        <v>20</v>
      </c>
      <c r="Q26" s="28">
        <f>IF(ISBLANK(omie!V24),"",omie!W24)</f>
        <v>51.47</v>
      </c>
      <c r="T26" s="28"/>
      <c r="U26"/>
    </row>
    <row r="27" spans="1:23" x14ac:dyDescent="0.2">
      <c r="A27" t="s">
        <v>816</v>
      </c>
      <c r="B27" t="s">
        <v>651</v>
      </c>
      <c r="C27" s="28">
        <v>69.680000000000007</v>
      </c>
      <c r="D27" t="s">
        <v>910</v>
      </c>
      <c r="E27" t="s">
        <v>633</v>
      </c>
      <c r="F27" s="28">
        <f ca="1">apuestas_juL24[[#This Row],[Apuesta Miniporra]]-$B$3</f>
        <v>-2.6299999999999955</v>
      </c>
      <c r="G27" s="68">
        <f ca="1">ABS(apuestas_juL24[[#This Row],[desvio]])/$B$3</f>
        <v>3.6371179643202814E-2</v>
      </c>
      <c r="H27" s="4">
        <f ca="1">_xlfn.RANK.EQ(apuestas_juL24[[#This Row],[desvio %]],apuestas_juL24[desvio %],1)</f>
        <v>12</v>
      </c>
      <c r="J27" s="66" t="s">
        <v>816</v>
      </c>
      <c r="K27" s="10">
        <f ca="1">INDEX(apuestas_juL24[orden],MATCH(resultados_jul[Apuesta MiniPorra],apuestas_juL24[Apuesta Miniporra],0))</f>
        <v>12</v>
      </c>
      <c r="L27" s="6" t="str">
        <f>apuestas_juL24[[#This Row],[Nombre]]</f>
        <v>Carlos Martínez García</v>
      </c>
      <c r="M27" s="14">
        <f>apuestas_juL24[[#This Row],[Apuesta Miniporra]]</f>
        <v>69.680000000000007</v>
      </c>
      <c r="N27" s="14">
        <f ca="1">INDEX(apuestas_juL24[desvio],MATCH(resultados_jul[[#This Row],[Apuesta MiniPorra]],apuestas_juL24[Apuesta Miniporra],0))</f>
        <v>-2.6299999999999955</v>
      </c>
      <c r="O27" s="13">
        <f ca="1">INDEX(apuestas_juL24[desvio %],MATCH(resultados_jul[[#This Row],[Apuesta MiniPorra]],apuestas_juL24[Apuesta Miniporra],0))</f>
        <v>3.6371179643202814E-2</v>
      </c>
      <c r="P27" s="4">
        <v>21</v>
      </c>
      <c r="Q27" s="28">
        <f>IF(ISBLANK(omie!V25),"",omie!W25)</f>
        <v>30.41</v>
      </c>
      <c r="T27" s="28"/>
      <c r="U27"/>
    </row>
    <row r="28" spans="1:23" x14ac:dyDescent="0.2">
      <c r="A28" t="s">
        <v>816</v>
      </c>
      <c r="B28" t="s">
        <v>409</v>
      </c>
      <c r="C28" s="28">
        <v>69.55</v>
      </c>
      <c r="D28" t="s">
        <v>908</v>
      </c>
      <c r="E28" t="s">
        <v>462</v>
      </c>
      <c r="F28" s="28">
        <f ca="1">apuestas_juL24[[#This Row],[Apuesta Miniporra]]-$B$3</f>
        <v>-2.7600000000000051</v>
      </c>
      <c r="G28" s="68">
        <f ca="1">ABS(apuestas_juL24[[#This Row],[desvio]])/$B$3</f>
        <v>3.8168994606555179E-2</v>
      </c>
      <c r="H28" s="4">
        <f ca="1">_xlfn.RANK.EQ(apuestas_juL24[[#This Row],[desvio %]],apuestas_juL24[desvio %],1)</f>
        <v>13</v>
      </c>
      <c r="J28" s="66" t="s">
        <v>816</v>
      </c>
      <c r="K28" s="10">
        <f ca="1">INDEX(apuestas_juL24[orden],MATCH(resultados_jul[Apuesta MiniPorra],apuestas_juL24[Apuesta Miniporra],0))</f>
        <v>13</v>
      </c>
      <c r="L28" s="6" t="str">
        <f>apuestas_juL24[[#This Row],[Nombre]]</f>
        <v>Gladys Rocha Blanco</v>
      </c>
      <c r="M28" s="14">
        <f>apuestas_juL24[[#This Row],[Apuesta Miniporra]]</f>
        <v>69.55</v>
      </c>
      <c r="N28" s="14">
        <f ca="1">INDEX(apuestas_juL24[desvio],MATCH(resultados_jul[[#This Row],[Apuesta MiniPorra]],apuestas_juL24[Apuesta Miniporra],0))</f>
        <v>-2.7600000000000051</v>
      </c>
      <c r="O28" s="13">
        <f ca="1">INDEX(apuestas_juL24[desvio %],MATCH(resultados_jul[[#This Row],[Apuesta MiniPorra]],apuestas_juL24[Apuesta Miniporra],0))</f>
        <v>3.8168994606555179E-2</v>
      </c>
      <c r="P28" s="4">
        <v>22</v>
      </c>
      <c r="Q28" s="28">
        <f>IF(ISBLANK(omie!V26),"",omie!W26)</f>
        <v>79.53</v>
      </c>
      <c r="T28" s="28"/>
      <c r="U28"/>
    </row>
    <row r="29" spans="1:23" ht="11.45" customHeight="1" x14ac:dyDescent="0.2">
      <c r="A29" t="s">
        <v>816</v>
      </c>
      <c r="B29" t="s">
        <v>363</v>
      </c>
      <c r="C29" s="28">
        <v>68.8</v>
      </c>
      <c r="D29" t="s">
        <v>862</v>
      </c>
      <c r="E29" t="s">
        <v>76</v>
      </c>
      <c r="F29" s="28">
        <f ca="1">apuestas_juL24[[#This Row],[Apuesta Miniporra]]-$B$3</f>
        <v>-3.5100000000000051</v>
      </c>
      <c r="G29" s="68">
        <f ca="1">ABS(apuestas_juL24[[#This Row],[desvio]])/$B$3</f>
        <v>4.8541004010510369E-2</v>
      </c>
      <c r="H29" s="4">
        <f ca="1">_xlfn.RANK.EQ(apuestas_juL24[[#This Row],[desvio %]],apuestas_juL24[desvio %],1)</f>
        <v>14</v>
      </c>
      <c r="J29" s="66" t="s">
        <v>816</v>
      </c>
      <c r="K29" s="10">
        <f ca="1">INDEX(apuestas_juL24[orden],MATCH(resultados_jul[Apuesta MiniPorra],apuestas_juL24[Apuesta Miniporra],0))</f>
        <v>14</v>
      </c>
      <c r="L29" s="6" t="str">
        <f>apuestas_juL24[[#This Row],[Nombre]]</f>
        <v>Roque Alonso Alonso</v>
      </c>
      <c r="M29" s="14">
        <f>apuestas_juL24[[#This Row],[Apuesta Miniporra]]</f>
        <v>68.8</v>
      </c>
      <c r="N29" s="14">
        <f ca="1">INDEX(apuestas_juL24[desvio],MATCH(resultados_jul[[#This Row],[Apuesta MiniPorra]],apuestas_juL24[Apuesta Miniporra],0))</f>
        <v>-3.5100000000000051</v>
      </c>
      <c r="O29" s="13">
        <f ca="1">INDEX(apuestas_juL24[desvio %],MATCH(resultados_jul[[#This Row],[Apuesta MiniPorra]],apuestas_juL24[Apuesta Miniporra],0))</f>
        <v>4.8541004010510369E-2</v>
      </c>
      <c r="P29" s="4">
        <v>23</v>
      </c>
      <c r="Q29" s="28">
        <f>IF(ISBLANK(omie!V27),"",omie!W27)</f>
        <v>91.73</v>
      </c>
      <c r="T29" s="28"/>
      <c r="U29"/>
    </row>
    <row r="30" spans="1:23" x14ac:dyDescent="0.2">
      <c r="A30" t="s">
        <v>816</v>
      </c>
      <c r="B30" t="s">
        <v>652</v>
      </c>
      <c r="C30" s="28">
        <v>68.67</v>
      </c>
      <c r="D30" t="s">
        <v>118</v>
      </c>
      <c r="E30" t="s">
        <v>637</v>
      </c>
      <c r="F30" s="28">
        <f ca="1">apuestas_juL24[[#This Row],[Apuesta Miniporra]]-$B$3</f>
        <v>-3.6400000000000006</v>
      </c>
      <c r="G30" s="68">
        <f ca="1">ABS(apuestas_juL24[[#This Row],[desvio]])/$B$3</f>
        <v>5.033881897386254E-2</v>
      </c>
      <c r="H30" s="4">
        <f ca="1">_xlfn.RANK.EQ(apuestas_juL24[[#This Row],[desvio %]],apuestas_juL24[desvio %],1)</f>
        <v>15</v>
      </c>
      <c r="J30" s="66" t="s">
        <v>816</v>
      </c>
      <c r="K30" s="10">
        <f ca="1">INDEX(apuestas_juL24[orden],MATCH(resultados_jul[Apuesta MiniPorra],apuestas_juL24[Apuesta Miniporra],0))</f>
        <v>15</v>
      </c>
      <c r="L30" s="6" t="str">
        <f>apuestas_juL24[[#This Row],[Nombre]]</f>
        <v>Carlos Martin</v>
      </c>
      <c r="M30" s="14">
        <f>apuestas_juL24[[#This Row],[Apuesta Miniporra]]</f>
        <v>68.67</v>
      </c>
      <c r="N30" s="14">
        <f ca="1">INDEX(apuestas_juL24[desvio],MATCH(resultados_jul[[#This Row],[Apuesta MiniPorra]],apuestas_juL24[Apuesta Miniporra],0))</f>
        <v>-3.6400000000000006</v>
      </c>
      <c r="O30" s="13">
        <f ca="1">INDEX(apuestas_juL24[desvio %],MATCH(resultados_jul[[#This Row],[Apuesta MiniPorra]],apuestas_juL24[Apuesta Miniporra],0))</f>
        <v>5.033881897386254E-2</v>
      </c>
      <c r="P30" s="4">
        <v>24</v>
      </c>
      <c r="Q30" s="28">
        <f>IF(ISBLANK(omie!V28),"",omie!W28)</f>
        <v>94.88</v>
      </c>
      <c r="T30" s="28"/>
      <c r="U30"/>
    </row>
    <row r="31" spans="1:23" x14ac:dyDescent="0.2">
      <c r="A31" t="s">
        <v>816</v>
      </c>
      <c r="B31" t="s">
        <v>1027</v>
      </c>
      <c r="C31" s="28">
        <v>68.260000000000005</v>
      </c>
      <c r="D31" t="s">
        <v>934</v>
      </c>
      <c r="E31" t="s">
        <v>935</v>
      </c>
      <c r="F31" s="28">
        <f ca="1">apuestas_juL24[[#This Row],[Apuesta Miniporra]]-$B$3</f>
        <v>-4.0499999999999972</v>
      </c>
      <c r="G31" s="68">
        <f ca="1">ABS(apuestas_juL24[[#This Row],[desvio]])/$B$3</f>
        <v>5.6008850781357998E-2</v>
      </c>
      <c r="H31" s="4">
        <f ca="1">_xlfn.RANK.EQ(apuestas_juL24[[#This Row],[desvio %]],apuestas_juL24[desvio %],1)</f>
        <v>16</v>
      </c>
      <c r="J31" s="66" t="s">
        <v>816</v>
      </c>
      <c r="K31" s="10">
        <f ca="1">INDEX(apuestas_juL24[orden],MATCH(resultados_jul[Apuesta MiniPorra],apuestas_juL24[Apuesta Miniporra],0))</f>
        <v>16</v>
      </c>
      <c r="L31" s="6" t="str">
        <f>apuestas_juL24[[#This Row],[Nombre]]</f>
        <v>Rafael Leiva</v>
      </c>
      <c r="M31" s="14">
        <f>apuestas_juL24[[#This Row],[Apuesta Miniporra]]</f>
        <v>68.260000000000005</v>
      </c>
      <c r="N31" s="14">
        <f ca="1">INDEX(apuestas_juL24[desvio],MATCH(resultados_jul[[#This Row],[Apuesta MiniPorra]],apuestas_juL24[Apuesta Miniporra],0))</f>
        <v>-4.0499999999999972</v>
      </c>
      <c r="O31" s="13">
        <f ca="1">INDEX(apuestas_juL24[desvio %],MATCH(resultados_jul[[#This Row],[Apuesta MiniPorra]],apuestas_juL24[Apuesta Miniporra],0))</f>
        <v>5.6008850781357998E-2</v>
      </c>
      <c r="P31" s="4">
        <v>25</v>
      </c>
      <c r="Q31" s="28">
        <f>IF(ISBLANK(omie!V29),"",omie!W29)</f>
        <v>89.26</v>
      </c>
      <c r="T31" s="28"/>
      <c r="U31"/>
    </row>
    <row r="32" spans="1:23" x14ac:dyDescent="0.2">
      <c r="A32" t="s">
        <v>816</v>
      </c>
      <c r="B32" t="s">
        <v>945</v>
      </c>
      <c r="C32" s="28">
        <v>68.17</v>
      </c>
      <c r="D32" t="s">
        <v>118</v>
      </c>
      <c r="E32" t="s">
        <v>904</v>
      </c>
      <c r="F32" s="28">
        <f ca="1">apuestas_juL24[[#This Row],[Apuesta Miniporra]]-$B$3</f>
        <v>-4.1400000000000006</v>
      </c>
      <c r="G32" s="68">
        <f ca="1">ABS(apuestas_juL24[[#This Row],[desvio]])/$B$3</f>
        <v>5.7253491909832671E-2</v>
      </c>
      <c r="H32" s="4">
        <f ca="1">_xlfn.RANK.EQ(apuestas_juL24[[#This Row],[desvio %]],apuestas_juL24[desvio %],1)</f>
        <v>18</v>
      </c>
      <c r="J32" s="66" t="s">
        <v>816</v>
      </c>
      <c r="K32" s="10">
        <f ca="1">INDEX(apuestas_juL24[orden],MATCH(resultados_jul[Apuesta MiniPorra],apuestas_juL24[Apuesta Miniporra],0))</f>
        <v>18</v>
      </c>
      <c r="L32" s="6" t="str">
        <f>apuestas_juL24[[#This Row],[Nombre]]</f>
        <v>Juan Redondo Ferrara</v>
      </c>
      <c r="M32" s="14">
        <f>apuestas_juL24[[#This Row],[Apuesta Miniporra]]</f>
        <v>68.17</v>
      </c>
      <c r="N32" s="14">
        <f ca="1">INDEX(apuestas_juL24[desvio],MATCH(resultados_jul[[#This Row],[Apuesta MiniPorra]],apuestas_juL24[Apuesta Miniporra],0))</f>
        <v>-4.1400000000000006</v>
      </c>
      <c r="O32" s="13">
        <f ca="1">INDEX(apuestas_juL24[desvio %],MATCH(resultados_jul[[#This Row],[Apuesta MiniPorra]],apuestas_juL24[Apuesta Miniporra],0))</f>
        <v>5.7253491909832671E-2</v>
      </c>
      <c r="P32" s="4">
        <v>26</v>
      </c>
      <c r="Q32" s="28">
        <f>IF(ISBLANK(omie!V30),"",omie!W30)</f>
        <v>94.9</v>
      </c>
      <c r="T32" s="28"/>
      <c r="U32"/>
    </row>
    <row r="33" spans="1:21" x14ac:dyDescent="0.2">
      <c r="A33" t="s">
        <v>816</v>
      </c>
      <c r="B33" t="s">
        <v>401</v>
      </c>
      <c r="C33" s="28">
        <v>68.14</v>
      </c>
      <c r="D33" t="s">
        <v>118</v>
      </c>
      <c r="E33" t="s">
        <v>883</v>
      </c>
      <c r="F33" s="28">
        <f ca="1">apuestas_juL24[[#This Row],[Apuesta Miniporra]]-$B$3</f>
        <v>-4.1700000000000017</v>
      </c>
      <c r="G33" s="68">
        <f ca="1">ABS(apuestas_juL24[[#This Row],[desvio]])/$B$3</f>
        <v>5.7668372285990893E-2</v>
      </c>
      <c r="H33" s="4">
        <f ca="1">_xlfn.RANK.EQ(apuestas_juL24[[#This Row],[desvio %]],apuestas_juL24[desvio %],1)</f>
        <v>19</v>
      </c>
      <c r="J33" s="66" t="s">
        <v>816</v>
      </c>
      <c r="K33" s="10">
        <f ca="1">INDEX(apuestas_juL24[orden],MATCH(resultados_jul[Apuesta MiniPorra],apuestas_juL24[Apuesta Miniporra],0))</f>
        <v>19</v>
      </c>
      <c r="L33" s="6" t="str">
        <f>apuestas_juL24[[#This Row],[Nombre]]</f>
        <v>Juan Pedro Conejo Sanchez</v>
      </c>
      <c r="M33" s="14">
        <f>apuestas_juL24[[#This Row],[Apuesta Miniporra]]</f>
        <v>68.14</v>
      </c>
      <c r="N33" s="14">
        <f ca="1">INDEX(apuestas_juL24[desvio],MATCH(resultados_jul[[#This Row],[Apuesta MiniPorra]],apuestas_juL24[Apuesta Miniporra],0))</f>
        <v>-4.1700000000000017</v>
      </c>
      <c r="O33" s="13">
        <f ca="1">INDEX(apuestas_juL24[desvio %],MATCH(resultados_jul[[#This Row],[Apuesta MiniPorra]],apuestas_juL24[Apuesta Miniporra],0))</f>
        <v>5.7668372285990893E-2</v>
      </c>
      <c r="P33" s="4">
        <v>27</v>
      </c>
      <c r="Q33" s="28">
        <f>IF(ISBLANK(omie!V31),"",omie!W31)</f>
        <v>76.97</v>
      </c>
      <c r="T33" s="28"/>
      <c r="U33"/>
    </row>
    <row r="34" spans="1:21" x14ac:dyDescent="0.2">
      <c r="A34" t="s">
        <v>816</v>
      </c>
      <c r="B34" t="s">
        <v>406</v>
      </c>
      <c r="C34" s="28">
        <v>68</v>
      </c>
      <c r="D34" t="s">
        <v>118</v>
      </c>
      <c r="E34" t="s">
        <v>271</v>
      </c>
      <c r="F34" s="28">
        <f ca="1">apuestas_juL24[[#This Row],[Apuesta Miniporra]]-$B$3</f>
        <v>-4.3100000000000023</v>
      </c>
      <c r="G34" s="68">
        <f ca="1">ABS(apuestas_juL24[[#This Row],[desvio]])/$B$3</f>
        <v>5.9604480708062541E-2</v>
      </c>
      <c r="H34" s="4">
        <f ca="1">_xlfn.RANK.EQ(apuestas_juL24[[#This Row],[desvio %]],apuestas_juL24[desvio %],1)</f>
        <v>21</v>
      </c>
      <c r="J34" s="66" t="s">
        <v>816</v>
      </c>
      <c r="K34" s="10">
        <f ca="1">INDEX(apuestas_juL24[orden],MATCH(resultados_jul[Apuesta MiniPorra],apuestas_juL24[Apuesta Miniporra],0))</f>
        <v>21</v>
      </c>
      <c r="L34" s="6" t="str">
        <f>apuestas_juL24[[#This Row],[Nombre]]</f>
        <v>Javier Pérez Salazar</v>
      </c>
      <c r="M34" s="14">
        <f>apuestas_juL24[[#This Row],[Apuesta Miniporra]]</f>
        <v>68</v>
      </c>
      <c r="N34" s="14">
        <f ca="1">INDEX(apuestas_juL24[desvio],MATCH(resultados_jul[[#This Row],[Apuesta MiniPorra]],apuestas_juL24[Apuesta Miniporra],0))</f>
        <v>-4.3100000000000023</v>
      </c>
      <c r="O34" s="13">
        <f ca="1">INDEX(apuestas_juL24[desvio %],MATCH(resultados_jul[[#This Row],[Apuesta MiniPorra]],apuestas_juL24[Apuesta Miniporra],0))</f>
        <v>5.9604480708062541E-2</v>
      </c>
      <c r="P34" s="4">
        <v>28</v>
      </c>
      <c r="Q34" s="28">
        <f>IF(ISBLANK(omie!V32),"",omie!W32)</f>
        <v>63.33</v>
      </c>
      <c r="T34" s="28"/>
      <c r="U34"/>
    </row>
    <row r="35" spans="1:21" x14ac:dyDescent="0.2">
      <c r="A35" t="s">
        <v>816</v>
      </c>
      <c r="B35" t="s">
        <v>217</v>
      </c>
      <c r="C35" s="28">
        <v>67.89</v>
      </c>
      <c r="D35" t="s">
        <v>118</v>
      </c>
      <c r="E35" t="s">
        <v>123</v>
      </c>
      <c r="F35" s="28">
        <f ca="1">apuestas_juL24[[#This Row],[Apuesta Miniporra]]-$B$3</f>
        <v>-4.4200000000000017</v>
      </c>
      <c r="G35" s="68">
        <f ca="1">ABS(apuestas_juL24[[#This Row],[desvio]])/$B$3</f>
        <v>6.1125708753975959E-2</v>
      </c>
      <c r="H35" s="4">
        <f ca="1">_xlfn.RANK.EQ(apuestas_juL24[[#This Row],[desvio %]],apuestas_juL24[desvio %],1)</f>
        <v>22</v>
      </c>
      <c r="J35" s="66" t="s">
        <v>816</v>
      </c>
      <c r="K35" s="10">
        <f ca="1">INDEX(apuestas_juL24[orden],MATCH(resultados_jul[Apuesta MiniPorra],apuestas_juL24[Apuesta Miniporra],0))</f>
        <v>22</v>
      </c>
      <c r="L35" s="6" t="str">
        <f>apuestas_juL24[[#This Row],[Nombre]]</f>
        <v>Fernando Sánchez-Rey Maeso</v>
      </c>
      <c r="M35" s="14">
        <f>apuestas_juL24[[#This Row],[Apuesta Miniporra]]</f>
        <v>67.89</v>
      </c>
      <c r="N35" s="14">
        <f ca="1">INDEX(apuestas_juL24[desvio],MATCH(resultados_jul[[#This Row],[Apuesta MiniPorra]],apuestas_juL24[Apuesta Miniporra],0))</f>
        <v>-4.4200000000000017</v>
      </c>
      <c r="O35" s="13">
        <f ca="1">INDEX(apuestas_juL24[desvio %],MATCH(resultados_jul[[#This Row],[Apuesta MiniPorra]],apuestas_juL24[Apuesta Miniporra],0))</f>
        <v>6.1125708753975959E-2</v>
      </c>
      <c r="P35" s="4">
        <v>29</v>
      </c>
      <c r="Q35" s="28">
        <f>IF(ISBLANK(omie!V33),"",omie!W33)</f>
        <v>108.78</v>
      </c>
      <c r="T35" s="28"/>
      <c r="U35"/>
    </row>
    <row r="36" spans="1:21" x14ac:dyDescent="0.2">
      <c r="A36" t="s">
        <v>816</v>
      </c>
      <c r="B36" t="s">
        <v>215</v>
      </c>
      <c r="C36" s="28">
        <v>67.7</v>
      </c>
      <c r="D36" t="s">
        <v>118</v>
      </c>
      <c r="E36" t="s">
        <v>103</v>
      </c>
      <c r="F36" s="28">
        <f ca="1">apuestas_juL24[[#This Row],[Apuesta Miniporra]]-$B$3</f>
        <v>-4.6099999999999994</v>
      </c>
      <c r="G36" s="68">
        <f ca="1">ABS(apuestas_juL24[[#This Row],[desvio]])/$B$3</f>
        <v>6.3753284469644581E-2</v>
      </c>
      <c r="H36" s="4">
        <f ca="1">_xlfn.RANK.EQ(apuestas_juL24[[#This Row],[desvio %]],apuestas_juL24[desvio %],1)</f>
        <v>24</v>
      </c>
      <c r="J36" s="66" t="s">
        <v>816</v>
      </c>
      <c r="K36" s="4">
        <f ca="1">INDEX(apuestas_juL24[orden],MATCH(resultados_jul[Apuesta MiniPorra],apuestas_juL24[Apuesta Miniporra],0))</f>
        <v>24</v>
      </c>
      <c r="L36" s="63" t="str">
        <f>apuestas_juL24[[#This Row],[Nombre]]</f>
        <v>Carles Estruch Puig</v>
      </c>
      <c r="M36" s="28">
        <f>apuestas_juL24[[#This Row],[Apuesta Miniporra]]</f>
        <v>67.7</v>
      </c>
      <c r="N36" s="4">
        <f ca="1">INDEX(apuestas_juL24[desvio],MATCH(resultados_jul[[#This Row],[Apuesta MiniPorra]],apuestas_juL24[Apuesta Miniporra],0))</f>
        <v>-4.6099999999999994</v>
      </c>
      <c r="O36" s="13">
        <f ca="1">INDEX(apuestas_juL24[desvio %],MATCH(resultados_jul[[#This Row],[Apuesta MiniPorra]],apuestas_juL24[Apuesta Miniporra],0))</f>
        <v>6.3753284469644581E-2</v>
      </c>
      <c r="P36" s="4">
        <v>30</v>
      </c>
      <c r="Q36" s="28">
        <f>IF(ISBLANK(omie!V34),"",omie!W34)</f>
        <v>99.71</v>
      </c>
      <c r="T36"/>
      <c r="U36"/>
    </row>
    <row r="37" spans="1:21" x14ac:dyDescent="0.2">
      <c r="A37" t="s">
        <v>816</v>
      </c>
      <c r="B37" t="s">
        <v>292</v>
      </c>
      <c r="C37" s="28">
        <v>67.45</v>
      </c>
      <c r="D37" t="s">
        <v>118</v>
      </c>
      <c r="E37" t="s">
        <v>873</v>
      </c>
      <c r="F37" s="28">
        <f ca="1">apuestas_juL24[[#This Row],[Apuesta Miniporra]]-$B$3</f>
        <v>-4.8599999999999994</v>
      </c>
      <c r="G37" s="68">
        <f ca="1">ABS(apuestas_juL24[[#This Row],[desvio]])/$B$3</f>
        <v>6.7210620937629639E-2</v>
      </c>
      <c r="H37" s="4">
        <f ca="1">_xlfn.RANK.EQ(apuestas_juL24[[#This Row],[desvio %]],apuestas_juL24[desvio %],1)</f>
        <v>25</v>
      </c>
      <c r="J37" s="66" t="s">
        <v>816</v>
      </c>
      <c r="K37" s="4">
        <f ca="1">INDEX(apuestas_juL24[orden],MATCH(resultados_jul[Apuesta MiniPorra],apuestas_juL24[Apuesta Miniporra],0))</f>
        <v>25</v>
      </c>
      <c r="L37" s="63" t="str">
        <f>apuestas_juL24[[#This Row],[Nombre]]</f>
        <v>Oscar Mulas Crespo</v>
      </c>
      <c r="M37" s="28">
        <f>apuestas_juL24[[#This Row],[Apuesta Miniporra]]</f>
        <v>67.45</v>
      </c>
      <c r="N37" s="4">
        <f ca="1">INDEX(apuestas_juL24[desvio],MATCH(resultados_jul[[#This Row],[Apuesta MiniPorra]],apuestas_juL24[Apuesta Miniporra],0))</f>
        <v>-4.8599999999999994</v>
      </c>
      <c r="O37" s="13">
        <f ca="1">INDEX(apuestas_juL24[desvio %],MATCH(resultados_jul[[#This Row],[Apuesta MiniPorra]],apuestas_juL24[Apuesta Miniporra],0))</f>
        <v>6.7210620937629639E-2</v>
      </c>
      <c r="P37" s="4">
        <v>31</v>
      </c>
      <c r="Q37" s="98">
        <f>IF(ISBLANK(omie!V35),"",omie!W35)</f>
        <v>105.34</v>
      </c>
      <c r="T37"/>
      <c r="U37"/>
    </row>
    <row r="38" spans="1:21" x14ac:dyDescent="0.2">
      <c r="A38" t="s">
        <v>816</v>
      </c>
      <c r="B38" t="s">
        <v>219</v>
      </c>
      <c r="C38" s="28">
        <v>66.67</v>
      </c>
      <c r="D38" t="s">
        <v>118</v>
      </c>
      <c r="E38" t="s">
        <v>451</v>
      </c>
      <c r="F38" s="28">
        <f ca="1">apuestas_juL24[[#This Row],[Apuesta Miniporra]]-$B$3</f>
        <v>-5.6400000000000006</v>
      </c>
      <c r="G38" s="68">
        <f ca="1">ABS(apuestas_juL24[[#This Row],[desvio]])/$B$3</f>
        <v>7.7997510717743052E-2</v>
      </c>
      <c r="H38" s="4">
        <f ca="1">_xlfn.RANK.EQ(apuestas_juL24[[#This Row],[desvio %]],apuestas_juL24[desvio %],1)</f>
        <v>28</v>
      </c>
      <c r="J38" s="66" t="s">
        <v>816</v>
      </c>
      <c r="K38" s="4">
        <f ca="1">INDEX(apuestas_juL24[orden],MATCH(resultados_jul[Apuesta MiniPorra],apuestas_juL24[Apuesta Miniporra],0))</f>
        <v>28</v>
      </c>
      <c r="L38" s="63" t="str">
        <f>apuestas_juL24[[#This Row],[Nombre]]</f>
        <v>Jaime Larrañaga Juez</v>
      </c>
      <c r="M38" s="28">
        <f>apuestas_juL24[[#This Row],[Apuesta Miniporra]]</f>
        <v>66.67</v>
      </c>
      <c r="N38" s="4">
        <f ca="1">INDEX(apuestas_juL24[desvio],MATCH(resultados_jul[[#This Row],[Apuesta MiniPorra]],apuestas_juL24[Apuesta Miniporra],0))</f>
        <v>-5.6400000000000006</v>
      </c>
      <c r="O38" s="13">
        <f ca="1">INDEX(apuestas_juL24[desvio %],MATCH(resultados_jul[[#This Row],[Apuesta MiniPorra]],apuestas_juL24[Apuesta Miniporra],0))</f>
        <v>7.7997510717743052E-2</v>
      </c>
      <c r="Q38" s="78"/>
      <c r="U38" s="42"/>
    </row>
    <row r="39" spans="1:21" x14ac:dyDescent="0.2">
      <c r="A39" t="s">
        <v>816</v>
      </c>
      <c r="B39" t="s">
        <v>543</v>
      </c>
      <c r="C39" s="28">
        <v>66.66</v>
      </c>
      <c r="D39" t="s">
        <v>928</v>
      </c>
      <c r="E39" t="s">
        <v>351</v>
      </c>
      <c r="F39" s="28">
        <f ca="1">apuestas_juL24[[#This Row],[Apuesta Miniporra]]-$B$3</f>
        <v>-5.6500000000000057</v>
      </c>
      <c r="G39" s="68">
        <f ca="1">ABS(apuestas_juL24[[#This Row],[desvio]])/$B$3</f>
        <v>7.8135804176462528E-2</v>
      </c>
      <c r="H39" s="4">
        <f ca="1">_xlfn.RANK.EQ(apuestas_juL24[[#This Row],[desvio %]],apuestas_juL24[desvio %],1)</f>
        <v>29</v>
      </c>
      <c r="J39" s="66" t="s">
        <v>816</v>
      </c>
      <c r="K39" s="4">
        <f ca="1">INDEX(apuestas_juL24[orden],MATCH(resultados_jul[Apuesta MiniPorra],apuestas_juL24[Apuesta Miniporra],0))</f>
        <v>29</v>
      </c>
      <c r="L39" s="63" t="str">
        <f>apuestas_juL24[[#This Row],[Nombre]]</f>
        <v>Roberto Parro Cortés</v>
      </c>
      <c r="M39" s="28">
        <f>apuestas_juL24[[#This Row],[Apuesta Miniporra]]</f>
        <v>66.66</v>
      </c>
      <c r="N39" s="4">
        <f ca="1">INDEX(apuestas_juL24[desvio],MATCH(resultados_jul[[#This Row],[Apuesta MiniPorra]],apuestas_juL24[Apuesta Miniporra],0))</f>
        <v>-5.6500000000000057</v>
      </c>
      <c r="O39" s="13">
        <f ca="1">INDEX(apuestas_juL24[desvio %],MATCH(resultados_jul[[#This Row],[Apuesta MiniPorra]],apuestas_juL24[Apuesta Miniporra],0))</f>
        <v>7.8135804176462528E-2</v>
      </c>
      <c r="P39" s="78"/>
      <c r="Q39" s="78"/>
      <c r="U39" s="42"/>
    </row>
    <row r="40" spans="1:21" x14ac:dyDescent="0.2">
      <c r="A40" t="s">
        <v>816</v>
      </c>
      <c r="B40" t="s">
        <v>242</v>
      </c>
      <c r="C40" s="28">
        <v>66.5</v>
      </c>
      <c r="D40" t="s">
        <v>118</v>
      </c>
      <c r="E40" t="s">
        <v>242</v>
      </c>
      <c r="F40" s="28">
        <f ca="1">apuestas_juL24[[#This Row],[Apuesta Miniporra]]-$B$3</f>
        <v>-5.8100000000000023</v>
      </c>
      <c r="G40" s="68">
        <f ca="1">ABS(apuestas_juL24[[#This Row],[desvio]])/$B$3</f>
        <v>8.0348499515972921E-2</v>
      </c>
      <c r="H40" s="4">
        <f ca="1">_xlfn.RANK.EQ(apuestas_juL24[[#This Row],[desvio %]],apuestas_juL24[desvio %],1)</f>
        <v>30</v>
      </c>
      <c r="J40" s="66" t="s">
        <v>816</v>
      </c>
      <c r="K40" s="4">
        <f ca="1">INDEX(apuestas_juL24[orden],MATCH(resultados_jul[Apuesta MiniPorra],apuestas_juL24[Apuesta Miniporra],0))</f>
        <v>30</v>
      </c>
      <c r="L40" s="63" t="str">
        <f>apuestas_juL24[[#This Row],[Nombre]]</f>
        <v>Javier Espelta</v>
      </c>
      <c r="M40" s="28">
        <f>apuestas_juL24[[#This Row],[Apuesta Miniporra]]</f>
        <v>66.5</v>
      </c>
      <c r="N40" s="4">
        <f ca="1">INDEX(apuestas_juL24[desvio],MATCH(resultados_jul[[#This Row],[Apuesta MiniPorra]],apuestas_juL24[Apuesta Miniporra],0))</f>
        <v>-5.8100000000000023</v>
      </c>
      <c r="O40" s="13">
        <f ca="1">INDEX(apuestas_juL24[desvio %],MATCH(resultados_jul[[#This Row],[Apuesta MiniPorra]],apuestas_juL24[Apuesta Miniporra],0))</f>
        <v>8.0348499515972921E-2</v>
      </c>
      <c r="P40" s="78"/>
      <c r="Q40" s="78"/>
      <c r="U40" s="42"/>
    </row>
    <row r="41" spans="1:21" x14ac:dyDescent="0.2">
      <c r="A41" t="s">
        <v>816</v>
      </c>
      <c r="B41" t="s">
        <v>803</v>
      </c>
      <c r="C41" s="28">
        <v>65.569999999999993</v>
      </c>
      <c r="D41" t="s">
        <v>859</v>
      </c>
      <c r="E41" t="s">
        <v>860</v>
      </c>
      <c r="F41" s="28">
        <f ca="1">apuestas_juL24[[#This Row],[Apuesta Miniporra]]-$B$3</f>
        <v>-6.7400000000000091</v>
      </c>
      <c r="G41" s="68">
        <f ca="1">ABS(apuestas_juL24[[#This Row],[desvio]])/$B$3</f>
        <v>9.3209791176877457E-2</v>
      </c>
      <c r="H41" s="4">
        <f ca="1">_xlfn.RANK.EQ(apuestas_juL24[[#This Row],[desvio %]],apuestas_juL24[desvio %],1)</f>
        <v>34</v>
      </c>
      <c r="J41" s="66" t="s">
        <v>816</v>
      </c>
      <c r="K41" s="4">
        <f ca="1">INDEX(apuestas_juL24[orden],MATCH(resultados_jul[Apuesta MiniPorra],apuestas_juL24[Apuesta Miniporra],0))</f>
        <v>34</v>
      </c>
      <c r="L41" s="63" t="str">
        <f>apuestas_juL24[[#This Row],[Nombre]]</f>
        <v>Jorge González Arconada</v>
      </c>
      <c r="M41" s="28">
        <f>apuestas_juL24[[#This Row],[Apuesta Miniporra]]</f>
        <v>65.569999999999993</v>
      </c>
      <c r="N41" s="4">
        <f ca="1">INDEX(apuestas_juL24[desvio],MATCH(resultados_jul[[#This Row],[Apuesta MiniPorra]],apuestas_juL24[Apuesta Miniporra],0))</f>
        <v>-6.7400000000000091</v>
      </c>
      <c r="O41" s="13">
        <f ca="1">INDEX(apuestas_juL24[desvio %],MATCH(resultados_jul[[#This Row],[Apuesta MiniPorra]],apuestas_juL24[Apuesta Miniporra],0))</f>
        <v>9.3209791176877457E-2</v>
      </c>
      <c r="P41" s="78"/>
      <c r="Q41" s="78"/>
      <c r="U41" s="42"/>
    </row>
    <row r="42" spans="1:21" x14ac:dyDescent="0.2">
      <c r="A42" t="s">
        <v>816</v>
      </c>
      <c r="B42" t="s">
        <v>784</v>
      </c>
      <c r="C42" s="28">
        <v>65.5</v>
      </c>
      <c r="D42" t="s">
        <v>856</v>
      </c>
      <c r="E42" t="s">
        <v>727</v>
      </c>
      <c r="F42" s="28">
        <f ca="1">apuestas_juL24[[#This Row],[Apuesta Miniporra]]-$B$3</f>
        <v>-6.8100000000000023</v>
      </c>
      <c r="G42" s="68">
        <f ca="1">ABS(apuestas_juL24[[#This Row],[desvio]])/$B$3</f>
        <v>9.4177845387913184E-2</v>
      </c>
      <c r="H42" s="4">
        <f ca="1">_xlfn.RANK.EQ(apuestas_juL24[[#This Row],[desvio %]],apuestas_juL24[desvio %],1)</f>
        <v>35</v>
      </c>
      <c r="J42" s="66" t="s">
        <v>816</v>
      </c>
      <c r="K42" s="4">
        <f ca="1">INDEX(apuestas_juL24[orden],MATCH(resultados_jul[Apuesta MiniPorra],apuestas_juL24[Apuesta Miniporra],0))</f>
        <v>35</v>
      </c>
      <c r="L42" t="str">
        <f>apuestas_juL24[[#This Row],[Nombre]]</f>
        <v>Paco Cuadrado</v>
      </c>
      <c r="M42" s="28">
        <f>apuestas_juL24[[#This Row],[Apuesta Miniporra]]</f>
        <v>65.5</v>
      </c>
      <c r="N42" s="4">
        <f ca="1">INDEX(apuestas_juL24[desvio],MATCH(resultados_jul[[#This Row],[Apuesta MiniPorra]],apuestas_juL24[Apuesta Miniporra],0))</f>
        <v>-6.8100000000000023</v>
      </c>
      <c r="O42" s="13">
        <f ca="1">INDEX(apuestas_juL24[desvio %],MATCH(resultados_jul[[#This Row],[Apuesta MiniPorra]],apuestas_juL24[Apuesta Miniporra],0))</f>
        <v>9.4177845387913184E-2</v>
      </c>
      <c r="P42" s="78"/>
      <c r="Q42" s="78"/>
      <c r="U42" s="42"/>
    </row>
    <row r="43" spans="1:21" x14ac:dyDescent="0.2">
      <c r="A43" t="s">
        <v>816</v>
      </c>
      <c r="B43" t="s">
        <v>362</v>
      </c>
      <c r="C43" s="28">
        <v>65.260000000000005</v>
      </c>
      <c r="D43" t="s">
        <v>118</v>
      </c>
      <c r="E43" t="s">
        <v>213</v>
      </c>
      <c r="F43" s="28">
        <f ca="1">apuestas_juL24[[#This Row],[Apuesta Miniporra]]-$B$3</f>
        <v>-7.0499999999999972</v>
      </c>
      <c r="G43" s="68">
        <f ca="1">ABS(apuestas_juL24[[#This Row],[desvio]])/$B$3</f>
        <v>9.7496888397178766E-2</v>
      </c>
      <c r="H43" s="4">
        <f ca="1">_xlfn.RANK.EQ(apuestas_juL24[[#This Row],[desvio %]],apuestas_juL24[desvio %],1)</f>
        <v>36</v>
      </c>
      <c r="J43" s="66" t="s">
        <v>816</v>
      </c>
      <c r="K43" s="4">
        <f ca="1">INDEX(apuestas_juL24[orden],MATCH(resultados_jul[Apuesta MiniPorra],apuestas_juL24[Apuesta Miniporra],0))</f>
        <v>36</v>
      </c>
      <c r="L43" t="str">
        <f>apuestas_juL24[[#This Row],[Nombre]]</f>
        <v>Inés Monroy</v>
      </c>
      <c r="M43" s="28">
        <f>apuestas_juL24[[#This Row],[Apuesta Miniporra]]</f>
        <v>65.260000000000005</v>
      </c>
      <c r="N43" s="4">
        <f ca="1">INDEX(apuestas_juL24[desvio],MATCH(resultados_jul[[#This Row],[Apuesta MiniPorra]],apuestas_juL24[Apuesta Miniporra],0))</f>
        <v>-7.0499999999999972</v>
      </c>
      <c r="O43" s="13">
        <f ca="1">INDEX(apuestas_juL24[desvio %],MATCH(resultados_jul[[#This Row],[Apuesta MiniPorra]],apuestas_juL24[Apuesta Miniporra],0))</f>
        <v>9.7496888397178766E-2</v>
      </c>
      <c r="P43" s="78"/>
      <c r="Q43" s="78"/>
      <c r="U43" s="42"/>
    </row>
    <row r="44" spans="1:21" x14ac:dyDescent="0.2">
      <c r="A44" t="s">
        <v>816</v>
      </c>
      <c r="B44" t="s">
        <v>403</v>
      </c>
      <c r="C44" s="28">
        <v>65.25</v>
      </c>
      <c r="D44" t="s">
        <v>939</v>
      </c>
      <c r="E44" t="s">
        <v>67</v>
      </c>
      <c r="F44" s="28">
        <f ca="1">apuestas_juL24[[#This Row],[Apuesta Miniporra]]-$B$3</f>
        <v>-7.0600000000000023</v>
      </c>
      <c r="G44" s="68">
        <f ca="1">ABS(apuestas_juL24[[#This Row],[desvio]])/$B$3</f>
        <v>9.7635181855898243E-2</v>
      </c>
      <c r="H44" s="4">
        <f ca="1">_xlfn.RANK.EQ(apuestas_juL24[[#This Row],[desvio %]],apuestas_juL24[desvio %],1)</f>
        <v>37</v>
      </c>
      <c r="J44" s="66" t="s">
        <v>816</v>
      </c>
      <c r="K44" s="4">
        <f ca="1">INDEX(apuestas_juL24[orden],MATCH(resultados_jul[Apuesta MiniPorra],apuestas_juL24[Apuesta Miniporra],0))</f>
        <v>37</v>
      </c>
      <c r="L44" t="str">
        <f>apuestas_juL24[[#This Row],[Nombre]]</f>
        <v>Luis Angel Garzon Velasco</v>
      </c>
      <c r="M44" s="28">
        <f>apuestas_juL24[[#This Row],[Apuesta Miniporra]]</f>
        <v>65.25</v>
      </c>
      <c r="N44" s="4">
        <f ca="1">INDEX(apuestas_juL24[desvio],MATCH(resultados_jul[[#This Row],[Apuesta MiniPorra]],apuestas_juL24[Apuesta Miniporra],0))</f>
        <v>-7.0600000000000023</v>
      </c>
      <c r="O44" s="13">
        <f ca="1">INDEX(apuestas_juL24[desvio %],MATCH(resultados_jul[[#This Row],[Apuesta MiniPorra]],apuestas_juL24[Apuesta Miniporra],0))</f>
        <v>9.7635181855898243E-2</v>
      </c>
      <c r="P44" s="78"/>
      <c r="Q44" s="78"/>
      <c r="U44" s="42"/>
    </row>
    <row r="45" spans="1:21" x14ac:dyDescent="0.2">
      <c r="A45" t="s">
        <v>816</v>
      </c>
      <c r="B45" t="s">
        <v>335</v>
      </c>
      <c r="C45" s="28">
        <v>64.709999999999994</v>
      </c>
      <c r="D45" t="s">
        <v>937</v>
      </c>
      <c r="E45" t="s">
        <v>160</v>
      </c>
      <c r="F45" s="28">
        <f ca="1">apuestas_juL24[[#This Row],[Apuesta Miniporra]]-$B$3</f>
        <v>-7.6000000000000085</v>
      </c>
      <c r="G45" s="68">
        <f ca="1">ABS(apuestas_juL24[[#This Row],[desvio]])/$B$3</f>
        <v>0.10510302862674607</v>
      </c>
      <c r="H45" s="4">
        <f ca="1">_xlfn.RANK.EQ(apuestas_juL24[[#This Row],[desvio %]],apuestas_juL24[desvio %],1)</f>
        <v>39</v>
      </c>
      <c r="J45" s="66" t="s">
        <v>816</v>
      </c>
      <c r="K45" s="4">
        <f ca="1">INDEX(apuestas_juL24[orden],MATCH(resultados_jul[Apuesta MiniPorra],apuestas_juL24[Apuesta Miniporra],0))</f>
        <v>39</v>
      </c>
      <c r="L45" t="str">
        <f>apuestas_juL24[[#This Row],[Nombre]]</f>
        <v>Carlos Callejón</v>
      </c>
      <c r="M45" s="28">
        <f>apuestas_juL24[[#This Row],[Apuesta Miniporra]]</f>
        <v>64.709999999999994</v>
      </c>
      <c r="N45" s="4">
        <f ca="1">INDEX(apuestas_juL24[desvio],MATCH(resultados_jul[[#This Row],[Apuesta MiniPorra]],apuestas_juL24[Apuesta Miniporra],0))</f>
        <v>-7.6000000000000085</v>
      </c>
      <c r="O45" s="13">
        <f ca="1">INDEX(apuestas_juL24[desvio %],MATCH(resultados_jul[[#This Row],[Apuesta MiniPorra]],apuestas_juL24[Apuesta Miniporra],0))</f>
        <v>0.10510302862674607</v>
      </c>
      <c r="P45" s="78"/>
      <c r="Q45" s="78"/>
      <c r="U45" s="42"/>
    </row>
    <row r="46" spans="1:21" x14ac:dyDescent="0.2">
      <c r="A46" t="s">
        <v>816</v>
      </c>
      <c r="B46" t="s">
        <v>946</v>
      </c>
      <c r="C46" s="28">
        <v>64.67</v>
      </c>
      <c r="D46" t="s">
        <v>118</v>
      </c>
      <c r="E46" t="s">
        <v>894</v>
      </c>
      <c r="F46" s="28">
        <f ca="1">apuestas_juL24[[#This Row],[Apuesta Miniporra]]-$B$3</f>
        <v>-7.6400000000000006</v>
      </c>
      <c r="G46" s="68">
        <f ca="1">ABS(apuestas_juL24[[#This Row],[desvio]])/$B$3</f>
        <v>0.10565620246162356</v>
      </c>
      <c r="H46" s="4">
        <f ca="1">_xlfn.RANK.EQ(apuestas_juL24[[#This Row],[desvio %]],apuestas_juL24[desvio %],1)</f>
        <v>40</v>
      </c>
      <c r="J46" s="66" t="s">
        <v>816</v>
      </c>
      <c r="K46" s="4">
        <f ca="1">INDEX(apuestas_juL24[orden],MATCH(resultados_jul[Apuesta MiniPorra],apuestas_juL24[Apuesta Miniporra],0))</f>
        <v>40</v>
      </c>
      <c r="L46" t="str">
        <f>apuestas_juL24[[#This Row],[Nombre]]</f>
        <v>Javier Perez De Eulate</v>
      </c>
      <c r="M46" s="28">
        <f>apuestas_juL24[[#This Row],[Apuesta Miniporra]]</f>
        <v>64.67</v>
      </c>
      <c r="N46" s="4">
        <f ca="1">INDEX(apuestas_juL24[desvio],MATCH(resultados_jul[[#This Row],[Apuesta MiniPorra]],apuestas_juL24[Apuesta Miniporra],0))</f>
        <v>-7.6400000000000006</v>
      </c>
      <c r="O46" s="13">
        <f ca="1">INDEX(apuestas_juL24[desvio %],MATCH(resultados_jul[[#This Row],[Apuesta MiniPorra]],apuestas_juL24[Apuesta Miniporra],0))</f>
        <v>0.10565620246162356</v>
      </c>
      <c r="P46" s="78"/>
      <c r="Q46" s="78"/>
      <c r="U46" s="42"/>
    </row>
    <row r="47" spans="1:21" x14ac:dyDescent="0.2">
      <c r="A47" t="s">
        <v>816</v>
      </c>
      <c r="B47" t="s">
        <v>947</v>
      </c>
      <c r="C47" s="28">
        <v>64.239999999999995</v>
      </c>
      <c r="D47" t="s">
        <v>118</v>
      </c>
      <c r="E47" t="s">
        <v>839</v>
      </c>
      <c r="F47" s="28">
        <f ca="1">apuestas_juL24[[#This Row],[Apuesta Miniporra]]-$B$3</f>
        <v>-8.0700000000000074</v>
      </c>
      <c r="G47" s="68">
        <f ca="1">ABS(apuestas_juL24[[#This Row],[desvio]])/$B$3</f>
        <v>0.11160282118655797</v>
      </c>
      <c r="H47" s="4">
        <f ca="1">_xlfn.RANK.EQ(apuestas_juL24[[#This Row],[desvio %]],apuestas_juL24[desvio %],1)</f>
        <v>41</v>
      </c>
      <c r="J47" s="66" t="s">
        <v>816</v>
      </c>
      <c r="K47" s="4">
        <f ca="1">INDEX(apuestas_juL24[orden],MATCH(resultados_jul[Apuesta MiniPorra],apuestas_juL24[Apuesta Miniporra],0))</f>
        <v>41</v>
      </c>
      <c r="L47" t="str">
        <f>apuestas_juL24[[#This Row],[Nombre]]</f>
        <v>Jose Carlos Perez</v>
      </c>
      <c r="M47" s="28">
        <f>apuestas_juL24[[#This Row],[Apuesta Miniporra]]</f>
        <v>64.239999999999995</v>
      </c>
      <c r="N47" s="4">
        <f ca="1">INDEX(apuestas_juL24[desvio],MATCH(resultados_jul[[#This Row],[Apuesta MiniPorra]],apuestas_juL24[Apuesta Miniporra],0))</f>
        <v>-8.0700000000000074</v>
      </c>
      <c r="O47" s="13">
        <f ca="1">INDEX(apuestas_juL24[desvio %],MATCH(resultados_jul[[#This Row],[Apuesta MiniPorra]],apuestas_juL24[Apuesta Miniporra],0))</f>
        <v>0.11160282118655797</v>
      </c>
      <c r="P47" s="78"/>
      <c r="Q47" s="78"/>
      <c r="U47" s="42"/>
    </row>
    <row r="48" spans="1:21" x14ac:dyDescent="0.2">
      <c r="A48" t="s">
        <v>816</v>
      </c>
      <c r="B48" t="s">
        <v>932</v>
      </c>
      <c r="C48" s="28">
        <v>63.91</v>
      </c>
      <c r="D48" t="s">
        <v>118</v>
      </c>
      <c r="E48" t="s">
        <v>932</v>
      </c>
      <c r="F48" s="28">
        <f ca="1">apuestas_juL24[[#This Row],[Apuesta Miniporra]]-$B$3</f>
        <v>-8.4000000000000057</v>
      </c>
      <c r="G48" s="68">
        <f ca="1">ABS(apuestas_juL24[[#This Row],[desvio]])/$B$3</f>
        <v>0.11616650532429823</v>
      </c>
      <c r="H48" s="4">
        <f ca="1">_xlfn.RANK.EQ(apuestas_juL24[[#This Row],[desvio %]],apuestas_juL24[desvio %],1)</f>
        <v>42</v>
      </c>
      <c r="J48" s="66" t="s">
        <v>816</v>
      </c>
      <c r="K48" s="4">
        <f ca="1">INDEX(apuestas_juL24[orden],MATCH(resultados_jul[Apuesta MiniPorra],apuestas_juL24[Apuesta Miniporra],0))</f>
        <v>42</v>
      </c>
      <c r="L48" t="str">
        <f>apuestas_juL24[[#This Row],[Nombre]]</f>
        <v>José Valle</v>
      </c>
      <c r="M48" s="28">
        <f>apuestas_juL24[[#This Row],[Apuesta Miniporra]]</f>
        <v>63.91</v>
      </c>
      <c r="N48" s="4">
        <f ca="1">INDEX(apuestas_juL24[desvio],MATCH(resultados_jul[[#This Row],[Apuesta MiniPorra]],apuestas_juL24[Apuesta Miniporra],0))</f>
        <v>-8.4000000000000057</v>
      </c>
      <c r="O48" s="13">
        <f ca="1">INDEX(apuestas_juL24[desvio %],MATCH(resultados_jul[[#This Row],[Apuesta MiniPorra]],apuestas_juL24[Apuesta Miniporra],0))</f>
        <v>0.11616650532429823</v>
      </c>
      <c r="P48" s="78"/>
      <c r="Q48" s="78"/>
      <c r="U48" s="42"/>
    </row>
    <row r="49" spans="1:21" x14ac:dyDescent="0.2">
      <c r="A49" t="s">
        <v>816</v>
      </c>
      <c r="B49" t="s">
        <v>405</v>
      </c>
      <c r="C49" s="28">
        <v>60.68</v>
      </c>
      <c r="D49" t="s">
        <v>118</v>
      </c>
      <c r="E49" t="s">
        <v>159</v>
      </c>
      <c r="F49" s="28">
        <f ca="1">apuestas_juL24[[#This Row],[Apuesta Miniporra]]-$B$3</f>
        <v>-11.630000000000003</v>
      </c>
      <c r="G49" s="68">
        <f ca="1">ABS(apuestas_juL24[[#This Row],[desvio]])/$B$3</f>
        <v>0.16083529249066522</v>
      </c>
      <c r="H49" s="4">
        <f ca="1">_xlfn.RANK.EQ(apuestas_juL24[[#This Row],[desvio %]],apuestas_juL24[desvio %],1)</f>
        <v>43</v>
      </c>
      <c r="J49" s="66" t="s">
        <v>816</v>
      </c>
      <c r="K49" s="4">
        <f ca="1">INDEX(apuestas_juL24[orden],MATCH(resultados_jul[Apuesta MiniPorra],apuestas_juL24[Apuesta Miniporra],0))</f>
        <v>43</v>
      </c>
      <c r="L49" t="str">
        <f>apuestas_juL24[[#This Row],[Nombre]]</f>
        <v>Marc Soler Collell</v>
      </c>
      <c r="M49" s="28">
        <f>apuestas_juL24[[#This Row],[Apuesta Miniporra]]</f>
        <v>60.68</v>
      </c>
      <c r="N49" s="4">
        <f ca="1">INDEX(apuestas_juL24[desvio],MATCH(resultados_jul[[#This Row],[Apuesta MiniPorra]],apuestas_juL24[Apuesta Miniporra],0))</f>
        <v>-11.630000000000003</v>
      </c>
      <c r="O49" s="71">
        <f ca="1">INDEX(apuestas_juL24[desvio %],MATCH(resultados_jul[[#This Row],[Apuesta MiniPorra]],apuestas_juL24[Apuesta Miniporra],0))</f>
        <v>0.16083529249066522</v>
      </c>
      <c r="P49" s="78"/>
      <c r="Q49" s="78"/>
      <c r="U49" s="42"/>
    </row>
    <row r="50" spans="1:21" x14ac:dyDescent="0.2">
      <c r="A50" t="s">
        <v>816</v>
      </c>
      <c r="B50" t="s">
        <v>9</v>
      </c>
      <c r="C50" s="28">
        <v>60</v>
      </c>
      <c r="D50" t="s">
        <v>907</v>
      </c>
      <c r="E50" t="s">
        <v>561</v>
      </c>
      <c r="F50" s="28">
        <f ca="1">apuestas_juL24[[#This Row],[Apuesta Miniporra]]-$B$3</f>
        <v>-12.310000000000002</v>
      </c>
      <c r="G50" s="68">
        <f ca="1">ABS(apuestas_juL24[[#This Row],[desvio]])/$B$3</f>
        <v>0.17023924768358459</v>
      </c>
      <c r="H50" s="4">
        <f ca="1">_xlfn.RANK.EQ(apuestas_juL24[[#This Row],[desvio %]],apuestas_juL24[desvio %],1)</f>
        <v>44</v>
      </c>
      <c r="J50" s="66" t="s">
        <v>816</v>
      </c>
      <c r="K50" s="4">
        <f ca="1">INDEX(apuestas_juL24[orden],MATCH(resultados_jul[Apuesta MiniPorra],apuestas_juL24[Apuesta Miniporra],0))</f>
        <v>44</v>
      </c>
      <c r="L50" t="str">
        <f>apuestas_juL24[[#This Row],[Nombre]]</f>
        <v>Alfonso Zárate Conde</v>
      </c>
      <c r="M50" s="28">
        <f>apuestas_juL24[[#This Row],[Apuesta Miniporra]]</f>
        <v>60</v>
      </c>
      <c r="N50" s="4">
        <f ca="1">INDEX(apuestas_juL24[desvio],MATCH(resultados_jul[[#This Row],[Apuesta MiniPorra]],apuestas_juL24[Apuesta Miniporra],0))</f>
        <v>-12.310000000000002</v>
      </c>
      <c r="O50" s="71">
        <f ca="1">INDEX(apuestas_juL24[desvio %],MATCH(resultados_jul[[#This Row],[Apuesta MiniPorra]],apuestas_juL24[Apuesta Miniporra],0))</f>
        <v>0.17023924768358459</v>
      </c>
      <c r="P50" s="78"/>
      <c r="Q50" s="78"/>
      <c r="U50" s="42"/>
    </row>
    <row r="51" spans="1:21" x14ac:dyDescent="0.2">
      <c r="A51" t="s">
        <v>816</v>
      </c>
      <c r="B51" t="s">
        <v>948</v>
      </c>
      <c r="C51" s="28">
        <v>58.37</v>
      </c>
      <c r="D51" t="s">
        <v>866</v>
      </c>
      <c r="E51" t="s">
        <v>867</v>
      </c>
      <c r="F51" s="28">
        <f ca="1">apuestas_juL24[[#This Row],[Apuesta Miniporra]]-$B$3</f>
        <v>-13.940000000000005</v>
      </c>
      <c r="G51" s="68">
        <f ca="1">ABS(apuestas_juL24[[#This Row],[desvio]])/$B$3</f>
        <v>0.19278108145484724</v>
      </c>
      <c r="H51" s="4">
        <f ca="1">_xlfn.RANK.EQ(apuestas_juL24[[#This Row],[desvio %]],apuestas_juL24[desvio %],1)</f>
        <v>45</v>
      </c>
      <c r="J51" s="66" t="s">
        <v>816</v>
      </c>
      <c r="K51" s="4">
        <f ca="1">INDEX(apuestas_juL24[orden],MATCH(resultados_jul[Apuesta MiniPorra],apuestas_juL24[Apuesta Miniporra],0))</f>
        <v>45</v>
      </c>
      <c r="L51" t="str">
        <f>apuestas_juL24[[#This Row],[Nombre]]</f>
        <v>Juan José Cuervo Arias</v>
      </c>
      <c r="M51" s="28">
        <f>apuestas_juL24[[#This Row],[Apuesta Miniporra]]</f>
        <v>58.37</v>
      </c>
      <c r="N51" s="4">
        <f ca="1">INDEX(apuestas_juL24[desvio],MATCH(resultados_jul[[#This Row],[Apuesta MiniPorra]],apuestas_juL24[Apuesta Miniporra],0))</f>
        <v>-13.940000000000005</v>
      </c>
      <c r="O51" s="71">
        <f ca="1">INDEX(apuestas_juL24[desvio %],MATCH(resultados_jul[[#This Row],[Apuesta MiniPorra]],apuestas_juL24[Apuesta Miniporra],0))</f>
        <v>0.19278108145484724</v>
      </c>
      <c r="P51" s="78"/>
      <c r="Q51" s="78"/>
      <c r="U51" s="42"/>
    </row>
    <row r="52" spans="1:21" x14ac:dyDescent="0.2">
      <c r="A52" t="s">
        <v>816</v>
      </c>
      <c r="B52" t="s">
        <v>791</v>
      </c>
      <c r="C52" s="28">
        <v>55.1</v>
      </c>
      <c r="D52" t="s">
        <v>917</v>
      </c>
      <c r="E52" t="s">
        <v>918</v>
      </c>
      <c r="F52" s="28">
        <f ca="1">apuestas_juL24[[#This Row],[Apuesta Miniporra]]-$B$3</f>
        <v>-17.21</v>
      </c>
      <c r="G52" s="68">
        <f ca="1">ABS(apuestas_juL24[[#This Row],[desvio]])/$B$3</f>
        <v>0.23800304245609183</v>
      </c>
      <c r="H52" s="4">
        <f ca="1">_xlfn.RANK.EQ(apuestas_juL24[[#This Row],[desvio %]],apuestas_juL24[desvio %],1)</f>
        <v>46</v>
      </c>
      <c r="J52" s="66" t="s">
        <v>816</v>
      </c>
      <c r="K52" s="4">
        <f ca="1">INDEX(apuestas_juL24[orden],MATCH(resultados_jul[Apuesta MiniPorra],apuestas_juL24[Apuesta Miniporra],0))</f>
        <v>46</v>
      </c>
      <c r="L52" t="str">
        <f>apuestas_juL24[[#This Row],[Nombre]]</f>
        <v>Paco Luis Pérez Zarco</v>
      </c>
      <c r="M52" s="28">
        <f>apuestas_juL24[[#This Row],[Apuesta Miniporra]]</f>
        <v>55.1</v>
      </c>
      <c r="N52" s="4">
        <f ca="1">INDEX(apuestas_juL24[desvio],MATCH(resultados_jul[[#This Row],[Apuesta MiniPorra]],apuestas_juL24[Apuesta Miniporra],0))</f>
        <v>-17.21</v>
      </c>
      <c r="O52" s="71">
        <f ca="1">INDEX(apuestas_juL24[desvio %],MATCH(resultados_jul[[#This Row],[Apuesta MiniPorra]],apuestas_juL24[Apuesta Miniporra],0))</f>
        <v>0.23800304245609183</v>
      </c>
      <c r="P52" s="78"/>
      <c r="Q52" s="78"/>
      <c r="U52" s="42"/>
    </row>
    <row r="53" spans="1:21" x14ac:dyDescent="0.2">
      <c r="A53" t="s">
        <v>816</v>
      </c>
      <c r="B53" t="s">
        <v>949</v>
      </c>
      <c r="C53" s="28">
        <v>50.03</v>
      </c>
      <c r="D53" t="s">
        <v>118</v>
      </c>
      <c r="E53" t="s">
        <v>914</v>
      </c>
      <c r="F53" s="28">
        <f ca="1">apuestas_juL24[[#This Row],[Apuesta Miniporra]]-$B$3</f>
        <v>-22.28</v>
      </c>
      <c r="G53" s="68">
        <f ca="1">ABS(apuestas_juL24[[#This Row],[desvio]])/$B$3</f>
        <v>0.30811782602682891</v>
      </c>
      <c r="H53" s="4">
        <f ca="1">_xlfn.RANK.EQ(apuestas_juL24[[#This Row],[desvio %]],apuestas_juL24[desvio %],1)</f>
        <v>47</v>
      </c>
      <c r="J53" s="66" t="s">
        <v>816</v>
      </c>
      <c r="K53" s="4">
        <f ca="1">INDEX(apuestas_juL24[orden],MATCH(resultados_jul[Apuesta MiniPorra],apuestas_juL24[Apuesta Miniporra],0))</f>
        <v>47</v>
      </c>
      <c r="L53" t="str">
        <f>apuestas_juL24[[#This Row],[Nombre]]</f>
        <v>Lucia Garin</v>
      </c>
      <c r="M53" s="28">
        <f>apuestas_juL24[[#This Row],[Apuesta Miniporra]]</f>
        <v>50.03</v>
      </c>
      <c r="N53" s="4">
        <f ca="1">INDEX(apuestas_juL24[desvio],MATCH(resultados_jul[[#This Row],[Apuesta MiniPorra]],apuestas_juL24[Apuesta Miniporra],0))</f>
        <v>-22.28</v>
      </c>
      <c r="O53" s="71">
        <f ca="1">INDEX(apuestas_juL24[desvio %],MATCH(resultados_jul[[#This Row],[Apuesta MiniPorra]],apuestas_juL24[Apuesta Miniporra],0))</f>
        <v>0.30811782602682891</v>
      </c>
      <c r="P53" s="71"/>
      <c r="Q53" s="71"/>
      <c r="U53" s="42"/>
    </row>
    <row r="54" spans="1:21" x14ac:dyDescent="0.2">
      <c r="A54" t="s">
        <v>816</v>
      </c>
      <c r="B54" t="s">
        <v>407</v>
      </c>
      <c r="C54" s="28">
        <v>48.3</v>
      </c>
      <c r="D54" t="s">
        <v>118</v>
      </c>
      <c r="E54" t="s">
        <v>151</v>
      </c>
      <c r="F54" s="28">
        <f ca="1">apuestas_juL24[[#This Row],[Apuesta Miniporra]]-$B$3</f>
        <v>-24.010000000000005</v>
      </c>
      <c r="G54" s="68">
        <f ca="1">ABS(apuestas_juL24[[#This Row],[desvio]])/$B$3</f>
        <v>0.33204259438528566</v>
      </c>
      <c r="H54" s="4">
        <f ca="1">_xlfn.RANK.EQ(apuestas_juL24[[#This Row],[desvio %]],apuestas_juL24[desvio %],1)</f>
        <v>48</v>
      </c>
      <c r="J54" s="66" t="s">
        <v>816</v>
      </c>
      <c r="K54" s="4">
        <f ca="1">INDEX(apuestas_juL24[orden],MATCH(resultados_jul[Apuesta MiniPorra],apuestas_juL24[Apuesta Miniporra],0))</f>
        <v>48</v>
      </c>
      <c r="L54" t="str">
        <f>apuestas_juL24[[#This Row],[Nombre]]</f>
        <v>Vicente Fayos Gavila</v>
      </c>
      <c r="M54" s="28">
        <f>apuestas_juL24[[#This Row],[Apuesta Miniporra]]</f>
        <v>48.3</v>
      </c>
      <c r="N54" s="4">
        <f ca="1">INDEX(apuestas_juL24[desvio],MATCH(resultados_jul[[#This Row],[Apuesta MiniPorra]],apuestas_juL24[Apuesta Miniporra],0))</f>
        <v>-24.010000000000005</v>
      </c>
      <c r="O54" s="71">
        <f ca="1">INDEX(apuestas_juL24[desvio %],MATCH(resultados_jul[[#This Row],[Apuesta MiniPorra]],apuestas_juL24[Apuesta Miniporra],0))</f>
        <v>0.33204259438528566</v>
      </c>
      <c r="U54" s="42"/>
    </row>
    <row r="55" spans="1:21" x14ac:dyDescent="0.2">
      <c r="A55" t="s">
        <v>816</v>
      </c>
      <c r="B55" t="s">
        <v>650</v>
      </c>
      <c r="C55" s="28">
        <v>47.3</v>
      </c>
      <c r="D55" t="s">
        <v>118</v>
      </c>
      <c r="E55" t="s">
        <v>760</v>
      </c>
      <c r="F55" s="28">
        <f ca="1">apuestas_juL24[[#This Row],[Apuesta Miniporra]]-$B$3</f>
        <v>-25.010000000000005</v>
      </c>
      <c r="G55" s="68">
        <f ca="1">ABS(apuestas_juL24[[#This Row],[desvio]])/$B$3</f>
        <v>0.3458719402572259</v>
      </c>
      <c r="H55" s="4">
        <f ca="1">_xlfn.RANK.EQ(apuestas_juL24[[#This Row],[desvio %]],apuestas_juL24[desvio %],1)</f>
        <v>49</v>
      </c>
      <c r="J55" s="66" t="s">
        <v>816</v>
      </c>
      <c r="K55" s="4">
        <f ca="1">INDEX(apuestas_juL24[orden],MATCH(resultados_jul[Apuesta MiniPorra],apuestas_juL24[Apuesta Miniporra],0))</f>
        <v>49</v>
      </c>
      <c r="L55" t="str">
        <f>apuestas_juL24[[#This Row],[Nombre]]</f>
        <v>Iñaki Moriana García</v>
      </c>
      <c r="M55" s="28">
        <f>apuestas_juL24[[#This Row],[Apuesta Miniporra]]</f>
        <v>47.3</v>
      </c>
      <c r="N55" s="4">
        <f ca="1">INDEX(apuestas_juL24[desvio],MATCH(resultados_jul[[#This Row],[Apuesta MiniPorra]],apuestas_juL24[Apuesta Miniporra],0))</f>
        <v>-25.010000000000005</v>
      </c>
      <c r="O55" s="71">
        <f ca="1">INDEX(apuestas_juL24[desvio %],MATCH(resultados_jul[[#This Row],[Apuesta MiniPorra]],apuestas_juL24[Apuesta Miniporra],0))</f>
        <v>0.3458719402572259</v>
      </c>
      <c r="U55" s="42"/>
    </row>
    <row r="56" spans="1:21" x14ac:dyDescent="0.2">
      <c r="A56" t="s">
        <v>816</v>
      </c>
      <c r="B56" t="s">
        <v>950</v>
      </c>
      <c r="C56" s="28">
        <v>43.4</v>
      </c>
      <c r="D56" t="s">
        <v>818</v>
      </c>
      <c r="E56" t="s">
        <v>813</v>
      </c>
      <c r="F56" s="28">
        <f ca="1">apuestas_juL24[[#This Row],[Apuesta Miniporra]]-$B$3</f>
        <v>-28.910000000000004</v>
      </c>
      <c r="G56" s="68">
        <f ca="1">ABS(apuestas_juL24[[#This Row],[desvio]])/$B$3</f>
        <v>0.39980638915779287</v>
      </c>
      <c r="H56" s="4">
        <f ca="1">_xlfn.RANK.EQ(apuestas_juL24[[#This Row],[desvio %]],apuestas_juL24[desvio %],1)</f>
        <v>50</v>
      </c>
      <c r="J56" s="66" t="s">
        <v>816</v>
      </c>
      <c r="K56" s="4">
        <f ca="1">INDEX(apuestas_juL24[orden],MATCH(resultados_jul[Apuesta MiniPorra],apuestas_juL24[Apuesta Miniporra],0))</f>
        <v>50</v>
      </c>
      <c r="L56" t="str">
        <f>apuestas_juL24[[#This Row],[Nombre]]</f>
        <v>Hugo Pimiento</v>
      </c>
      <c r="M56" s="28">
        <f>apuestas_juL24[[#This Row],[Apuesta Miniporra]]</f>
        <v>43.4</v>
      </c>
      <c r="N56" s="4">
        <f ca="1">INDEX(apuestas_juL24[desvio],MATCH(resultados_jul[[#This Row],[Apuesta MiniPorra]],apuestas_juL24[Apuesta Miniporra],0))</f>
        <v>-28.910000000000004</v>
      </c>
      <c r="O56" s="71">
        <f ca="1">INDEX(apuestas_juL24[desvio %],MATCH(resultados_jul[[#This Row],[Apuesta MiniPorra]],apuestas_juL24[Apuesta Miniporra],0))</f>
        <v>0.39980638915779287</v>
      </c>
      <c r="U56" s="42"/>
    </row>
    <row r="57" spans="1:21" x14ac:dyDescent="0.2">
      <c r="A57" t="s">
        <v>816</v>
      </c>
      <c r="B57" t="s">
        <v>951</v>
      </c>
      <c r="C57" s="28">
        <v>37.64</v>
      </c>
      <c r="D57" t="s">
        <v>118</v>
      </c>
      <c r="E57" t="s">
        <v>868</v>
      </c>
      <c r="F57" s="28">
        <f ca="1">apuestas_juL24[[#This Row],[Apuesta Miniporra]]-$B$3</f>
        <v>-34.67</v>
      </c>
      <c r="G57" s="68">
        <f ca="1">ABS(apuestas_juL24[[#This Row],[desvio]])/$B$3</f>
        <v>0.47946342138016873</v>
      </c>
      <c r="H57" s="4">
        <f ca="1">_xlfn.RANK.EQ(apuestas_juL24[[#This Row],[desvio %]],apuestas_juL24[desvio %],1)</f>
        <v>51</v>
      </c>
      <c r="J57" s="66" t="s">
        <v>816</v>
      </c>
      <c r="K57" s="4">
        <f ca="1">INDEX(apuestas_juL24[orden],MATCH(resultados_jul[Apuesta MiniPorra],apuestas_juL24[Apuesta Miniporra],0))</f>
        <v>51</v>
      </c>
      <c r="L57" t="str">
        <f>apuestas_juL24[[#This Row],[Nombre]]</f>
        <v>Gonzalo Cruz Ortega</v>
      </c>
      <c r="M57" s="28">
        <f>apuestas_juL24[[#This Row],[Apuesta Miniporra]]</f>
        <v>37.64</v>
      </c>
      <c r="N57" s="4">
        <f ca="1">INDEX(apuestas_juL24[desvio],MATCH(resultados_jul[[#This Row],[Apuesta MiniPorra]],apuestas_juL24[Apuesta Miniporra],0))</f>
        <v>-34.67</v>
      </c>
      <c r="O57" s="71">
        <f ca="1">INDEX(apuestas_juL24[desvio %],MATCH(resultados_jul[[#This Row],[Apuesta MiniPorra]],apuestas_juL24[Apuesta Miniporra],0))</f>
        <v>0.47946342138016873</v>
      </c>
      <c r="U57" s="42"/>
    </row>
    <row r="58" spans="1:21" x14ac:dyDescent="0.2">
      <c r="A58" t="s">
        <v>816</v>
      </c>
      <c r="B58" t="s">
        <v>952</v>
      </c>
      <c r="C58" s="28">
        <v>33.6</v>
      </c>
      <c r="D58" t="s">
        <v>844</v>
      </c>
      <c r="E58" t="s">
        <v>842</v>
      </c>
      <c r="F58" s="28">
        <f ca="1">apuestas_juL24[[#This Row],[Apuesta Miniporra]]-$B$3</f>
        <v>-38.71</v>
      </c>
      <c r="G58" s="68">
        <f ca="1">ABS(apuestas_juL24[[#This Row],[desvio]])/$B$3</f>
        <v>0.5353339787028073</v>
      </c>
      <c r="H58" s="4">
        <f ca="1">_xlfn.RANK.EQ(apuestas_juL24[[#This Row],[desvio %]],apuestas_juL24[desvio %],1)</f>
        <v>52</v>
      </c>
      <c r="J58" s="66" t="s">
        <v>816</v>
      </c>
      <c r="K58" s="4">
        <f ca="1">INDEX(apuestas_juL24[orden],MATCH(resultados_jul[Apuesta MiniPorra],apuestas_juL24[Apuesta Miniporra],0))</f>
        <v>52</v>
      </c>
      <c r="L58" t="str">
        <f>apuestas_juL24[[#This Row],[Nombre]]</f>
        <v>Moisés Labarquilla</v>
      </c>
      <c r="M58" s="28">
        <f>apuestas_juL24[[#This Row],[Apuesta Miniporra]]</f>
        <v>33.6</v>
      </c>
      <c r="N58" s="4">
        <f ca="1">INDEX(apuestas_juL24[desvio],MATCH(resultados_jul[[#This Row],[Apuesta MiniPorra]],apuestas_juL24[Apuesta Miniporra],0))</f>
        <v>-38.71</v>
      </c>
      <c r="O58" s="71">
        <f ca="1">INDEX(apuestas_juL24[desvio %],MATCH(resultados_jul[[#This Row],[Apuesta MiniPorra]],apuestas_juL24[Apuesta Miniporra],0))</f>
        <v>0.5353339787028073</v>
      </c>
      <c r="U58" s="42"/>
    </row>
    <row r="59" spans="1:21" x14ac:dyDescent="0.2">
      <c r="K59" s="100"/>
      <c r="L59" s="100"/>
      <c r="M59" s="100"/>
      <c r="N59" s="100"/>
      <c r="O59" s="100"/>
      <c r="U59" s="42"/>
    </row>
    <row r="60" spans="1:21" x14ac:dyDescent="0.2">
      <c r="K60" s="100"/>
      <c r="L60" s="100"/>
      <c r="M60" s="100"/>
      <c r="N60" s="100"/>
      <c r="O60" s="100"/>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58">
    <cfRule type="expression" dxfId="79" priority="2">
      <formula>$K7=3</formula>
    </cfRule>
    <cfRule type="expression" dxfId="78" priority="3">
      <formula>$K7=2</formula>
    </cfRule>
    <cfRule type="expression" dxfId="77" priority="4">
      <formula>$K7=1</formula>
    </cfRule>
  </conditionalFormatting>
  <conditionalFormatting sqref="R8:S13 R17:S20 R25:S26">
    <cfRule type="expression" dxfId="76" priority="9">
      <formula>$K38=1</formula>
    </cfRule>
  </conditionalFormatting>
  <conditionalFormatting sqref="P39:Q54 Q38 P58:Q60">
    <cfRule type="expression" dxfId="75" priority="10">
      <formula>$K34=3</formula>
    </cfRule>
    <cfRule type="expression" dxfId="74" priority="11">
      <formula>$K34=2</formula>
    </cfRule>
    <cfRule type="expression" dxfId="73" priority="12">
      <formula>$K34=1</formula>
    </cfRule>
  </conditionalFormatting>
  <conditionalFormatting sqref="O7:O58">
    <cfRule type="dataBar" priority="71">
      <dataBar>
        <cfvo type="min"/>
        <cfvo type="max"/>
        <color rgb="FFFF555A"/>
      </dataBar>
      <extLst>
        <ext xmlns:x14="http://schemas.microsoft.com/office/spreadsheetml/2009/9/main" uri="{B025F937-C7B1-47D3-B67F-A62EFF666E3E}">
          <x14:id>{226C04BC-0146-464B-8A17-DC920610C600}</x14:id>
        </ext>
      </extLst>
    </cfRule>
  </conditionalFormatting>
  <conditionalFormatting sqref="C7:C58">
    <cfRule type="duplicateValues" dxfId="72" priority="81"/>
  </conditionalFormatting>
  <conditionalFormatting sqref="B7:B58">
    <cfRule type="duplicateValues" dxfId="71" priority="83"/>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891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891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891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226C04BC-0146-464B-8A17-DC920610C600}">
            <x14:dataBar minLength="0" maxLength="100" border="1" negativeBarBorderColorSameAsPositive="0">
              <x14:cfvo type="autoMin"/>
              <x14:cfvo type="autoMax"/>
              <x14:borderColor rgb="FFFF555A"/>
              <x14:negativeFillColor rgb="FFFF0000"/>
              <x14:negativeBorderColor rgb="FFFF0000"/>
              <x14:axisColor rgb="FF000000"/>
            </x14:dataBar>
          </x14:cfRule>
          <xm:sqref>O7:O58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74A24-C6CE-4113-A073-D2FF41C9B5B7}">
  <sheetPr codeName="Hoja18">
    <tabColor rgb="FFC00000"/>
  </sheetPr>
  <dimension ref="A1:Y71"/>
  <sheetViews>
    <sheetView showGridLines="0" zoomScale="130" zoomScaleNormal="130" workbookViewId="0">
      <selection activeCell="D7" sqref="D7"/>
    </sheetView>
  </sheetViews>
  <sheetFormatPr baseColWidth="10" defaultRowHeight="12" x14ac:dyDescent="0.2"/>
  <cols>
    <col min="1" max="1" width="10.140625" customWidth="1"/>
    <col min="2" max="2" width="17.2851562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9.28515625" style="4" customWidth="1"/>
    <col min="17" max="17" width="12"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COUNTA(apuestas_ago[Mes de apuesta])</f>
        <v>41</v>
      </c>
      <c r="G1" s="15" t="s">
        <v>236</v>
      </c>
      <c r="H1" s="23">
        <v>31</v>
      </c>
      <c r="I1" s="29"/>
      <c r="K1" s="136" t="s">
        <v>546</v>
      </c>
      <c r="L1" s="137"/>
      <c r="M1" s="125" t="s">
        <v>3</v>
      </c>
      <c r="N1" s="131" t="s">
        <v>1031</v>
      </c>
      <c r="O1" s="132"/>
      <c r="P1" s="129" t="s">
        <v>4</v>
      </c>
      <c r="Q1" s="130"/>
      <c r="R1" s="151" t="s">
        <v>1032</v>
      </c>
      <c r="S1" s="152"/>
      <c r="T1" s="152"/>
      <c r="U1" s="79"/>
      <c r="Y1" s="115"/>
    </row>
    <row r="2" spans="1:25" ht="12" customHeight="1" x14ac:dyDescent="0.2">
      <c r="A2" t="s">
        <v>3</v>
      </c>
      <c r="B2" s="23" t="str">
        <f>A7</f>
        <v>Ago 2024</v>
      </c>
      <c r="C2" s="4" t="s">
        <v>243</v>
      </c>
      <c r="G2" s="15" t="s">
        <v>253</v>
      </c>
      <c r="H2" s="24">
        <f ca="1">TODAY()</f>
        <v>45584</v>
      </c>
      <c r="I2" s="29"/>
      <c r="K2" s="138"/>
      <c r="L2" s="139"/>
      <c r="M2" s="126"/>
      <c r="N2" s="133"/>
      <c r="O2" s="134"/>
      <c r="P2" s="129"/>
      <c r="Q2" s="130"/>
      <c r="R2" s="151"/>
      <c r="S2" s="152"/>
      <c r="T2" s="152"/>
      <c r="U2" s="79"/>
      <c r="Y2" s="115"/>
    </row>
    <row r="3" spans="1:25" ht="12" customHeight="1" x14ac:dyDescent="0.2">
      <c r="A3" t="s">
        <v>229</v>
      </c>
      <c r="B3" s="44">
        <f ca="1">IF(C3="",ROUND(AVERAGE(omie!Z5:OFFSET(omie!Z5,MATCH(B4,omie_agosto[fecha],0)-1,0)),2),C3)</f>
        <v>91.05</v>
      </c>
      <c r="C3" s="65"/>
      <c r="G3" s="115" t="s">
        <v>248</v>
      </c>
      <c r="H3" s="115"/>
      <c r="I3" s="29"/>
      <c r="K3" s="138"/>
      <c r="L3" s="139"/>
      <c r="M3" s="127" t="s">
        <v>13</v>
      </c>
      <c r="N3" s="135">
        <f>H1</f>
        <v>31</v>
      </c>
      <c r="O3" s="135"/>
      <c r="P3" s="128">
        <f ca="1">B3</f>
        <v>91.05</v>
      </c>
      <c r="Q3" s="128"/>
      <c r="R3" s="151"/>
      <c r="S3" s="152"/>
      <c r="T3" s="152"/>
      <c r="U3" s="79"/>
      <c r="Y3" s="115"/>
    </row>
    <row r="4" spans="1:25" ht="12" customHeight="1" x14ac:dyDescent="0.2">
      <c r="A4" t="s">
        <v>6</v>
      </c>
      <c r="B4" s="3">
        <f>DATE(2024,8,H1)</f>
        <v>45535</v>
      </c>
      <c r="G4" t="s">
        <v>247</v>
      </c>
      <c r="H4" s="67">
        <f>[1]omie_dinamic_dia!$G$2</f>
        <v>20</v>
      </c>
      <c r="I4" s="29"/>
      <c r="K4" s="138"/>
      <c r="L4" s="139"/>
      <c r="M4" s="127"/>
      <c r="N4" s="135"/>
      <c r="O4" s="135"/>
      <c r="P4" s="128"/>
      <c r="Q4" s="128"/>
      <c r="R4" s="151"/>
      <c r="S4" s="152"/>
      <c r="T4" s="152"/>
      <c r="U4" s="79"/>
      <c r="Y4" s="115"/>
    </row>
    <row r="5" spans="1:25" ht="12" customHeight="1" x14ac:dyDescent="0.2">
      <c r="A5" t="s">
        <v>15</v>
      </c>
      <c r="B5" s="3">
        <f>MAX(omie_agosto[fecha])</f>
        <v>45535</v>
      </c>
      <c r="I5" s="29"/>
      <c r="K5" s="140"/>
      <c r="L5" s="141"/>
      <c r="M5" s="127"/>
      <c r="N5" s="135"/>
      <c r="O5" s="135"/>
      <c r="P5" s="128"/>
      <c r="Q5" s="128"/>
      <c r="R5" s="151"/>
      <c r="S5" s="152"/>
      <c r="T5" s="152"/>
      <c r="U5" s="79"/>
      <c r="Y5" s="115"/>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961</v>
      </c>
      <c r="B7" t="s">
        <v>1026</v>
      </c>
      <c r="C7" s="28">
        <v>87.85</v>
      </c>
      <c r="D7" t="s">
        <v>972</v>
      </c>
      <c r="E7" t="s">
        <v>973</v>
      </c>
      <c r="F7" s="28">
        <f ca="1">apuestas_ago[[#This Row],[Apuesta Miniporra]]-$B$3</f>
        <v>-3.2000000000000028</v>
      </c>
      <c r="G7" s="68">
        <f ca="1">ABS(apuestas_ago[[#This Row],[desvio]])/$B$3</f>
        <v>3.5145524437122495E-2</v>
      </c>
      <c r="H7" s="4">
        <f ca="1">_xlfn.RANK.EQ(apuestas_ago[[#This Row],[desvio %]],apuestas_ago[desvio %],1)</f>
        <v>1</v>
      </c>
      <c r="J7" s="66" t="s">
        <v>961</v>
      </c>
      <c r="K7" s="10">
        <f ca="1">INDEX(apuestas_ago[orden],MATCH(resultados_ago[Apuesta MiniPorra],apuestas_ago[Apuesta Miniporra],0))</f>
        <v>1</v>
      </c>
      <c r="L7" s="6" t="str">
        <f>apuestas_ago[[#This Row],[Nombre]]</f>
        <v>Pablo Herrero Del Barrio</v>
      </c>
      <c r="M7" s="14">
        <f>apuestas_ago[[#This Row],[Apuesta Miniporra]]</f>
        <v>87.85</v>
      </c>
      <c r="N7" s="14">
        <f ca="1">INDEX(apuestas_ago[desvio],MATCH(resultados_ago[[#This Row],[Apuesta MiniPorra]],apuestas_ago[Apuesta Miniporra],0))</f>
        <v>-3.2000000000000028</v>
      </c>
      <c r="O7" s="13">
        <f ca="1">INDEX(apuestas_ago[desvio %],MATCH(resultados_ago[[#This Row],[Apuesta MiniPorra]],apuestas_ago[Apuesta Miniporra],0))</f>
        <v>3.5145524437122495E-2</v>
      </c>
      <c r="P7" s="4">
        <v>1</v>
      </c>
      <c r="Q7" s="28">
        <f>IF(ISBLANK(omie!Y5),"",omie!Z5)</f>
        <v>107.32</v>
      </c>
      <c r="T7"/>
      <c r="U7"/>
      <c r="X7" s="4"/>
      <c r="Y7" s="4"/>
    </row>
    <row r="8" spans="1:25" x14ac:dyDescent="0.2">
      <c r="A8" t="s">
        <v>961</v>
      </c>
      <c r="B8" t="s">
        <v>645</v>
      </c>
      <c r="C8" s="28">
        <v>87.78</v>
      </c>
      <c r="D8" t="s">
        <v>118</v>
      </c>
      <c r="E8" t="s">
        <v>581</v>
      </c>
      <c r="F8" s="28">
        <f ca="1">apuestas_ago[[#This Row],[Apuesta Miniporra]]-$B$3</f>
        <v>-3.269999999999996</v>
      </c>
      <c r="G8" s="68">
        <f ca="1">ABS(apuestas_ago[[#This Row],[desvio]])/$B$3</f>
        <v>3.5914332784184475E-2</v>
      </c>
      <c r="H8" s="4">
        <f ca="1">_xlfn.RANK.EQ(apuestas_ago[[#This Row],[desvio %]],apuestas_ago[desvio %],1)</f>
        <v>2</v>
      </c>
      <c r="J8" s="66" t="s">
        <v>961</v>
      </c>
      <c r="K8" s="10">
        <f ca="1">INDEX(apuestas_ago[orden],MATCH(resultados_ago[Apuesta MiniPorra],apuestas_ago[Apuesta Miniporra],0))</f>
        <v>2</v>
      </c>
      <c r="L8" s="6" t="str">
        <f>apuestas_ago[[#This Row],[Nombre]]</f>
        <v>Jose Antonio Quidiello Antuña</v>
      </c>
      <c r="M8" s="14">
        <f>apuestas_ago[[#This Row],[Apuesta Miniporra]]</f>
        <v>87.78</v>
      </c>
      <c r="N8" s="14">
        <f ca="1">INDEX(apuestas_ago[desvio],MATCH(resultados_ago[[#This Row],[Apuesta MiniPorra]],apuestas_ago[Apuesta Miniporra],0))</f>
        <v>-3.269999999999996</v>
      </c>
      <c r="O8" s="13">
        <f ca="1">INDEX(apuestas_ago[desvio %],MATCH(resultados_ago[[#This Row],[Apuesta MiniPorra]],apuestas_ago[Apuesta Miniporra],0))</f>
        <v>3.5914332784184475E-2</v>
      </c>
      <c r="P8" s="4">
        <v>2</v>
      </c>
      <c r="Q8" s="28">
        <f>IF(ISBLANK(omie!Y6),"",omie!Z6)</f>
        <v>93.5</v>
      </c>
      <c r="R8" s="78"/>
      <c r="S8" s="78"/>
      <c r="T8"/>
      <c r="U8"/>
      <c r="X8" s="4"/>
      <c r="Y8" s="4"/>
    </row>
    <row r="9" spans="1:25" x14ac:dyDescent="0.2">
      <c r="A9" t="s">
        <v>961</v>
      </c>
      <c r="B9" t="s">
        <v>1027</v>
      </c>
      <c r="C9" s="28">
        <v>86.91</v>
      </c>
      <c r="D9" t="s">
        <v>118</v>
      </c>
      <c r="E9" t="s">
        <v>935</v>
      </c>
      <c r="F9" s="28">
        <f ca="1">apuestas_ago[[#This Row],[Apuesta Miniporra]]-$B$3</f>
        <v>-4.1400000000000006</v>
      </c>
      <c r="G9" s="68">
        <f ca="1">ABS(apuestas_ago[[#This Row],[desvio]])/$B$3</f>
        <v>4.5469522240527194E-2</v>
      </c>
      <c r="H9" s="4">
        <f ca="1">_xlfn.RANK.EQ(apuestas_ago[[#This Row],[desvio %]],apuestas_ago[desvio %],1)</f>
        <v>3</v>
      </c>
      <c r="J9" s="66" t="s">
        <v>961</v>
      </c>
      <c r="K9" s="10">
        <f ca="1">INDEX(apuestas_ago[orden],MATCH(resultados_ago[Apuesta MiniPorra],apuestas_ago[Apuesta Miniporra],0))</f>
        <v>3</v>
      </c>
      <c r="L9" s="6" t="str">
        <f>apuestas_ago[[#This Row],[Nombre]]</f>
        <v>Rafael Leiva</v>
      </c>
      <c r="M9" s="14">
        <f>apuestas_ago[[#This Row],[Apuesta Miniporra]]</f>
        <v>86.91</v>
      </c>
      <c r="N9" s="14">
        <f ca="1">INDEX(apuestas_ago[desvio],MATCH(resultados_ago[[#This Row],[Apuesta MiniPorra]],apuestas_ago[Apuesta Miniporra],0))</f>
        <v>-4.1400000000000006</v>
      </c>
      <c r="O9" s="13">
        <f ca="1">INDEX(apuestas_ago[desvio %],MATCH(resultados_ago[[#This Row],[Apuesta MiniPorra]],apuestas_ago[Apuesta Miniporra],0))</f>
        <v>4.5469522240527194E-2</v>
      </c>
      <c r="P9" s="4">
        <v>3</v>
      </c>
      <c r="Q9" s="28">
        <f>IF(ISBLANK(omie!Y7),"",omie!Z7)</f>
        <v>77.64</v>
      </c>
      <c r="R9" s="78"/>
      <c r="S9" s="78"/>
      <c r="T9" s="28"/>
      <c r="U9"/>
      <c r="X9" s="4"/>
      <c r="Y9" s="4"/>
    </row>
    <row r="10" spans="1:25" x14ac:dyDescent="0.2">
      <c r="A10" t="s">
        <v>961</v>
      </c>
      <c r="B10" t="s">
        <v>542</v>
      </c>
      <c r="C10" s="28">
        <v>82.28</v>
      </c>
      <c r="D10" t="s">
        <v>979</v>
      </c>
      <c r="E10" t="s">
        <v>542</v>
      </c>
      <c r="F10" s="28">
        <f ca="1">apuestas_ago[[#This Row],[Apuesta Miniporra]]-$B$3</f>
        <v>-8.769999999999996</v>
      </c>
      <c r="G10" s="68">
        <f ca="1">ABS(apuestas_ago[[#This Row],[desvio]])/$B$3</f>
        <v>9.6320702910488706E-2</v>
      </c>
      <c r="H10" s="4">
        <f ca="1">_xlfn.RANK.EQ(apuestas_ago[[#This Row],[desvio %]],apuestas_ago[desvio %],1)</f>
        <v>4</v>
      </c>
      <c r="J10" s="66" t="s">
        <v>961</v>
      </c>
      <c r="K10" s="103">
        <f ca="1">INDEX(apuestas_ago[orden],MATCH(resultados_ago[Apuesta MiniPorra],apuestas_ago[Apuesta Miniporra],0))</f>
        <v>4</v>
      </c>
      <c r="L10" s="104" t="str">
        <f>apuestas_ago[[#This Row],[Nombre]]</f>
        <v>Sergio Alfonso</v>
      </c>
      <c r="M10" s="105">
        <f>apuestas_ago[[#This Row],[Apuesta Miniporra]]</f>
        <v>82.28</v>
      </c>
      <c r="N10" s="105">
        <f ca="1">INDEX(apuestas_ago[desvio],MATCH(resultados_ago[[#This Row],[Apuesta MiniPorra]],apuestas_ago[Apuesta Miniporra],0))</f>
        <v>-8.769999999999996</v>
      </c>
      <c r="O10" s="106">
        <f ca="1">INDEX(apuestas_ago[desvio %],MATCH(resultados_ago[[#This Row],[Apuesta MiniPorra]],apuestas_ago[Apuesta Miniporra],0))</f>
        <v>9.6320702910488706E-2</v>
      </c>
      <c r="P10" s="4">
        <v>4</v>
      </c>
      <c r="Q10" s="28">
        <f>IF(ISBLANK(omie!Y8),"",omie!Z8)</f>
        <v>75.48</v>
      </c>
      <c r="R10" s="78"/>
      <c r="S10" s="78"/>
      <c r="T10" s="28"/>
      <c r="U10"/>
      <c r="X10" s="4"/>
      <c r="Y10" s="4"/>
    </row>
    <row r="11" spans="1:25" x14ac:dyDescent="0.2">
      <c r="A11" t="s">
        <v>961</v>
      </c>
      <c r="B11" t="s">
        <v>222</v>
      </c>
      <c r="C11" s="28">
        <v>81.599999999999994</v>
      </c>
      <c r="D11" t="s">
        <v>986</v>
      </c>
      <c r="E11" t="s">
        <v>178</v>
      </c>
      <c r="F11" s="28">
        <f ca="1">apuestas_ago[[#This Row],[Apuesta Miniporra]]-$B$3</f>
        <v>-9.4500000000000028</v>
      </c>
      <c r="G11" s="68">
        <f ca="1">ABS(apuestas_ago[[#This Row],[desvio]])/$B$3</f>
        <v>0.10378912685337729</v>
      </c>
      <c r="H11" s="4">
        <f ca="1">_xlfn.RANK.EQ(apuestas_ago[[#This Row],[desvio %]],apuestas_ago[desvio %],1)</f>
        <v>5</v>
      </c>
      <c r="J11" s="66" t="s">
        <v>961</v>
      </c>
      <c r="K11" s="103">
        <f ca="1">INDEX(apuestas_ago[orden],MATCH(resultados_ago[Apuesta MiniPorra],apuestas_ago[Apuesta Miniporra],0))</f>
        <v>5</v>
      </c>
      <c r="L11" s="104" t="str">
        <f>apuestas_ago[[#This Row],[Nombre]]</f>
        <v>Jose F Vidal</v>
      </c>
      <c r="M11" s="105">
        <f>apuestas_ago[[#This Row],[Apuesta Miniporra]]</f>
        <v>81.599999999999994</v>
      </c>
      <c r="N11" s="105">
        <f ca="1">INDEX(apuestas_ago[desvio],MATCH(resultados_ago[[#This Row],[Apuesta MiniPorra]],apuestas_ago[Apuesta Miniporra],0))</f>
        <v>-9.4500000000000028</v>
      </c>
      <c r="O11" s="106">
        <f ca="1">INDEX(apuestas_ago[desvio %],MATCH(resultados_ago[[#This Row],[Apuesta MiniPorra]],apuestas_ago[Apuesta Miniporra],0))</f>
        <v>0.10378912685337729</v>
      </c>
      <c r="P11" s="4">
        <v>5</v>
      </c>
      <c r="Q11" s="28">
        <f>IF(ISBLANK(omie!Y9),"",omie!Z9)</f>
        <v>109.82</v>
      </c>
      <c r="R11" s="78"/>
      <c r="S11" s="78"/>
      <c r="T11" s="28"/>
      <c r="U11"/>
    </row>
    <row r="12" spans="1:25" x14ac:dyDescent="0.2">
      <c r="A12" t="s">
        <v>961</v>
      </c>
      <c r="B12" t="s">
        <v>785</v>
      </c>
      <c r="C12" s="28">
        <v>80.650000000000006</v>
      </c>
      <c r="D12" t="s">
        <v>118</v>
      </c>
      <c r="E12" t="s">
        <v>733</v>
      </c>
      <c r="F12" s="28">
        <f ca="1">apuestas_ago[[#This Row],[Apuesta Miniporra]]-$B$3</f>
        <v>-10.399999999999991</v>
      </c>
      <c r="G12" s="68">
        <f ca="1">ABS(apuestas_ago[[#This Row],[desvio]])/$B$3</f>
        <v>0.11422295442064791</v>
      </c>
      <c r="H12" s="4">
        <f ca="1">_xlfn.RANK.EQ(apuestas_ago[[#This Row],[desvio %]],apuestas_ago[desvio %],1)</f>
        <v>6</v>
      </c>
      <c r="J12" s="66" t="s">
        <v>961</v>
      </c>
      <c r="K12" s="103">
        <f ca="1">INDEX(apuestas_ago[orden],MATCH(resultados_ago[Apuesta MiniPorra],apuestas_ago[Apuesta Miniporra],0))</f>
        <v>6</v>
      </c>
      <c r="L12" s="104" t="str">
        <f>apuestas_ago[[#This Row],[Nombre]]</f>
        <v>Víctor Baeschlin Sánchez</v>
      </c>
      <c r="M12" s="105">
        <f>apuestas_ago[[#This Row],[Apuesta Miniporra]]</f>
        <v>80.650000000000006</v>
      </c>
      <c r="N12" s="105">
        <f ca="1">INDEX(apuestas_ago[desvio],MATCH(resultados_ago[[#This Row],[Apuesta MiniPorra]],apuestas_ago[Apuesta Miniporra],0))</f>
        <v>-10.399999999999991</v>
      </c>
      <c r="O12" s="106">
        <f ca="1">INDEX(apuestas_ago[desvio %],MATCH(resultados_ago[[#This Row],[Apuesta MiniPorra]],apuestas_ago[Apuesta Miniporra],0))</f>
        <v>0.11422295442064791</v>
      </c>
      <c r="P12" s="4">
        <v>6</v>
      </c>
      <c r="Q12" s="28">
        <f>IF(ISBLANK(omie!Y10),"",omie!Z10)</f>
        <v>105.56</v>
      </c>
      <c r="R12" s="78"/>
      <c r="S12" s="78"/>
      <c r="T12" s="28"/>
      <c r="U12"/>
    </row>
    <row r="13" spans="1:25" x14ac:dyDescent="0.2">
      <c r="A13" t="s">
        <v>961</v>
      </c>
      <c r="B13" t="s">
        <v>219</v>
      </c>
      <c r="C13" s="28">
        <v>79.989999999999995</v>
      </c>
      <c r="D13" t="s">
        <v>118</v>
      </c>
      <c r="E13" t="s">
        <v>451</v>
      </c>
      <c r="F13" s="28">
        <f ca="1">apuestas_ago[[#This Row],[Apuesta Miniporra]]-$B$3</f>
        <v>-11.060000000000002</v>
      </c>
      <c r="G13" s="68">
        <f ca="1">ABS(apuestas_ago[[#This Row],[desvio]])/$B$3</f>
        <v>0.12147171883580453</v>
      </c>
      <c r="H13" s="4">
        <f ca="1">_xlfn.RANK.EQ(apuestas_ago[[#This Row],[desvio %]],apuestas_ago[desvio %],1)</f>
        <v>7</v>
      </c>
      <c r="J13" s="66" t="s">
        <v>961</v>
      </c>
      <c r="K13" s="103">
        <f ca="1">INDEX(apuestas_ago[orden],MATCH(resultados_ago[Apuesta MiniPorra],apuestas_ago[Apuesta Miniporra],0))</f>
        <v>7</v>
      </c>
      <c r="L13" s="104" t="str">
        <f>apuestas_ago[[#This Row],[Nombre]]</f>
        <v>Jaime Larrañaga Juez</v>
      </c>
      <c r="M13" s="105">
        <f>apuestas_ago[[#This Row],[Apuesta Miniporra]]</f>
        <v>79.989999999999995</v>
      </c>
      <c r="N13" s="105">
        <f ca="1">INDEX(apuestas_ago[desvio],MATCH(resultados_ago[[#This Row],[Apuesta MiniPorra]],apuestas_ago[Apuesta Miniporra],0))</f>
        <v>-11.060000000000002</v>
      </c>
      <c r="O13" s="106">
        <f ca="1">INDEX(apuestas_ago[desvio %],MATCH(resultados_ago[[#This Row],[Apuesta MiniPorra]],apuestas_ago[Apuesta Miniporra],0))</f>
        <v>0.12147171883580453</v>
      </c>
      <c r="P13" s="4">
        <v>7</v>
      </c>
      <c r="Q13" s="28">
        <f>IF(ISBLANK(omie!Y11),"",omie!Z11)</f>
        <v>97.43</v>
      </c>
      <c r="R13" s="78"/>
      <c r="S13" s="78"/>
      <c r="T13" s="28"/>
      <c r="U13"/>
    </row>
    <row r="14" spans="1:25" x14ac:dyDescent="0.2">
      <c r="A14" t="s">
        <v>961</v>
      </c>
      <c r="B14" t="s">
        <v>401</v>
      </c>
      <c r="C14" s="28">
        <v>78.989999999999995</v>
      </c>
      <c r="D14" t="s">
        <v>118</v>
      </c>
      <c r="E14" t="s">
        <v>963</v>
      </c>
      <c r="F14" s="28">
        <f ca="1">apuestas_ago[[#This Row],[Apuesta Miniporra]]-$B$3</f>
        <v>-12.060000000000002</v>
      </c>
      <c r="G14" s="68">
        <f ca="1">ABS(apuestas_ago[[#This Row],[desvio]])/$B$3</f>
        <v>0.1324546952224053</v>
      </c>
      <c r="H14" s="4">
        <f ca="1">_xlfn.RANK.EQ(apuestas_ago[[#This Row],[desvio %]],apuestas_ago[desvio %],1)</f>
        <v>8</v>
      </c>
      <c r="J14" s="66" t="s">
        <v>961</v>
      </c>
      <c r="K14" s="103">
        <f ca="1">INDEX(apuestas_ago[orden],MATCH(resultados_ago[Apuesta MiniPorra],apuestas_ago[Apuesta Miniporra],0))</f>
        <v>8</v>
      </c>
      <c r="L14" s="104" t="str">
        <f>apuestas_ago[[#This Row],[Nombre]]</f>
        <v>Juan Pedro Conejo Sanchez</v>
      </c>
      <c r="M14" s="105">
        <f>apuestas_ago[[#This Row],[Apuesta Miniporra]]</f>
        <v>78.989999999999995</v>
      </c>
      <c r="N14" s="105">
        <f ca="1">INDEX(apuestas_ago[desvio],MATCH(resultados_ago[[#This Row],[Apuesta MiniPorra]],apuestas_ago[Apuesta Miniporra],0))</f>
        <v>-12.060000000000002</v>
      </c>
      <c r="O14" s="106">
        <f ca="1">INDEX(apuestas_ago[desvio %],MATCH(resultados_ago[[#This Row],[Apuesta MiniPorra]],apuestas_ago[Apuesta Miniporra],0))</f>
        <v>0.1324546952224053</v>
      </c>
      <c r="P14" s="4">
        <v>8</v>
      </c>
      <c r="Q14" s="28">
        <f>IF(ISBLANK(omie!Y12),"",omie!Z12)</f>
        <v>101.19</v>
      </c>
      <c r="R14" s="78"/>
      <c r="S14" s="78"/>
      <c r="T14" s="28"/>
      <c r="U14"/>
    </row>
    <row r="15" spans="1:25" x14ac:dyDescent="0.2">
      <c r="A15" t="s">
        <v>961</v>
      </c>
      <c r="B15" t="s">
        <v>786</v>
      </c>
      <c r="C15" s="28">
        <v>78.61</v>
      </c>
      <c r="D15" t="s">
        <v>927</v>
      </c>
      <c r="E15" t="s">
        <v>739</v>
      </c>
      <c r="F15" s="28">
        <f ca="1">apuestas_ago[[#This Row],[Apuesta Miniporra]]-$B$3</f>
        <v>-12.439999999999998</v>
      </c>
      <c r="G15" s="68">
        <f ca="1">ABS(apuestas_ago[[#This Row],[desvio]])/$B$3</f>
        <v>0.13662822624931353</v>
      </c>
      <c r="H15" s="4">
        <f ca="1">_xlfn.RANK.EQ(apuestas_ago[[#This Row],[desvio %]],apuestas_ago[desvio %],1)</f>
        <v>9</v>
      </c>
      <c r="J15" s="66" t="s">
        <v>961</v>
      </c>
      <c r="K15" s="10">
        <f ca="1">INDEX(apuestas_ago[orden],MATCH(resultados_ago[Apuesta MiniPorra],apuestas_ago[Apuesta Miniporra],0))</f>
        <v>9</v>
      </c>
      <c r="L15" s="6" t="str">
        <f>apuestas_ago[[#This Row],[Nombre]]</f>
        <v>Jesús Aceituno López</v>
      </c>
      <c r="M15" s="14">
        <f>apuestas_ago[[#This Row],[Apuesta Miniporra]]</f>
        <v>78.61</v>
      </c>
      <c r="N15" s="14">
        <f ca="1">INDEX(apuestas_ago[desvio],MATCH(resultados_ago[[#This Row],[Apuesta MiniPorra]],apuestas_ago[Apuesta Miniporra],0))</f>
        <v>-12.439999999999998</v>
      </c>
      <c r="O15" s="13">
        <f ca="1">INDEX(apuestas_ago[desvio %],MATCH(resultados_ago[[#This Row],[Apuesta MiniPorra]],apuestas_ago[Apuesta Miniporra],0))</f>
        <v>0.13662822624931353</v>
      </c>
      <c r="P15" s="4">
        <v>9</v>
      </c>
      <c r="Q15" s="28">
        <f>IF(ISBLANK(omie!Y13),"",omie!Z13)</f>
        <v>102.32</v>
      </c>
      <c r="R15" s="78"/>
      <c r="S15" s="78"/>
      <c r="T15" s="28"/>
      <c r="U15"/>
    </row>
    <row r="16" spans="1:25" x14ac:dyDescent="0.2">
      <c r="A16" t="s">
        <v>961</v>
      </c>
      <c r="B16" t="s">
        <v>406</v>
      </c>
      <c r="C16" s="28">
        <v>78</v>
      </c>
      <c r="D16" t="s">
        <v>1001</v>
      </c>
      <c r="E16" t="s">
        <v>1002</v>
      </c>
      <c r="F16" s="28">
        <f ca="1">apuestas_ago[[#This Row],[Apuesta Miniporra]]-$B$3</f>
        <v>-13.049999999999997</v>
      </c>
      <c r="G16" s="68">
        <f ca="1">ABS(apuestas_ago[[#This Row],[desvio]])/$B$3</f>
        <v>0.14332784184514</v>
      </c>
      <c r="H16" s="4">
        <f ca="1">_xlfn.RANK.EQ(apuestas_ago[[#This Row],[desvio %]],apuestas_ago[desvio %],1)</f>
        <v>10</v>
      </c>
      <c r="J16" s="66" t="s">
        <v>961</v>
      </c>
      <c r="K16" s="10">
        <f ca="1">INDEX(apuestas_ago[orden],MATCH(resultados_ago[Apuesta MiniPorra],apuestas_ago[Apuesta Miniporra],0))</f>
        <v>10</v>
      </c>
      <c r="L16" s="6" t="str">
        <f>apuestas_ago[[#This Row],[Nombre]]</f>
        <v>Javier Pérez Salazar</v>
      </c>
      <c r="M16" s="14">
        <f>apuestas_ago[[#This Row],[Apuesta Miniporra]]</f>
        <v>78</v>
      </c>
      <c r="N16" s="14">
        <f ca="1">INDEX(apuestas_ago[desvio],MATCH(resultados_ago[[#This Row],[Apuesta MiniPorra]],apuestas_ago[Apuesta Miniporra],0))</f>
        <v>-13.049999999999997</v>
      </c>
      <c r="O16" s="13">
        <f ca="1">INDEX(apuestas_ago[desvio %],MATCH(resultados_ago[[#This Row],[Apuesta MiniPorra]],apuestas_ago[Apuesta Miniporra],0))</f>
        <v>0.14332784184514</v>
      </c>
      <c r="P16" s="4">
        <v>10</v>
      </c>
      <c r="Q16" s="28">
        <f>IF(ISBLANK(omie!Y14),"",omie!Z14)</f>
        <v>71.36</v>
      </c>
      <c r="R16" s="78"/>
      <c r="S16" s="78"/>
      <c r="T16" s="28"/>
      <c r="U16"/>
    </row>
    <row r="17" spans="1:23" x14ac:dyDescent="0.2">
      <c r="A17" t="s">
        <v>961</v>
      </c>
      <c r="B17" t="s">
        <v>218</v>
      </c>
      <c r="C17" s="28">
        <v>77.7</v>
      </c>
      <c r="D17" t="s">
        <v>1024</v>
      </c>
      <c r="E17" t="s">
        <v>1025</v>
      </c>
      <c r="F17" s="28">
        <f ca="1">apuestas_ago[[#This Row],[Apuesta Miniporra]]-$B$3</f>
        <v>-13.349999999999994</v>
      </c>
      <c r="G17" s="68">
        <f ca="1">ABS(apuestas_ago[[#This Row],[desvio]])/$B$3</f>
        <v>0.1466227347611202</v>
      </c>
      <c r="H17" s="4">
        <f ca="1">_xlfn.RANK.EQ(apuestas_ago[[#This Row],[desvio %]],apuestas_ago[desvio %],1)</f>
        <v>11</v>
      </c>
      <c r="J17" s="66" t="s">
        <v>961</v>
      </c>
      <c r="K17" s="10">
        <f ca="1">INDEX(apuestas_ago[orden],MATCH(resultados_ago[Apuesta MiniPorra],apuestas_ago[Apuesta Miniporra],0))</f>
        <v>11</v>
      </c>
      <c r="L17" s="6" t="str">
        <f>apuestas_ago[[#This Row],[Nombre]]</f>
        <v>Jorge Antonio González Sánchez</v>
      </c>
      <c r="M17" s="14">
        <f>apuestas_ago[[#This Row],[Apuesta Miniporra]]</f>
        <v>77.7</v>
      </c>
      <c r="N17" s="14">
        <f ca="1">INDEX(apuestas_ago[desvio],MATCH(resultados_ago[[#This Row],[Apuesta MiniPorra]],apuestas_ago[Apuesta Miniporra],0))</f>
        <v>-13.349999999999994</v>
      </c>
      <c r="O17" s="13">
        <f ca="1">INDEX(apuestas_ago[desvio %],MATCH(resultados_ago[[#This Row],[Apuesta MiniPorra]],apuestas_ago[Apuesta Miniporra],0))</f>
        <v>0.1466227347611202</v>
      </c>
      <c r="P17" s="4">
        <v>11</v>
      </c>
      <c r="Q17" s="28">
        <f>IF(ISBLANK(omie!Y15),"",omie!Z15)</f>
        <v>69.22</v>
      </c>
      <c r="R17" s="78"/>
      <c r="S17" s="78"/>
      <c r="T17" s="28"/>
      <c r="U17"/>
    </row>
    <row r="18" spans="1:23" x14ac:dyDescent="0.2">
      <c r="A18" t="s">
        <v>961</v>
      </c>
      <c r="B18" t="s">
        <v>412</v>
      </c>
      <c r="C18" s="28">
        <v>77.599999999999994</v>
      </c>
      <c r="D18" t="s">
        <v>118</v>
      </c>
      <c r="E18" t="s">
        <v>102</v>
      </c>
      <c r="F18" s="28">
        <f ca="1">apuestas_ago[[#This Row],[Apuesta Miniporra]]-$B$3</f>
        <v>-13.450000000000003</v>
      </c>
      <c r="G18" s="68">
        <f ca="1">ABS(apuestas_ago[[#This Row],[desvio]])/$B$3</f>
        <v>0.14772103239978038</v>
      </c>
      <c r="H18" s="4">
        <f ca="1">_xlfn.RANK.EQ(apuestas_ago[[#This Row],[desvio %]],apuestas_ago[desvio %],1)</f>
        <v>12</v>
      </c>
      <c r="J18" s="66" t="s">
        <v>961</v>
      </c>
      <c r="K18" s="10">
        <f ca="1">INDEX(apuestas_ago[orden],MATCH(resultados_ago[Apuesta MiniPorra],apuestas_ago[Apuesta Miniporra],0))</f>
        <v>12</v>
      </c>
      <c r="L18" s="6" t="str">
        <f>apuestas_ago[[#This Row],[Nombre]]</f>
        <v>Jose Manuel Otero López</v>
      </c>
      <c r="M18" s="14">
        <f>apuestas_ago[[#This Row],[Apuesta Miniporra]]</f>
        <v>77.599999999999994</v>
      </c>
      <c r="N18" s="14">
        <f ca="1">INDEX(apuestas_ago[desvio],MATCH(resultados_ago[[#This Row],[Apuesta MiniPorra]],apuestas_ago[Apuesta Miniporra],0))</f>
        <v>-13.450000000000003</v>
      </c>
      <c r="O18" s="13">
        <f ca="1">INDEX(apuestas_ago[desvio %],MATCH(resultados_ago[[#This Row],[Apuesta MiniPorra]],apuestas_ago[Apuesta Miniporra],0))</f>
        <v>0.14772103239978038</v>
      </c>
      <c r="P18" s="4">
        <v>12</v>
      </c>
      <c r="Q18" s="28">
        <f>IF(ISBLANK(omie!Y16),"",omie!Z16)</f>
        <v>105.81</v>
      </c>
      <c r="R18" s="78"/>
      <c r="S18" s="78"/>
      <c r="T18" s="28"/>
      <c r="U18"/>
    </row>
    <row r="19" spans="1:23" x14ac:dyDescent="0.2">
      <c r="A19" t="s">
        <v>961</v>
      </c>
      <c r="B19" t="s">
        <v>242</v>
      </c>
      <c r="C19" s="28">
        <v>76.5</v>
      </c>
      <c r="D19" t="s">
        <v>980</v>
      </c>
      <c r="E19" t="s">
        <v>242</v>
      </c>
      <c r="F19" s="28">
        <f ca="1">apuestas_ago[[#This Row],[Apuesta Miniporra]]-$B$3</f>
        <v>-14.549999999999997</v>
      </c>
      <c r="G19" s="68">
        <f ca="1">ABS(apuestas_ago[[#This Row],[desvio]])/$B$3</f>
        <v>0.15980230642504115</v>
      </c>
      <c r="H19" s="4">
        <f ca="1">_xlfn.RANK.EQ(apuestas_ago[[#This Row],[desvio %]],apuestas_ago[desvio %],1)</f>
        <v>13</v>
      </c>
      <c r="J19" s="66" t="s">
        <v>961</v>
      </c>
      <c r="K19" s="10">
        <f ca="1">INDEX(apuestas_ago[orden],MATCH(resultados_ago[Apuesta MiniPorra],apuestas_ago[Apuesta Miniporra],0))</f>
        <v>13</v>
      </c>
      <c r="L19" s="6" t="str">
        <f>apuestas_ago[[#This Row],[Nombre]]</f>
        <v>Javier Espelta</v>
      </c>
      <c r="M19" s="14">
        <f>apuestas_ago[[#This Row],[Apuesta Miniporra]]</f>
        <v>76.5</v>
      </c>
      <c r="N19" s="14">
        <f ca="1">INDEX(apuestas_ago[desvio],MATCH(resultados_ago[[#This Row],[Apuesta MiniPorra]],apuestas_ago[Apuesta Miniporra],0))</f>
        <v>-14.549999999999997</v>
      </c>
      <c r="O19" s="13">
        <f ca="1">INDEX(apuestas_ago[desvio %],MATCH(resultados_ago[[#This Row],[Apuesta MiniPorra]],apuestas_ago[Apuesta Miniporra],0))</f>
        <v>0.15980230642504115</v>
      </c>
      <c r="P19" s="4">
        <v>13</v>
      </c>
      <c r="Q19" s="28">
        <f>IF(ISBLANK(omie!Y17),"",omie!Z17)</f>
        <v>106.37</v>
      </c>
      <c r="R19" s="71"/>
      <c r="S19" s="71"/>
      <c r="T19" s="28"/>
      <c r="U19"/>
    </row>
    <row r="20" spans="1:23" x14ac:dyDescent="0.2">
      <c r="A20" t="s">
        <v>961</v>
      </c>
      <c r="B20" t="s">
        <v>336</v>
      </c>
      <c r="C20" s="28">
        <v>76.400000000000006</v>
      </c>
      <c r="D20" t="s">
        <v>967</v>
      </c>
      <c r="E20" t="s">
        <v>2</v>
      </c>
      <c r="F20" s="28">
        <f ca="1">apuestas_ago[[#This Row],[Apuesta Miniporra]]-$B$3</f>
        <v>-14.649999999999991</v>
      </c>
      <c r="G20" s="68">
        <f ca="1">ABS(apuestas_ago[[#This Row],[desvio]])/$B$3</f>
        <v>0.16090060406370119</v>
      </c>
      <c r="H20" s="4">
        <f ca="1">_xlfn.RANK.EQ(apuestas_ago[[#This Row],[desvio %]],apuestas_ago[desvio %],1)</f>
        <v>14</v>
      </c>
      <c r="J20" s="66" t="s">
        <v>961</v>
      </c>
      <c r="K20" s="10">
        <f ca="1">INDEX(apuestas_ago[orden],MATCH(resultados_ago[Apuesta MiniPorra],apuestas_ago[Apuesta Miniporra],0))</f>
        <v>14</v>
      </c>
      <c r="L20" s="6" t="str">
        <f>apuestas_ago[[#This Row],[Nombre]]</f>
        <v>Javier Revuelta Alonso</v>
      </c>
      <c r="M20" s="14">
        <f>apuestas_ago[[#This Row],[Apuesta Miniporra]]</f>
        <v>76.400000000000006</v>
      </c>
      <c r="N20" s="14">
        <f ca="1">INDEX(apuestas_ago[desvio],MATCH(resultados_ago[[#This Row],[Apuesta MiniPorra]],apuestas_ago[Apuesta Miniporra],0))</f>
        <v>-14.649999999999991</v>
      </c>
      <c r="O20" s="13">
        <f ca="1">INDEX(apuestas_ago[desvio %],MATCH(resultados_ago[[#This Row],[Apuesta MiniPorra]],apuestas_ago[Apuesta Miniporra],0))</f>
        <v>0.16090060406370119</v>
      </c>
      <c r="P20" s="4">
        <v>14</v>
      </c>
      <c r="Q20" s="28">
        <f>IF(ISBLANK(omie!Y18),"",omie!Z18)</f>
        <v>89.05</v>
      </c>
      <c r="T20" s="28"/>
      <c r="U20" s="115"/>
      <c r="V20" s="115"/>
      <c r="W20" s="115"/>
    </row>
    <row r="21" spans="1:23" x14ac:dyDescent="0.2">
      <c r="A21" t="s">
        <v>961</v>
      </c>
      <c r="B21" t="s">
        <v>1028</v>
      </c>
      <c r="C21" s="28">
        <v>76.319999999999993</v>
      </c>
      <c r="D21" t="s">
        <v>770</v>
      </c>
      <c r="E21" t="s">
        <v>771</v>
      </c>
      <c r="F21" s="28">
        <f ca="1">apuestas_ago[[#This Row],[Apuesta Miniporra]]-$B$3</f>
        <v>-14.730000000000004</v>
      </c>
      <c r="G21" s="68">
        <f ca="1">ABS(apuestas_ago[[#This Row],[desvio]])/$B$3</f>
        <v>0.16177924217462938</v>
      </c>
      <c r="H21" s="4">
        <f ca="1">_xlfn.RANK.EQ(apuestas_ago[[#This Row],[desvio %]],apuestas_ago[desvio %],1)</f>
        <v>15</v>
      </c>
      <c r="J21" s="66" t="s">
        <v>961</v>
      </c>
      <c r="K21" s="10">
        <f ca="1">INDEX(apuestas_ago[orden],MATCH(resultados_ago[Apuesta MiniPorra],apuestas_ago[Apuesta Miniporra],0))</f>
        <v>15</v>
      </c>
      <c r="L21" s="6" t="str">
        <f>apuestas_ago[[#This Row],[Nombre]]</f>
        <v>Ricardo Estévez Solís</v>
      </c>
      <c r="M21" s="14">
        <f>apuestas_ago[[#This Row],[Apuesta Miniporra]]</f>
        <v>76.319999999999993</v>
      </c>
      <c r="N21" s="14">
        <f ca="1">INDEX(apuestas_ago[desvio],MATCH(resultados_ago[[#This Row],[Apuesta MiniPorra]],apuestas_ago[Apuesta Miniporra],0))</f>
        <v>-14.730000000000004</v>
      </c>
      <c r="O21" s="13">
        <f ca="1">INDEX(apuestas_ago[desvio %],MATCH(resultados_ago[[#This Row],[Apuesta MiniPorra]],apuestas_ago[Apuesta Miniporra],0))</f>
        <v>0.16177924217462938</v>
      </c>
      <c r="P21" s="4">
        <v>15</v>
      </c>
      <c r="Q21" s="28">
        <f>IF(ISBLANK(omie!Y19),"",omie!Z19)</f>
        <v>44.29</v>
      </c>
      <c r="T21" s="28"/>
      <c r="U21" s="115"/>
      <c r="V21" s="115"/>
      <c r="W21" s="115"/>
    </row>
    <row r="22" spans="1:23" x14ac:dyDescent="0.2">
      <c r="A22" t="s">
        <v>961</v>
      </c>
      <c r="B22" t="s">
        <v>408</v>
      </c>
      <c r="C22" s="28">
        <v>76.260000000000005</v>
      </c>
      <c r="D22" t="s">
        <v>982</v>
      </c>
      <c r="E22" t="s">
        <v>456</v>
      </c>
      <c r="F22" s="28">
        <f ca="1">apuestas_ago[[#This Row],[Apuesta Miniporra]]-$B$3</f>
        <v>-14.789999999999992</v>
      </c>
      <c r="G22" s="68">
        <f ca="1">ABS(apuestas_ago[[#This Row],[desvio]])/$B$3</f>
        <v>0.1624382207578253</v>
      </c>
      <c r="H22" s="4">
        <f ca="1">_xlfn.RANK.EQ(apuestas_ago[[#This Row],[desvio %]],apuestas_ago[desvio %],1)</f>
        <v>16</v>
      </c>
      <c r="J22" s="66" t="s">
        <v>961</v>
      </c>
      <c r="K22" s="10">
        <f ca="1">INDEX(apuestas_ago[orden],MATCH(resultados_ago[Apuesta MiniPorra],apuestas_ago[Apuesta Miniporra],0))</f>
        <v>16</v>
      </c>
      <c r="L22" s="6" t="str">
        <f>apuestas_ago[[#This Row],[Nombre]]</f>
        <v>Julián Mateo Muñoz</v>
      </c>
      <c r="M22" s="14">
        <f>apuestas_ago[[#This Row],[Apuesta Miniporra]]</f>
        <v>76.260000000000005</v>
      </c>
      <c r="N22" s="14">
        <f ca="1">INDEX(apuestas_ago[desvio],MATCH(resultados_ago[[#This Row],[Apuesta MiniPorra]],apuestas_ago[Apuesta Miniporra],0))</f>
        <v>-14.789999999999992</v>
      </c>
      <c r="O22" s="13">
        <f ca="1">INDEX(apuestas_ago[desvio %],MATCH(resultados_ago[[#This Row],[Apuesta MiniPorra]],apuestas_ago[Apuesta Miniporra],0))</f>
        <v>0.1624382207578253</v>
      </c>
      <c r="P22" s="4">
        <v>16</v>
      </c>
      <c r="Q22" s="28">
        <f>IF(ISBLANK(omie!Y20),"",omie!Z20)</f>
        <v>88.23</v>
      </c>
      <c r="T22" s="28"/>
      <c r="U22" s="115"/>
      <c r="V22" s="115"/>
      <c r="W22" s="115"/>
    </row>
    <row r="23" spans="1:23" x14ac:dyDescent="0.2">
      <c r="A23" t="s">
        <v>961</v>
      </c>
      <c r="B23" t="s">
        <v>944</v>
      </c>
      <c r="C23" s="28">
        <v>76.22</v>
      </c>
      <c r="D23" t="s">
        <v>118</v>
      </c>
      <c r="E23" t="s">
        <v>853</v>
      </c>
      <c r="F23" s="28">
        <f ca="1">apuestas_ago[[#This Row],[Apuesta Miniporra]]-$B$3</f>
        <v>-14.829999999999998</v>
      </c>
      <c r="G23" s="68">
        <f ca="1">ABS(apuestas_ago[[#This Row],[desvio]])/$B$3</f>
        <v>0.1628775398132894</v>
      </c>
      <c r="H23" s="4">
        <f ca="1">_xlfn.RANK.EQ(apuestas_ago[[#This Row],[desvio %]],apuestas_ago[desvio %],1)</f>
        <v>17</v>
      </c>
      <c r="J23" s="66" t="s">
        <v>961</v>
      </c>
      <c r="K23" s="10">
        <f ca="1">INDEX(apuestas_ago[orden],MATCH(resultados_ago[Apuesta MiniPorra],apuestas_ago[Apuesta Miniporra],0))</f>
        <v>17</v>
      </c>
      <c r="L23" s="6" t="str">
        <f>apuestas_ago[[#This Row],[Nombre]]</f>
        <v>Andrea Zarbano</v>
      </c>
      <c r="M23" s="14">
        <f>apuestas_ago[[#This Row],[Apuesta Miniporra]]</f>
        <v>76.22</v>
      </c>
      <c r="N23" s="14">
        <f ca="1">INDEX(apuestas_ago[desvio],MATCH(resultados_ago[[#This Row],[Apuesta MiniPorra]],apuestas_ago[Apuesta Miniporra],0))</f>
        <v>-14.829999999999998</v>
      </c>
      <c r="O23" s="13">
        <f ca="1">INDEX(apuestas_ago[desvio %],MATCH(resultados_ago[[#This Row],[Apuesta MiniPorra]],apuestas_ago[Apuesta Miniporra],0))</f>
        <v>0.1628775398132894</v>
      </c>
      <c r="P23" s="4">
        <v>17</v>
      </c>
      <c r="Q23" s="28">
        <f>IF(ISBLANK(omie!Y21),"",omie!Z21)</f>
        <v>83.21</v>
      </c>
      <c r="T23" s="28"/>
      <c r="U23"/>
    </row>
    <row r="24" spans="1:23" x14ac:dyDescent="0.2">
      <c r="A24" t="s">
        <v>961</v>
      </c>
      <c r="B24" t="s">
        <v>381</v>
      </c>
      <c r="C24" s="28">
        <v>75.040000000000006</v>
      </c>
      <c r="D24" t="s">
        <v>965</v>
      </c>
      <c r="E24" t="s">
        <v>37</v>
      </c>
      <c r="F24" s="28">
        <f ca="1">apuestas_ago[[#This Row],[Apuesta Miniporra]]-$B$3</f>
        <v>-16.009999999999991</v>
      </c>
      <c r="G24" s="68">
        <f ca="1">ABS(apuestas_ago[[#This Row],[desvio]])/$B$3</f>
        <v>0.17583745194947822</v>
      </c>
      <c r="H24" s="4">
        <f ca="1">_xlfn.RANK.EQ(apuestas_ago[[#This Row],[desvio %]],apuestas_ago[desvio %],1)</f>
        <v>18</v>
      </c>
      <c r="J24" s="66" t="s">
        <v>961</v>
      </c>
      <c r="K24" s="10">
        <f ca="1">INDEX(apuestas_ago[orden],MATCH(resultados_ago[Apuesta MiniPorra],apuestas_ago[Apuesta Miniporra],0))</f>
        <v>18</v>
      </c>
      <c r="L24" s="6" t="str">
        <f>apuestas_ago[[#This Row],[Nombre]]</f>
        <v>Roberto Cavero García</v>
      </c>
      <c r="M24" s="14">
        <f>apuestas_ago[[#This Row],[Apuesta Miniporra]]</f>
        <v>75.040000000000006</v>
      </c>
      <c r="N24" s="14">
        <f ca="1">INDEX(apuestas_ago[desvio],MATCH(resultados_ago[[#This Row],[Apuesta MiniPorra]],apuestas_ago[Apuesta Miniporra],0))</f>
        <v>-16.009999999999991</v>
      </c>
      <c r="O24" s="13">
        <f ca="1">INDEX(apuestas_ago[desvio %],MATCH(resultados_ago[[#This Row],[Apuesta MiniPorra]],apuestas_ago[Apuesta Miniporra],0))</f>
        <v>0.17583745194947822</v>
      </c>
      <c r="P24" s="4">
        <v>18</v>
      </c>
      <c r="Q24" s="28">
        <f>IF(ISBLANK(omie!Y22),"",omie!Z22)</f>
        <v>55.6</v>
      </c>
      <c r="T24" s="28"/>
      <c r="U24"/>
    </row>
    <row r="25" spans="1:23" x14ac:dyDescent="0.2">
      <c r="A25" t="s">
        <v>961</v>
      </c>
      <c r="B25" t="s">
        <v>362</v>
      </c>
      <c r="C25" s="28">
        <v>74.81</v>
      </c>
      <c r="D25" t="s">
        <v>118</v>
      </c>
      <c r="E25" t="s">
        <v>213</v>
      </c>
      <c r="F25" s="28">
        <f ca="1">apuestas_ago[[#This Row],[Apuesta Miniporra]]-$B$3</f>
        <v>-16.239999999999995</v>
      </c>
      <c r="G25" s="68">
        <f ca="1">ABS(apuestas_ago[[#This Row],[desvio]])/$B$3</f>
        <v>0.17836353651839643</v>
      </c>
      <c r="H25" s="4">
        <f ca="1">_xlfn.RANK.EQ(apuestas_ago[[#This Row],[desvio %]],apuestas_ago[desvio %],1)</f>
        <v>19</v>
      </c>
      <c r="J25" s="66" t="s">
        <v>961</v>
      </c>
      <c r="K25" s="10">
        <f ca="1">INDEX(apuestas_ago[orden],MATCH(resultados_ago[Apuesta MiniPorra],apuestas_ago[Apuesta Miniporra],0))</f>
        <v>19</v>
      </c>
      <c r="L25" s="6" t="str">
        <f>apuestas_ago[[#This Row],[Nombre]]</f>
        <v>Inés Monroy</v>
      </c>
      <c r="M25" s="14">
        <f>apuestas_ago[[#This Row],[Apuesta Miniporra]]</f>
        <v>74.81</v>
      </c>
      <c r="N25" s="14">
        <f ca="1">INDEX(apuestas_ago[desvio],MATCH(resultados_ago[[#This Row],[Apuesta MiniPorra]],apuestas_ago[Apuesta Miniporra],0))</f>
        <v>-16.239999999999995</v>
      </c>
      <c r="O25" s="13">
        <f ca="1">INDEX(apuestas_ago[desvio %],MATCH(resultados_ago[[#This Row],[Apuesta MiniPorra]],apuestas_ago[Apuesta Miniporra],0))</f>
        <v>0.17836353651839643</v>
      </c>
      <c r="P25" s="4">
        <v>19</v>
      </c>
      <c r="Q25" s="28">
        <f>IF(ISBLANK(omie!Y23),"",omie!Z23)</f>
        <v>93.72</v>
      </c>
      <c r="T25" s="28"/>
      <c r="U25"/>
    </row>
    <row r="26" spans="1:23" x14ac:dyDescent="0.2">
      <c r="A26" t="s">
        <v>961</v>
      </c>
      <c r="B26" t="s">
        <v>225</v>
      </c>
      <c r="C26" s="28">
        <v>74.8</v>
      </c>
      <c r="D26" t="s">
        <v>118</v>
      </c>
      <c r="E26" t="s">
        <v>199</v>
      </c>
      <c r="F26" s="28">
        <f ca="1">apuestas_ago[[#This Row],[Apuesta Miniporra]]-$B$3</f>
        <v>-16.25</v>
      </c>
      <c r="G26" s="68">
        <f ca="1">ABS(apuestas_ago[[#This Row],[desvio]])/$B$3</f>
        <v>0.17847336628226249</v>
      </c>
      <c r="H26" s="4">
        <f ca="1">_xlfn.RANK.EQ(apuestas_ago[[#This Row],[desvio %]],apuestas_ago[desvio %],1)</f>
        <v>20</v>
      </c>
      <c r="J26" s="66" t="s">
        <v>961</v>
      </c>
      <c r="K26" s="10">
        <f ca="1">INDEX(apuestas_ago[orden],MATCH(resultados_ago[Apuesta MiniPorra],apuestas_ago[Apuesta Miniporra],0))</f>
        <v>20</v>
      </c>
      <c r="L26" s="6" t="str">
        <f>apuestas_ago[[#This Row],[Nombre]]</f>
        <v>Elena Muñoz Vioque</v>
      </c>
      <c r="M26" s="14">
        <f>apuestas_ago[[#This Row],[Apuesta Miniporra]]</f>
        <v>74.8</v>
      </c>
      <c r="N26" s="14">
        <f ca="1">INDEX(apuestas_ago[desvio],MATCH(resultados_ago[[#This Row],[Apuesta MiniPorra]],apuestas_ago[Apuesta Miniporra],0))</f>
        <v>-16.25</v>
      </c>
      <c r="O26" s="13">
        <f ca="1">INDEX(apuestas_ago[desvio %],MATCH(resultados_ago[[#This Row],[Apuesta MiniPorra]],apuestas_ago[Apuesta Miniporra],0))</f>
        <v>0.17847336628226249</v>
      </c>
      <c r="P26" s="4">
        <v>20</v>
      </c>
      <c r="Q26" s="28">
        <f>IF(ISBLANK(omie!Y24),"",omie!Z24)</f>
        <v>95.62</v>
      </c>
      <c r="T26" s="28"/>
      <c r="U26"/>
    </row>
    <row r="27" spans="1:23" x14ac:dyDescent="0.2">
      <c r="A27" t="s">
        <v>961</v>
      </c>
      <c r="B27" t="s">
        <v>474</v>
      </c>
      <c r="C27" s="28">
        <v>74.77</v>
      </c>
      <c r="D27" t="s">
        <v>118</v>
      </c>
      <c r="E27" t="s">
        <v>535</v>
      </c>
      <c r="F27" s="28">
        <f ca="1">apuestas_ago[[#This Row],[Apuesta Miniporra]]-$B$3</f>
        <v>-16.28</v>
      </c>
      <c r="G27" s="68">
        <f ca="1">ABS(apuestas_ago[[#This Row],[desvio]])/$B$3</f>
        <v>0.17880285557386053</v>
      </c>
      <c r="H27" s="4">
        <f ca="1">_xlfn.RANK.EQ(apuestas_ago[[#This Row],[desvio %]],apuestas_ago[desvio %],1)</f>
        <v>21</v>
      </c>
      <c r="J27" s="66" t="s">
        <v>961</v>
      </c>
      <c r="K27" s="10">
        <f ca="1">INDEX(apuestas_ago[orden],MATCH(resultados_ago[Apuesta MiniPorra],apuestas_ago[Apuesta Miniporra],0))</f>
        <v>21</v>
      </c>
      <c r="L27" s="6" t="str">
        <f>apuestas_ago[[#This Row],[Nombre]]</f>
        <v>Javier Colón Cortegoso</v>
      </c>
      <c r="M27" s="14">
        <f>apuestas_ago[[#This Row],[Apuesta Miniporra]]</f>
        <v>74.77</v>
      </c>
      <c r="N27" s="14">
        <f ca="1">INDEX(apuestas_ago[desvio],MATCH(resultados_ago[[#This Row],[Apuesta MiniPorra]],apuestas_ago[Apuesta Miniporra],0))</f>
        <v>-16.28</v>
      </c>
      <c r="O27" s="13">
        <f ca="1">INDEX(apuestas_ago[desvio %],MATCH(resultados_ago[[#This Row],[Apuesta MiniPorra]],apuestas_ago[Apuesta Miniporra],0))</f>
        <v>0.17880285557386053</v>
      </c>
      <c r="P27" s="4">
        <v>21</v>
      </c>
      <c r="Q27" s="28">
        <f>IF(ISBLANK(omie!Y25),"",omie!Z25)</f>
        <v>79.06</v>
      </c>
      <c r="T27" s="28"/>
      <c r="U27"/>
    </row>
    <row r="28" spans="1:23" x14ac:dyDescent="0.2">
      <c r="A28" t="s">
        <v>961</v>
      </c>
      <c r="B28" t="s">
        <v>414</v>
      </c>
      <c r="C28" s="28">
        <v>74.3</v>
      </c>
      <c r="D28" t="s">
        <v>118</v>
      </c>
      <c r="E28" t="s">
        <v>300</v>
      </c>
      <c r="F28" s="28">
        <f ca="1">apuestas_ago[[#This Row],[Apuesta Miniporra]]-$B$3</f>
        <v>-16.75</v>
      </c>
      <c r="G28" s="68">
        <f ca="1">ABS(apuestas_ago[[#This Row],[desvio]])/$B$3</f>
        <v>0.18396485447556288</v>
      </c>
      <c r="H28" s="4">
        <f ca="1">_xlfn.RANK.EQ(apuestas_ago[[#This Row],[desvio %]],apuestas_ago[desvio %],1)</f>
        <v>22</v>
      </c>
      <c r="J28" s="66" t="s">
        <v>961</v>
      </c>
      <c r="K28" s="10">
        <f ca="1">INDEX(apuestas_ago[orden],MATCH(resultados_ago[Apuesta MiniPorra],apuestas_ago[Apuesta Miniporra],0))</f>
        <v>22</v>
      </c>
      <c r="L28" s="6" t="str">
        <f>apuestas_ago[[#This Row],[Nombre]]</f>
        <v>Laura Gómez López</v>
      </c>
      <c r="M28" s="14">
        <f>apuestas_ago[[#This Row],[Apuesta Miniporra]]</f>
        <v>74.3</v>
      </c>
      <c r="N28" s="14">
        <f ca="1">INDEX(apuestas_ago[desvio],MATCH(resultados_ago[[#This Row],[Apuesta MiniPorra]],apuestas_ago[Apuesta Miniporra],0))</f>
        <v>-16.75</v>
      </c>
      <c r="O28" s="13">
        <f ca="1">INDEX(apuestas_ago[desvio %],MATCH(resultados_ago[[#This Row],[Apuesta MiniPorra]],apuestas_ago[Apuesta Miniporra],0))</f>
        <v>0.18396485447556288</v>
      </c>
      <c r="P28" s="4">
        <v>22</v>
      </c>
      <c r="Q28" s="28">
        <f>IF(ISBLANK(omie!Y26),"",omie!Z26)</f>
        <v>109.4</v>
      </c>
      <c r="T28" s="28"/>
      <c r="U28"/>
    </row>
    <row r="29" spans="1:23" x14ac:dyDescent="0.2">
      <c r="A29" t="s">
        <v>961</v>
      </c>
      <c r="B29" t="s">
        <v>328</v>
      </c>
      <c r="C29" s="28">
        <v>73.349999999999994</v>
      </c>
      <c r="D29" t="s">
        <v>118</v>
      </c>
      <c r="E29" t="s">
        <v>328</v>
      </c>
      <c r="F29" s="28">
        <f ca="1">apuestas_ago[[#This Row],[Apuesta Miniporra]]-$B$3</f>
        <v>-17.700000000000003</v>
      </c>
      <c r="G29" s="68">
        <f ca="1">ABS(apuestas_ago[[#This Row],[desvio]])/$B$3</f>
        <v>0.19439868204283364</v>
      </c>
      <c r="H29" s="4">
        <f ca="1">_xlfn.RANK.EQ(apuestas_ago[[#This Row],[desvio %]],apuestas_ago[desvio %],1)</f>
        <v>23</v>
      </c>
      <c r="J29" s="66" t="s">
        <v>961</v>
      </c>
      <c r="K29" s="10">
        <f ca="1">INDEX(apuestas_ago[orden],MATCH(resultados_ago[Apuesta MiniPorra],apuestas_ago[Apuesta Miniporra],0))</f>
        <v>23</v>
      </c>
      <c r="L29" s="6" t="str">
        <f>apuestas_ago[[#This Row],[Nombre]]</f>
        <v>Aitor Folch</v>
      </c>
      <c r="M29" s="14">
        <f>apuestas_ago[[#This Row],[Apuesta Miniporra]]</f>
        <v>73.349999999999994</v>
      </c>
      <c r="N29" s="14">
        <f ca="1">INDEX(apuestas_ago[desvio],MATCH(resultados_ago[[#This Row],[Apuesta MiniPorra]],apuestas_ago[Apuesta Miniporra],0))</f>
        <v>-17.700000000000003</v>
      </c>
      <c r="O29" s="13">
        <f ca="1">INDEX(apuestas_ago[desvio %],MATCH(resultados_ago[[#This Row],[Apuesta MiniPorra]],apuestas_ago[Apuesta Miniporra],0))</f>
        <v>0.19439868204283364</v>
      </c>
      <c r="P29" s="4">
        <v>23</v>
      </c>
      <c r="Q29" s="28">
        <f>IF(ISBLANK(omie!Y27),"",omie!Z27)</f>
        <v>107.09</v>
      </c>
      <c r="T29" s="28"/>
      <c r="U29"/>
    </row>
    <row r="30" spans="1:23" x14ac:dyDescent="0.2">
      <c r="A30" t="s">
        <v>961</v>
      </c>
      <c r="B30" t="s">
        <v>413</v>
      </c>
      <c r="C30" s="28">
        <v>73.33</v>
      </c>
      <c r="D30" t="s">
        <v>118</v>
      </c>
      <c r="E30" t="s">
        <v>997</v>
      </c>
      <c r="F30" s="28">
        <f ca="1">apuestas_ago[[#This Row],[Apuesta Miniporra]]-$B$3</f>
        <v>-17.72</v>
      </c>
      <c r="G30" s="68">
        <f ca="1">ABS(apuestas_ago[[#This Row],[desvio]])/$B$3</f>
        <v>0.19461834157056562</v>
      </c>
      <c r="H30" s="4">
        <f ca="1">_xlfn.RANK.EQ(apuestas_ago[[#This Row],[desvio %]],apuestas_ago[desvio %],1)</f>
        <v>24</v>
      </c>
      <c r="J30" s="66" t="s">
        <v>961</v>
      </c>
      <c r="K30" s="10">
        <f ca="1">INDEX(apuestas_ago[orden],MATCH(resultados_ago[Apuesta MiniPorra],apuestas_ago[Apuesta Miniporra],0))</f>
        <v>24</v>
      </c>
      <c r="L30" s="6" t="str">
        <f>apuestas_ago[[#This Row],[Nombre]]</f>
        <v>Beatriz Muñoz Rioboo</v>
      </c>
      <c r="M30" s="14">
        <f>apuestas_ago[[#This Row],[Apuesta Miniporra]]</f>
        <v>73.33</v>
      </c>
      <c r="N30" s="14">
        <f ca="1">INDEX(apuestas_ago[desvio],MATCH(resultados_ago[[#This Row],[Apuesta MiniPorra]],apuestas_ago[Apuesta Miniporra],0))</f>
        <v>-17.72</v>
      </c>
      <c r="O30" s="13">
        <f ca="1">INDEX(apuestas_ago[desvio %],MATCH(resultados_ago[[#This Row],[Apuesta MiniPorra]],apuestas_ago[Apuesta Miniporra],0))</f>
        <v>0.19461834157056562</v>
      </c>
      <c r="P30" s="4">
        <v>24</v>
      </c>
      <c r="Q30" s="28">
        <f>IF(ISBLANK(omie!Y28),"",omie!Z28)</f>
        <v>60.32</v>
      </c>
      <c r="T30" s="28"/>
      <c r="U30"/>
    </row>
    <row r="31" spans="1:23" x14ac:dyDescent="0.2">
      <c r="A31" t="s">
        <v>961</v>
      </c>
      <c r="B31" t="s">
        <v>364</v>
      </c>
      <c r="C31" s="28">
        <v>73.12</v>
      </c>
      <c r="D31" t="s">
        <v>118</v>
      </c>
      <c r="E31" t="s">
        <v>357</v>
      </c>
      <c r="F31" s="28">
        <f ca="1">apuestas_ago[[#This Row],[Apuesta Miniporra]]-$B$3</f>
        <v>-17.929999999999993</v>
      </c>
      <c r="G31" s="68">
        <f ca="1">ABS(apuestas_ago[[#This Row],[desvio]])/$B$3</f>
        <v>0.19692476661175171</v>
      </c>
      <c r="H31" s="4">
        <f ca="1">_xlfn.RANK.EQ(apuestas_ago[[#This Row],[desvio %]],apuestas_ago[desvio %],1)</f>
        <v>25</v>
      </c>
      <c r="J31" s="66" t="s">
        <v>961</v>
      </c>
      <c r="K31" s="10">
        <f ca="1">INDEX(apuestas_ago[orden],MATCH(resultados_ago[Apuesta MiniPorra],apuestas_ago[Apuesta Miniporra],0))</f>
        <v>25</v>
      </c>
      <c r="L31" s="6" t="str">
        <f>apuestas_ago[[#This Row],[Nombre]]</f>
        <v>Marcos Fortea Escolano</v>
      </c>
      <c r="M31" s="14">
        <f>apuestas_ago[[#This Row],[Apuesta Miniporra]]</f>
        <v>73.12</v>
      </c>
      <c r="N31" s="14">
        <f ca="1">INDEX(apuestas_ago[desvio],MATCH(resultados_ago[[#This Row],[Apuesta MiniPorra]],apuestas_ago[Apuesta Miniporra],0))</f>
        <v>-17.929999999999993</v>
      </c>
      <c r="O31" s="13">
        <f ca="1">INDEX(apuestas_ago[desvio %],MATCH(resultados_ago[[#This Row],[Apuesta MiniPorra]],apuestas_ago[Apuesta Miniporra],0))</f>
        <v>0.19692476661175171</v>
      </c>
      <c r="P31" s="4">
        <v>25</v>
      </c>
      <c r="Q31" s="28">
        <f>IF(ISBLANK(omie!Y29),"",omie!Z29)</f>
        <v>31.2</v>
      </c>
      <c r="T31" s="28"/>
      <c r="U31"/>
    </row>
    <row r="32" spans="1:23" x14ac:dyDescent="0.2">
      <c r="A32" t="s">
        <v>961</v>
      </c>
      <c r="B32" t="s">
        <v>403</v>
      </c>
      <c r="C32" s="28">
        <v>72.599999999999994</v>
      </c>
      <c r="D32" t="s">
        <v>118</v>
      </c>
      <c r="E32" t="s">
        <v>67</v>
      </c>
      <c r="F32" s="28">
        <f ca="1">apuestas_ago[[#This Row],[Apuesta Miniporra]]-$B$3</f>
        <v>-18.450000000000003</v>
      </c>
      <c r="G32" s="68">
        <f ca="1">ABS(apuestas_ago[[#This Row],[desvio]])/$B$3</f>
        <v>0.20263591433278422</v>
      </c>
      <c r="H32" s="4">
        <f ca="1">_xlfn.RANK.EQ(apuestas_ago[[#This Row],[desvio %]],apuestas_ago[desvio %],1)</f>
        <v>26</v>
      </c>
      <c r="J32" s="66" t="s">
        <v>961</v>
      </c>
      <c r="K32" s="10">
        <f ca="1">INDEX(apuestas_ago[orden],MATCH(resultados_ago[Apuesta MiniPorra],apuestas_ago[Apuesta Miniporra],0))</f>
        <v>26</v>
      </c>
      <c r="L32" s="6" t="str">
        <f>apuestas_ago[[#This Row],[Nombre]]</f>
        <v>Luis Angel Garzon Velasco</v>
      </c>
      <c r="M32" s="14">
        <f>apuestas_ago[[#This Row],[Apuesta Miniporra]]</f>
        <v>72.599999999999994</v>
      </c>
      <c r="N32" s="14">
        <f ca="1">INDEX(apuestas_ago[desvio],MATCH(resultados_ago[[#This Row],[Apuesta MiniPorra]],apuestas_ago[Apuesta Miniporra],0))</f>
        <v>-18.450000000000003</v>
      </c>
      <c r="O32" s="13">
        <f ca="1">INDEX(apuestas_ago[desvio %],MATCH(resultados_ago[[#This Row],[Apuesta MiniPorra]],apuestas_ago[Apuesta Miniporra],0))</f>
        <v>0.20263591433278422</v>
      </c>
      <c r="P32" s="4">
        <v>26</v>
      </c>
      <c r="Q32" s="28">
        <f>IF(ISBLANK(omie!Y30),"",omie!Z30)</f>
        <v>94.19</v>
      </c>
      <c r="T32" s="28"/>
      <c r="U32"/>
    </row>
    <row r="33" spans="1:21" x14ac:dyDescent="0.2">
      <c r="A33" t="s">
        <v>961</v>
      </c>
      <c r="B33" t="s">
        <v>780</v>
      </c>
      <c r="C33" s="28">
        <v>71.5</v>
      </c>
      <c r="D33" t="s">
        <v>118</v>
      </c>
      <c r="E33" t="s">
        <v>999</v>
      </c>
      <c r="F33" s="28">
        <f ca="1">apuestas_ago[[#This Row],[Apuesta Miniporra]]-$B$3</f>
        <v>-19.549999999999997</v>
      </c>
      <c r="G33" s="68">
        <f ca="1">ABS(apuestas_ago[[#This Row],[desvio]])/$B$3</f>
        <v>0.21471718835804501</v>
      </c>
      <c r="H33" s="4">
        <f ca="1">_xlfn.RANK.EQ(apuestas_ago[[#This Row],[desvio %]],apuestas_ago[desvio %],1)</f>
        <v>27</v>
      </c>
      <c r="J33" s="66" t="s">
        <v>961</v>
      </c>
      <c r="K33" s="10">
        <f ca="1">INDEX(apuestas_ago[orden],MATCH(resultados_ago[Apuesta MiniPorra],apuestas_ago[Apuesta Miniporra],0))</f>
        <v>27</v>
      </c>
      <c r="L33" s="6" t="str">
        <f>apuestas_ago[[#This Row],[Nombre]]</f>
        <v>Daniel Pérez Carrasco</v>
      </c>
      <c r="M33" s="14">
        <f>apuestas_ago[[#This Row],[Apuesta Miniporra]]</f>
        <v>71.5</v>
      </c>
      <c r="N33" s="14">
        <f ca="1">INDEX(apuestas_ago[desvio],MATCH(resultados_ago[[#This Row],[Apuesta MiniPorra]],apuestas_ago[Apuesta Miniporra],0))</f>
        <v>-19.549999999999997</v>
      </c>
      <c r="O33" s="13">
        <f ca="1">INDEX(apuestas_ago[desvio %],MATCH(resultados_ago[[#This Row],[Apuesta MiniPorra]],apuestas_ago[Apuesta Miniporra],0))</f>
        <v>0.21471718835804501</v>
      </c>
      <c r="P33" s="4">
        <v>27</v>
      </c>
      <c r="Q33" s="28">
        <f>IF(ISBLANK(omie!Y31),"",omie!Z31)</f>
        <v>107.71</v>
      </c>
      <c r="T33" s="28"/>
      <c r="U33"/>
    </row>
    <row r="34" spans="1:21" x14ac:dyDescent="0.2">
      <c r="A34" t="s">
        <v>961</v>
      </c>
      <c r="B34" t="s">
        <v>363</v>
      </c>
      <c r="C34" s="28">
        <v>71.2</v>
      </c>
      <c r="D34" t="s">
        <v>118</v>
      </c>
      <c r="E34" t="s">
        <v>76</v>
      </c>
      <c r="F34" s="28">
        <f ca="1">apuestas_ago[[#This Row],[Apuesta Miniporra]]-$B$3</f>
        <v>-19.849999999999994</v>
      </c>
      <c r="G34" s="68">
        <f ca="1">ABS(apuestas_ago[[#This Row],[desvio]])/$B$3</f>
        <v>0.21801208127402522</v>
      </c>
      <c r="H34" s="4">
        <f ca="1">_xlfn.RANK.EQ(apuestas_ago[[#This Row],[desvio %]],apuestas_ago[desvio %],1)</f>
        <v>28</v>
      </c>
      <c r="J34" s="66" t="s">
        <v>961</v>
      </c>
      <c r="K34" s="10">
        <f ca="1">INDEX(apuestas_ago[orden],MATCH(resultados_ago[Apuesta MiniPorra],apuestas_ago[Apuesta Miniporra],0))</f>
        <v>28</v>
      </c>
      <c r="L34" s="6" t="str">
        <f>apuestas_ago[[#This Row],[Nombre]]</f>
        <v>Roque Alonso Alonso</v>
      </c>
      <c r="M34" s="14">
        <f>apuestas_ago[[#This Row],[Apuesta Miniporra]]</f>
        <v>71.2</v>
      </c>
      <c r="N34" s="14">
        <f ca="1">INDEX(apuestas_ago[desvio],MATCH(resultados_ago[[#This Row],[Apuesta MiniPorra]],apuestas_ago[Apuesta Miniporra],0))</f>
        <v>-19.849999999999994</v>
      </c>
      <c r="O34" s="13">
        <f ca="1">INDEX(apuestas_ago[desvio %],MATCH(resultados_ago[[#This Row],[Apuesta MiniPorra]],apuestas_ago[Apuesta Miniporra],0))</f>
        <v>0.21801208127402522</v>
      </c>
      <c r="P34" s="4">
        <v>28</v>
      </c>
      <c r="Q34" s="28">
        <f>IF(ISBLANK(omie!Y32),"",omie!Z32)</f>
        <v>108.43</v>
      </c>
      <c r="T34" s="28"/>
      <c r="U34"/>
    </row>
    <row r="35" spans="1:21" x14ac:dyDescent="0.2">
      <c r="A35" t="s">
        <v>961</v>
      </c>
      <c r="B35" t="s">
        <v>215</v>
      </c>
      <c r="C35" s="28">
        <v>70.7</v>
      </c>
      <c r="D35" t="s">
        <v>118</v>
      </c>
      <c r="E35" t="s">
        <v>993</v>
      </c>
      <c r="F35" s="28">
        <f ca="1">apuestas_ago[[#This Row],[Apuesta Miniporra]]-$B$3</f>
        <v>-20.349999999999994</v>
      </c>
      <c r="G35" s="68">
        <f ca="1">ABS(apuestas_ago[[#This Row],[desvio]])/$B$3</f>
        <v>0.22350356946732558</v>
      </c>
      <c r="H35" s="4">
        <f ca="1">_xlfn.RANK.EQ(apuestas_ago[[#This Row],[desvio %]],apuestas_ago[desvio %],1)</f>
        <v>29</v>
      </c>
      <c r="J35" s="66" t="s">
        <v>961</v>
      </c>
      <c r="K35" s="10">
        <f ca="1">INDEX(apuestas_ago[orden],MATCH(resultados_ago[Apuesta MiniPorra],apuestas_ago[Apuesta Miniporra],0))</f>
        <v>29</v>
      </c>
      <c r="L35" s="6" t="str">
        <f>apuestas_ago[[#This Row],[Nombre]]</f>
        <v>Carles Estruch Puig</v>
      </c>
      <c r="M35" s="14">
        <f>apuestas_ago[[#This Row],[Apuesta Miniporra]]</f>
        <v>70.7</v>
      </c>
      <c r="N35" s="14">
        <f ca="1">INDEX(apuestas_ago[desvio],MATCH(resultados_ago[[#This Row],[Apuesta MiniPorra]],apuestas_ago[Apuesta Miniporra],0))</f>
        <v>-20.349999999999994</v>
      </c>
      <c r="O35" s="13">
        <f ca="1">INDEX(apuestas_ago[desvio %],MATCH(resultados_ago[[#This Row],[Apuesta MiniPorra]],apuestas_ago[Apuesta Miniporra],0))</f>
        <v>0.22350356946732558</v>
      </c>
      <c r="P35" s="4">
        <v>29</v>
      </c>
      <c r="Q35" s="28">
        <f>IF(ISBLANK(omie!Y33),"",omie!Z33)</f>
        <v>120.37</v>
      </c>
      <c r="T35" s="28"/>
      <c r="U35"/>
    </row>
    <row r="36" spans="1:21" x14ac:dyDescent="0.2">
      <c r="A36" t="s">
        <v>961</v>
      </c>
      <c r="B36" t="s">
        <v>792</v>
      </c>
      <c r="C36" s="28">
        <v>70.5</v>
      </c>
      <c r="D36" t="s">
        <v>118</v>
      </c>
      <c r="E36" t="s">
        <v>664</v>
      </c>
      <c r="F36" s="28">
        <f ca="1">apuestas_ago[[#This Row],[Apuesta Miniporra]]-$B$3</f>
        <v>-20.549999999999997</v>
      </c>
      <c r="G36" s="68">
        <f ca="1">ABS(apuestas_ago[[#This Row],[desvio]])/$B$3</f>
        <v>0.22570016474464577</v>
      </c>
      <c r="H36" s="4">
        <f ca="1">_xlfn.RANK.EQ(apuestas_ago[[#This Row],[desvio %]],apuestas_ago[desvio %],1)</f>
        <v>30</v>
      </c>
      <c r="J36" s="66" t="s">
        <v>961</v>
      </c>
      <c r="K36" s="4">
        <f ca="1">INDEX(apuestas_ago[orden],MATCH(resultados_ago[Apuesta MiniPorra],apuestas_ago[Apuesta Miniporra],0))</f>
        <v>30</v>
      </c>
      <c r="L36" s="63" t="str">
        <f>apuestas_ago[[#This Row],[Nombre]]</f>
        <v>Gorka Arratibel Pastor</v>
      </c>
      <c r="M36" s="28">
        <f>apuestas_ago[[#This Row],[Apuesta Miniporra]]</f>
        <v>70.5</v>
      </c>
      <c r="N36" s="4">
        <f ca="1">INDEX(apuestas_ago[desvio],MATCH(resultados_ago[[#This Row],[Apuesta MiniPorra]],apuestas_ago[Apuesta Miniporra],0))</f>
        <v>-20.549999999999997</v>
      </c>
      <c r="O36" s="13">
        <f ca="1">INDEX(apuestas_ago[desvio %],MATCH(resultados_ago[[#This Row],[Apuesta MiniPorra]],apuestas_ago[Apuesta Miniporra],0))</f>
        <v>0.22570016474464577</v>
      </c>
      <c r="P36" s="4">
        <v>30</v>
      </c>
      <c r="Q36" s="28">
        <f>IF(ISBLANK(omie!Y34),"",omie!Z34)</f>
        <v>115.57</v>
      </c>
      <c r="T36"/>
      <c r="U36"/>
    </row>
    <row r="37" spans="1:21" x14ac:dyDescent="0.2">
      <c r="A37" t="s">
        <v>961</v>
      </c>
      <c r="B37" t="s">
        <v>1029</v>
      </c>
      <c r="C37" s="28">
        <v>70.45</v>
      </c>
      <c r="D37" t="s">
        <v>1006</v>
      </c>
      <c r="E37" t="s">
        <v>1007</v>
      </c>
      <c r="F37" s="28">
        <f ca="1">apuestas_ago[[#This Row],[Apuesta Miniporra]]-$B$3</f>
        <v>-20.599999999999994</v>
      </c>
      <c r="G37" s="68">
        <f ca="1">ABS(apuestas_ago[[#This Row],[desvio]])/$B$3</f>
        <v>0.22624931356397579</v>
      </c>
      <c r="H37" s="4">
        <f ca="1">_xlfn.RANK.EQ(apuestas_ago[[#This Row],[desvio %]],apuestas_ago[desvio %],1)</f>
        <v>31</v>
      </c>
      <c r="J37" s="66" t="s">
        <v>961</v>
      </c>
      <c r="K37" s="4">
        <f ca="1">INDEX(apuestas_ago[orden],MATCH(resultados_ago[Apuesta MiniPorra],apuestas_ago[Apuesta Miniporra],0))</f>
        <v>31</v>
      </c>
      <c r="L37" s="63" t="str">
        <f>apuestas_ago[[#This Row],[Nombre]]</f>
        <v>Andres Canal</v>
      </c>
      <c r="M37" s="28">
        <f>apuestas_ago[[#This Row],[Apuesta Miniporra]]</f>
        <v>70.45</v>
      </c>
      <c r="N37" s="4">
        <f ca="1">INDEX(apuestas_ago[desvio],MATCH(resultados_ago[[#This Row],[Apuesta MiniPorra]],apuestas_ago[Apuesta Miniporra],0))</f>
        <v>-20.599999999999994</v>
      </c>
      <c r="O37" s="13">
        <f ca="1">INDEX(apuestas_ago[desvio %],MATCH(resultados_ago[[#This Row],[Apuesta MiniPorra]],apuestas_ago[Apuesta Miniporra],0))</f>
        <v>0.22624931356397579</v>
      </c>
      <c r="P37" s="4">
        <v>31</v>
      </c>
      <c r="Q37" s="98">
        <f>IF(ISBLANK(omie!Y35),"",omie!Z35)</f>
        <v>116.61</v>
      </c>
      <c r="T37"/>
      <c r="U37"/>
    </row>
    <row r="38" spans="1:21" x14ac:dyDescent="0.2">
      <c r="A38" t="s">
        <v>961</v>
      </c>
      <c r="B38" t="s">
        <v>409</v>
      </c>
      <c r="C38" s="28">
        <v>69.989999999999995</v>
      </c>
      <c r="D38" t="s">
        <v>1020</v>
      </c>
      <c r="E38" t="s">
        <v>462</v>
      </c>
      <c r="F38" s="28">
        <f ca="1">apuestas_ago[[#This Row],[Apuesta Miniporra]]-$B$3</f>
        <v>-21.060000000000002</v>
      </c>
      <c r="G38" s="68">
        <f ca="1">ABS(apuestas_ago[[#This Row],[desvio]])/$B$3</f>
        <v>0.23130148270181222</v>
      </c>
      <c r="H38" s="4">
        <f ca="1">_xlfn.RANK.EQ(apuestas_ago[[#This Row],[desvio %]],apuestas_ago[desvio %],1)</f>
        <v>32</v>
      </c>
      <c r="J38" s="66" t="s">
        <v>961</v>
      </c>
      <c r="K38" s="4">
        <f ca="1">INDEX(apuestas_ago[orden],MATCH(resultados_ago[Apuesta MiniPorra],apuestas_ago[Apuesta Miniporra],0))</f>
        <v>32</v>
      </c>
      <c r="L38" s="63" t="str">
        <f>apuestas_ago[[#This Row],[Nombre]]</f>
        <v>Gladys Rocha Blanco</v>
      </c>
      <c r="M38" s="28">
        <f>apuestas_ago[[#This Row],[Apuesta Miniporra]]</f>
        <v>69.989999999999995</v>
      </c>
      <c r="N38" s="4">
        <f ca="1">INDEX(apuestas_ago[desvio],MATCH(resultados_ago[[#This Row],[Apuesta MiniPorra]],apuestas_ago[Apuesta Miniporra],0))</f>
        <v>-21.060000000000002</v>
      </c>
      <c r="O38" s="13">
        <f ca="1">INDEX(apuestas_ago[desvio %],MATCH(resultados_ago[[#This Row],[Apuesta MiniPorra]],apuestas_ago[Apuesta Miniporra],0))</f>
        <v>0.23130148270181222</v>
      </c>
      <c r="Q38" s="78"/>
      <c r="U38" s="42"/>
    </row>
    <row r="39" spans="1:21" x14ac:dyDescent="0.2">
      <c r="A39" t="s">
        <v>961</v>
      </c>
      <c r="B39" t="s">
        <v>784</v>
      </c>
      <c r="C39" s="28">
        <v>69.959999999999994</v>
      </c>
      <c r="D39" t="s">
        <v>118</v>
      </c>
      <c r="E39" t="s">
        <v>727</v>
      </c>
      <c r="F39" s="28">
        <f ca="1">apuestas_ago[[#This Row],[Apuesta Miniporra]]-$B$3</f>
        <v>-21.090000000000003</v>
      </c>
      <c r="G39" s="68">
        <f ca="1">ABS(apuestas_ago[[#This Row],[desvio]])/$B$3</f>
        <v>0.23163097199341026</v>
      </c>
      <c r="H39" s="4">
        <f ca="1">_xlfn.RANK.EQ(apuestas_ago[[#This Row],[desvio %]],apuestas_ago[desvio %],1)</f>
        <v>33</v>
      </c>
      <c r="J39" s="66" t="s">
        <v>961</v>
      </c>
      <c r="K39" s="4">
        <f ca="1">INDEX(apuestas_ago[orden],MATCH(resultados_ago[Apuesta MiniPorra],apuestas_ago[Apuesta Miniporra],0))</f>
        <v>33</v>
      </c>
      <c r="L39" s="63" t="str">
        <f>apuestas_ago[[#This Row],[Nombre]]</f>
        <v>Paco Cuadrado</v>
      </c>
      <c r="M39" s="28">
        <f>apuestas_ago[[#This Row],[Apuesta Miniporra]]</f>
        <v>69.959999999999994</v>
      </c>
      <c r="N39" s="4">
        <f ca="1">INDEX(apuestas_ago[desvio],MATCH(resultados_ago[[#This Row],[Apuesta MiniPorra]],apuestas_ago[Apuesta Miniporra],0))</f>
        <v>-21.090000000000003</v>
      </c>
      <c r="O39" s="13">
        <f ca="1">INDEX(apuestas_ago[desvio %],MATCH(resultados_ago[[#This Row],[Apuesta MiniPorra]],apuestas_ago[Apuesta Miniporra],0))</f>
        <v>0.23163097199341026</v>
      </c>
      <c r="P39" s="78"/>
      <c r="Q39" s="78"/>
      <c r="U39" s="42"/>
    </row>
    <row r="40" spans="1:21" x14ac:dyDescent="0.2">
      <c r="A40" t="s">
        <v>961</v>
      </c>
      <c r="B40" t="s">
        <v>942</v>
      </c>
      <c r="C40" s="28">
        <v>69.7</v>
      </c>
      <c r="D40" t="s">
        <v>118</v>
      </c>
      <c r="E40" t="s">
        <v>901</v>
      </c>
      <c r="F40" s="28">
        <f ca="1">apuestas_ago[[#This Row],[Apuesta Miniporra]]-$B$3</f>
        <v>-21.349999999999994</v>
      </c>
      <c r="G40" s="68">
        <f ca="1">ABS(apuestas_ago[[#This Row],[desvio]])/$B$3</f>
        <v>0.23448654585392636</v>
      </c>
      <c r="H40" s="4">
        <f ca="1">_xlfn.RANK.EQ(apuestas_ago[[#This Row],[desvio %]],apuestas_ago[desvio %],1)</f>
        <v>34</v>
      </c>
      <c r="J40" s="66" t="s">
        <v>961</v>
      </c>
      <c r="K40" s="4">
        <f ca="1">INDEX(apuestas_ago[orden],MATCH(resultados_ago[Apuesta MiniPorra],apuestas_ago[Apuesta Miniporra],0))</f>
        <v>34</v>
      </c>
      <c r="L40" s="63" t="str">
        <f>apuestas_ago[[#This Row],[Nombre]]</f>
        <v>Rafael Tejada Bonilla</v>
      </c>
      <c r="M40" s="28">
        <f>apuestas_ago[[#This Row],[Apuesta Miniporra]]</f>
        <v>69.7</v>
      </c>
      <c r="N40" s="4">
        <f ca="1">INDEX(apuestas_ago[desvio],MATCH(resultados_ago[[#This Row],[Apuesta MiniPorra]],apuestas_ago[Apuesta Miniporra],0))</f>
        <v>-21.349999999999994</v>
      </c>
      <c r="O40" s="13">
        <f ca="1">INDEX(apuestas_ago[desvio %],MATCH(resultados_ago[[#This Row],[Apuesta MiniPorra]],apuestas_ago[Apuesta Miniporra],0))</f>
        <v>0.23448654585392636</v>
      </c>
      <c r="P40" s="78"/>
      <c r="Q40" s="78"/>
      <c r="U40" s="42"/>
    </row>
    <row r="41" spans="1:21" x14ac:dyDescent="0.2">
      <c r="A41" t="s">
        <v>961</v>
      </c>
      <c r="B41" t="s">
        <v>803</v>
      </c>
      <c r="C41" s="28">
        <v>69.569999999999993</v>
      </c>
      <c r="D41" t="s">
        <v>984</v>
      </c>
      <c r="E41" t="s">
        <v>860</v>
      </c>
      <c r="F41" s="28">
        <f ca="1">apuestas_ago[[#This Row],[Apuesta Miniporra]]-$B$3</f>
        <v>-21.480000000000004</v>
      </c>
      <c r="G41" s="68">
        <f ca="1">ABS(apuestas_ago[[#This Row],[desvio]])/$B$3</f>
        <v>0.23591433278418455</v>
      </c>
      <c r="H41" s="4">
        <f ca="1">_xlfn.RANK.EQ(apuestas_ago[[#This Row],[desvio %]],apuestas_ago[desvio %],1)</f>
        <v>35</v>
      </c>
      <c r="J41" s="66" t="s">
        <v>961</v>
      </c>
      <c r="K41" s="4">
        <f ca="1">INDEX(apuestas_ago[orden],MATCH(resultados_ago[Apuesta MiniPorra],apuestas_ago[Apuesta Miniporra],0))</f>
        <v>35</v>
      </c>
      <c r="L41" s="63" t="str">
        <f>apuestas_ago[[#This Row],[Nombre]]</f>
        <v>Jorge González Arconada</v>
      </c>
      <c r="M41" s="28">
        <f>apuestas_ago[[#This Row],[Apuesta Miniporra]]</f>
        <v>69.569999999999993</v>
      </c>
      <c r="N41" s="4">
        <f ca="1">INDEX(apuestas_ago[desvio],MATCH(resultados_ago[[#This Row],[Apuesta MiniPorra]],apuestas_ago[Apuesta Miniporra],0))</f>
        <v>-21.480000000000004</v>
      </c>
      <c r="O41" s="13">
        <f ca="1">INDEX(apuestas_ago[desvio %],MATCH(resultados_ago[[#This Row],[Apuesta MiniPorra]],apuestas_ago[Apuesta Miniporra],0))</f>
        <v>0.23591433278418455</v>
      </c>
      <c r="P41" s="78"/>
      <c r="Q41" s="78"/>
      <c r="U41" s="42"/>
    </row>
    <row r="42" spans="1:21" x14ac:dyDescent="0.2">
      <c r="A42" t="s">
        <v>961</v>
      </c>
      <c r="B42" t="s">
        <v>948</v>
      </c>
      <c r="C42" s="28">
        <v>69.37</v>
      </c>
      <c r="D42" t="s">
        <v>1014</v>
      </c>
      <c r="E42" t="s">
        <v>1015</v>
      </c>
      <c r="F42" s="28">
        <f ca="1">apuestas_ago[[#This Row],[Apuesta Miniporra]]-$B$3</f>
        <v>-21.679999999999993</v>
      </c>
      <c r="G42" s="68">
        <f ca="1">ABS(apuestas_ago[[#This Row],[desvio]])/$B$3</f>
        <v>0.23811092806150461</v>
      </c>
      <c r="H42" s="4">
        <f ca="1">_xlfn.RANK.EQ(apuestas_ago[[#This Row],[desvio %]],apuestas_ago[desvio %],1)</f>
        <v>36</v>
      </c>
      <c r="J42" s="66" t="s">
        <v>961</v>
      </c>
      <c r="K42" s="4">
        <f ca="1">INDEX(apuestas_ago[orden],MATCH(resultados_ago[Apuesta MiniPorra],apuestas_ago[Apuesta Miniporra],0))</f>
        <v>36</v>
      </c>
      <c r="L42" t="str">
        <f>apuestas_ago[[#This Row],[Nombre]]</f>
        <v>Juan José Cuervo Arias</v>
      </c>
      <c r="M42" s="28">
        <f>apuestas_ago[[#This Row],[Apuesta Miniporra]]</f>
        <v>69.37</v>
      </c>
      <c r="N42" s="4">
        <f ca="1">INDEX(apuestas_ago[desvio],MATCH(resultados_ago[[#This Row],[Apuesta MiniPorra]],apuestas_ago[Apuesta Miniporra],0))</f>
        <v>-21.679999999999993</v>
      </c>
      <c r="O42" s="13">
        <f ca="1">INDEX(apuestas_ago[desvio %],MATCH(resultados_ago[[#This Row],[Apuesta MiniPorra]],apuestas_ago[Apuesta Miniporra],0))</f>
        <v>0.23811092806150461</v>
      </c>
      <c r="P42" s="78"/>
      <c r="Q42" s="78"/>
      <c r="U42" s="42"/>
    </row>
    <row r="43" spans="1:21" x14ac:dyDescent="0.2">
      <c r="A43" t="s">
        <v>961</v>
      </c>
      <c r="B43" t="s">
        <v>221</v>
      </c>
      <c r="C43" s="28">
        <v>69.099999999999994</v>
      </c>
      <c r="D43" t="s">
        <v>118</v>
      </c>
      <c r="E43" t="s">
        <v>124</v>
      </c>
      <c r="F43" s="28">
        <f ca="1">apuestas_ago[[#This Row],[Apuesta Miniporra]]-$B$3</f>
        <v>-21.950000000000003</v>
      </c>
      <c r="G43" s="68">
        <f ca="1">ABS(apuestas_ago[[#This Row],[desvio]])/$B$3</f>
        <v>0.24107633168588691</v>
      </c>
      <c r="H43" s="4">
        <f ca="1">_xlfn.RANK.EQ(apuestas_ago[[#This Row],[desvio %]],apuestas_ago[desvio %],1)</f>
        <v>37</v>
      </c>
      <c r="J43" s="66" t="s">
        <v>961</v>
      </c>
      <c r="K43" s="4">
        <f ca="1">INDEX(apuestas_ago[orden],MATCH(resultados_ago[Apuesta MiniPorra],apuestas_ago[Apuesta Miniporra],0))</f>
        <v>37</v>
      </c>
      <c r="L43" t="str">
        <f>apuestas_ago[[#This Row],[Nombre]]</f>
        <v>Alfonso Lezcano</v>
      </c>
      <c r="M43" s="28">
        <f>apuestas_ago[[#This Row],[Apuesta Miniporra]]</f>
        <v>69.099999999999994</v>
      </c>
      <c r="N43" s="4">
        <f ca="1">INDEX(apuestas_ago[desvio],MATCH(resultados_ago[[#This Row],[Apuesta MiniPorra]],apuestas_ago[Apuesta Miniporra],0))</f>
        <v>-21.950000000000003</v>
      </c>
      <c r="O43" s="13">
        <f ca="1">INDEX(apuestas_ago[desvio %],MATCH(resultados_ago[[#This Row],[Apuesta MiniPorra]],apuestas_ago[Apuesta Miniporra],0))</f>
        <v>0.24107633168588691</v>
      </c>
      <c r="P43" s="78"/>
      <c r="Q43" s="78"/>
      <c r="U43" s="42"/>
    </row>
    <row r="44" spans="1:21" x14ac:dyDescent="0.2">
      <c r="A44" t="s">
        <v>961</v>
      </c>
      <c r="B44" t="s">
        <v>292</v>
      </c>
      <c r="C44" s="28">
        <v>65.86</v>
      </c>
      <c r="D44" t="s">
        <v>118</v>
      </c>
      <c r="E44" t="s">
        <v>531</v>
      </c>
      <c r="F44" s="28">
        <f ca="1">apuestas_ago[[#This Row],[Apuesta Miniporra]]-$B$3</f>
        <v>-25.189999999999998</v>
      </c>
      <c r="G44" s="68">
        <f ca="1">ABS(apuestas_ago[[#This Row],[desvio]])/$B$3</f>
        <v>0.27666117517847333</v>
      </c>
      <c r="H44" s="4">
        <f ca="1">_xlfn.RANK.EQ(apuestas_ago[[#This Row],[desvio %]],apuestas_ago[desvio %],1)</f>
        <v>38</v>
      </c>
      <c r="J44" s="66" t="s">
        <v>961</v>
      </c>
      <c r="K44" s="4">
        <f ca="1">INDEX(apuestas_ago[orden],MATCH(resultados_ago[Apuesta MiniPorra],apuestas_ago[Apuesta Miniporra],0))</f>
        <v>38</v>
      </c>
      <c r="L44" t="str">
        <f>apuestas_ago[[#This Row],[Nombre]]</f>
        <v>Oscar Mulas Crespo</v>
      </c>
      <c r="M44" s="28">
        <f>apuestas_ago[[#This Row],[Apuesta Miniporra]]</f>
        <v>65.86</v>
      </c>
      <c r="N44" s="4">
        <f ca="1">INDEX(apuestas_ago[desvio],MATCH(resultados_ago[[#This Row],[Apuesta MiniPorra]],apuestas_ago[Apuesta Miniporra],0))</f>
        <v>-25.189999999999998</v>
      </c>
      <c r="O44" s="13">
        <f ca="1">INDEX(apuestas_ago[desvio %],MATCH(resultados_ago[[#This Row],[Apuesta MiniPorra]],apuestas_ago[Apuesta Miniporra],0))</f>
        <v>0.27666117517847333</v>
      </c>
      <c r="P44" s="78"/>
      <c r="Q44" s="78"/>
      <c r="U44" s="42"/>
    </row>
    <row r="45" spans="1:21" x14ac:dyDescent="0.2">
      <c r="A45" t="s">
        <v>961</v>
      </c>
      <c r="B45" t="s">
        <v>217</v>
      </c>
      <c r="C45" s="28">
        <v>65.430000000000007</v>
      </c>
      <c r="D45" t="s">
        <v>118</v>
      </c>
      <c r="E45" t="s">
        <v>123</v>
      </c>
      <c r="F45" s="28">
        <f ca="1">apuestas_ago[[#This Row],[Apuesta Miniporra]]-$B$3</f>
        <v>-25.61999999999999</v>
      </c>
      <c r="G45" s="68">
        <f ca="1">ABS(apuestas_ago[[#This Row],[desvio]])/$B$3</f>
        <v>0.28138385502471158</v>
      </c>
      <c r="H45" s="4">
        <f ca="1">_xlfn.RANK.EQ(apuestas_ago[[#This Row],[desvio %]],apuestas_ago[desvio %],1)</f>
        <v>39</v>
      </c>
      <c r="J45" s="66" t="s">
        <v>961</v>
      </c>
      <c r="K45" s="4">
        <f ca="1">INDEX(apuestas_ago[orden],MATCH(resultados_ago[Apuesta MiniPorra],apuestas_ago[Apuesta Miniporra],0))</f>
        <v>39</v>
      </c>
      <c r="L45" t="str">
        <f>apuestas_ago[[#This Row],[Nombre]]</f>
        <v>Fernando Sánchez-Rey Maeso</v>
      </c>
      <c r="M45" s="28">
        <f>apuestas_ago[[#This Row],[Apuesta Miniporra]]</f>
        <v>65.430000000000007</v>
      </c>
      <c r="N45" s="4">
        <f ca="1">INDEX(apuestas_ago[desvio],MATCH(resultados_ago[[#This Row],[Apuesta MiniPorra]],apuestas_ago[Apuesta Miniporra],0))</f>
        <v>-25.61999999999999</v>
      </c>
      <c r="O45" s="13">
        <f ca="1">INDEX(apuestas_ago[desvio %],MATCH(resultados_ago[[#This Row],[Apuesta MiniPorra]],apuestas_ago[Apuesta Miniporra],0))</f>
        <v>0.28138385502471158</v>
      </c>
      <c r="P45" s="78"/>
      <c r="Q45" s="78"/>
      <c r="U45" s="42"/>
    </row>
    <row r="46" spans="1:21" x14ac:dyDescent="0.2">
      <c r="A46" t="s">
        <v>961</v>
      </c>
      <c r="B46" t="s">
        <v>652</v>
      </c>
      <c r="C46" s="28">
        <v>64.66</v>
      </c>
      <c r="D46" t="s">
        <v>118</v>
      </c>
      <c r="E46" t="s">
        <v>1011</v>
      </c>
      <c r="F46" s="28">
        <f ca="1">apuestas_ago[[#This Row],[Apuesta Miniporra]]-$B$3</f>
        <v>-26.39</v>
      </c>
      <c r="G46" s="68">
        <f ca="1">ABS(apuestas_ago[[#This Row],[desvio]])/$B$3</f>
        <v>0.2898407468423943</v>
      </c>
      <c r="H46" s="4">
        <f ca="1">_xlfn.RANK.EQ(apuestas_ago[[#This Row],[desvio %]],apuestas_ago[desvio %],1)</f>
        <v>40</v>
      </c>
      <c r="J46" s="66" t="s">
        <v>961</v>
      </c>
      <c r="K46" s="4">
        <f ca="1">INDEX(apuestas_ago[orden],MATCH(resultados_ago[Apuesta MiniPorra],apuestas_ago[Apuesta Miniporra],0))</f>
        <v>40</v>
      </c>
      <c r="L46" t="str">
        <f>apuestas_ago[[#This Row],[Nombre]]</f>
        <v>Carlos Martin</v>
      </c>
      <c r="M46" s="28">
        <f>apuestas_ago[[#This Row],[Apuesta Miniporra]]</f>
        <v>64.66</v>
      </c>
      <c r="N46" s="4">
        <f ca="1">INDEX(apuestas_ago[desvio],MATCH(resultados_ago[[#This Row],[Apuesta MiniPorra]],apuestas_ago[Apuesta Miniporra],0))</f>
        <v>-26.39</v>
      </c>
      <c r="O46" s="13">
        <f ca="1">INDEX(apuestas_ago[desvio %],MATCH(resultados_ago[[#This Row],[Apuesta MiniPorra]],apuestas_ago[Apuesta Miniporra],0))</f>
        <v>0.2898407468423943</v>
      </c>
      <c r="P46" s="78"/>
      <c r="Q46" s="78"/>
      <c r="U46" s="42"/>
    </row>
    <row r="47" spans="1:21" x14ac:dyDescent="0.2">
      <c r="A47" t="s">
        <v>961</v>
      </c>
      <c r="B47" t="s">
        <v>9</v>
      </c>
      <c r="C47" s="28">
        <v>60</v>
      </c>
      <c r="D47" t="s">
        <v>118</v>
      </c>
      <c r="E47" t="s">
        <v>124</v>
      </c>
      <c r="F47" s="28">
        <f ca="1">apuestas_ago[[#This Row],[Apuesta Miniporra]]-$B$3</f>
        <v>-31.049999999999997</v>
      </c>
      <c r="G47" s="68">
        <f ca="1">ABS(apuestas_ago[[#This Row],[desvio]])/$B$3</f>
        <v>0.34102141680395387</v>
      </c>
      <c r="H47" s="4">
        <f ca="1">_xlfn.RANK.EQ(apuestas_ago[[#This Row],[desvio %]],apuestas_ago[desvio %],1)</f>
        <v>41</v>
      </c>
      <c r="J47" s="66" t="s">
        <v>961</v>
      </c>
      <c r="K47" s="4">
        <f ca="1">INDEX(apuestas_ago[orden],MATCH(resultados_ago[Apuesta MiniPorra],apuestas_ago[Apuesta Miniporra],0))</f>
        <v>41</v>
      </c>
      <c r="L47" t="str">
        <f>apuestas_ago[[#This Row],[Nombre]]</f>
        <v>Alfonso Zárate Conde</v>
      </c>
      <c r="M47" s="28">
        <f>apuestas_ago[[#This Row],[Apuesta Miniporra]]</f>
        <v>60</v>
      </c>
      <c r="N47" s="4">
        <f ca="1">INDEX(apuestas_ago[desvio],MATCH(resultados_ago[[#This Row],[Apuesta MiniPorra]],apuestas_ago[Apuesta Miniporra],0))</f>
        <v>-31.049999999999997</v>
      </c>
      <c r="O47" s="13">
        <f ca="1">INDEX(apuestas_ago[desvio %],MATCH(resultados_ago[[#This Row],[Apuesta MiniPorra]],apuestas_ago[Apuesta Miniporra],0))</f>
        <v>0.34102141680395387</v>
      </c>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0"/>
      <c r="L59" s="100"/>
      <c r="M59" s="100"/>
      <c r="N59" s="100"/>
      <c r="O59" s="100"/>
      <c r="U59" s="42"/>
    </row>
    <row r="60" spans="10:21" x14ac:dyDescent="0.2">
      <c r="K60" s="100"/>
      <c r="L60" s="100"/>
      <c r="M60" s="100"/>
      <c r="N60" s="100"/>
      <c r="O60" s="100"/>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47">
    <cfRule type="expression" dxfId="70" priority="1">
      <formula>$K7=3</formula>
    </cfRule>
    <cfRule type="expression" dxfId="69" priority="2">
      <formula>$K7=2</formula>
    </cfRule>
    <cfRule type="expression" dxfId="68" priority="3">
      <formula>$K7=1</formula>
    </cfRule>
  </conditionalFormatting>
  <conditionalFormatting sqref="R8:S13 R17:S20 R25:S26">
    <cfRule type="expression" dxfId="67" priority="4">
      <formula>$K38=1</formula>
    </cfRule>
  </conditionalFormatting>
  <conditionalFormatting sqref="P39:Q54 Q38 P58:Q60">
    <cfRule type="expression" dxfId="66" priority="5">
      <formula>$K34=3</formula>
    </cfRule>
    <cfRule type="expression" dxfId="65" priority="6">
      <formula>$K34=2</formula>
    </cfRule>
    <cfRule type="expression" dxfId="64" priority="7">
      <formula>$K34=1</formula>
    </cfRule>
  </conditionalFormatting>
  <conditionalFormatting sqref="O7:O47">
    <cfRule type="dataBar" priority="8">
      <dataBar>
        <cfvo type="min"/>
        <cfvo type="max"/>
        <color rgb="FFFF555A"/>
      </dataBar>
      <extLst>
        <ext xmlns:x14="http://schemas.microsoft.com/office/spreadsheetml/2009/9/main" uri="{B025F937-C7B1-47D3-B67F-A62EFF666E3E}">
          <x14:id>{ACD4A2D3-3235-4EE8-A37D-319ADFA4464C}</x14:id>
        </ext>
      </extLst>
    </cfRule>
  </conditionalFormatting>
  <conditionalFormatting sqref="C7:C47">
    <cfRule type="duplicateValues" dxfId="63" priority="86"/>
  </conditionalFormatting>
  <conditionalFormatting sqref="B7:B47">
    <cfRule type="duplicateValues" dxfId="62" priority="88"/>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4915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4915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4915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ACD4A2D3-3235-4EE8-A37D-319ADFA4464C}">
            <x14:dataBar minLength="0" maxLength="100" border="1" negativeBarBorderColorSameAsPositive="0">
              <x14:cfvo type="autoMin"/>
              <x14:cfvo type="autoMax"/>
              <x14:borderColor rgb="FFFF555A"/>
              <x14:negativeFillColor rgb="FFFF0000"/>
              <x14:negativeBorderColor rgb="FFFF0000"/>
              <x14:axisColor rgb="FF000000"/>
            </x14:dataBar>
          </x14:cfRule>
          <xm:sqref>O7:O47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186B3-4B63-4E76-98F5-ACE8436F5EAE}">
  <sheetPr codeName="Hoja19">
    <tabColor rgb="FFC00000"/>
  </sheetPr>
  <dimension ref="A1:Y71"/>
  <sheetViews>
    <sheetView showGridLines="0" zoomScale="130" zoomScaleNormal="130" workbookViewId="0">
      <selection activeCell="F7" sqref="F7"/>
    </sheetView>
  </sheetViews>
  <sheetFormatPr baseColWidth="10" defaultRowHeight="12" x14ac:dyDescent="0.2"/>
  <cols>
    <col min="1" max="1" width="10.140625" customWidth="1"/>
    <col min="2" max="2" width="15.85546875" customWidth="1"/>
    <col min="3" max="3" width="10.85546875" style="4" bestFit="1" customWidth="1"/>
    <col min="4" max="4" width="15.8554687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10.42578125" style="4" customWidth="1"/>
    <col min="17" max="17" width="10.42578125" customWidth="1"/>
    <col min="18" max="19" width="13.85546875" customWidth="1"/>
    <col min="20" max="20" width="13.85546875" style="4" customWidth="1"/>
    <col min="21" max="21" width="12.7109375" style="4" customWidth="1"/>
    <col min="22" max="23" width="12.7109375" customWidth="1"/>
    <col min="24" max="24" width="12" customWidth="1"/>
    <col min="25" max="25" width="33.5703125" customWidth="1"/>
  </cols>
  <sheetData>
    <row r="1" spans="1:25" ht="12" customHeight="1" x14ac:dyDescent="0.2">
      <c r="A1" t="s">
        <v>228</v>
      </c>
      <c r="B1" s="23">
        <f>COUNTA(apuestas_sep24[Mes de apuesta])</f>
        <v>39</v>
      </c>
      <c r="G1" s="15" t="s">
        <v>236</v>
      </c>
      <c r="H1" s="23">
        <v>30</v>
      </c>
      <c r="I1" s="29"/>
      <c r="K1" s="136" t="s">
        <v>546</v>
      </c>
      <c r="L1" s="137"/>
      <c r="M1" s="125" t="s">
        <v>3</v>
      </c>
      <c r="N1" s="131" t="s">
        <v>1107</v>
      </c>
      <c r="O1" s="132"/>
      <c r="P1" s="129" t="s">
        <v>4</v>
      </c>
      <c r="Q1" s="130"/>
      <c r="R1" s="151" t="s">
        <v>1108</v>
      </c>
      <c r="S1" s="152"/>
      <c r="T1" s="152"/>
      <c r="U1" s="79"/>
      <c r="Y1" s="115"/>
    </row>
    <row r="2" spans="1:25" ht="12" customHeight="1" x14ac:dyDescent="0.2">
      <c r="A2" t="s">
        <v>3</v>
      </c>
      <c r="B2" s="23" t="str">
        <f>A7</f>
        <v>Sep 2024</v>
      </c>
      <c r="C2" s="4" t="s">
        <v>243</v>
      </c>
      <c r="G2" s="15" t="s">
        <v>253</v>
      </c>
      <c r="H2" s="24">
        <f ca="1">TODAY()</f>
        <v>45584</v>
      </c>
      <c r="I2" s="29"/>
      <c r="K2" s="138"/>
      <c r="L2" s="139"/>
      <c r="M2" s="126"/>
      <c r="N2" s="133"/>
      <c r="O2" s="134"/>
      <c r="P2" s="129"/>
      <c r="Q2" s="130"/>
      <c r="R2" s="151"/>
      <c r="S2" s="152"/>
      <c r="T2" s="152"/>
      <c r="U2" s="79"/>
      <c r="Y2" s="115"/>
    </row>
    <row r="3" spans="1:25" ht="12" customHeight="1" x14ac:dyDescent="0.2">
      <c r="A3" t="s">
        <v>229</v>
      </c>
      <c r="B3" s="44">
        <f ca="1">IF(C3="",ROUND(AVERAGE(omie!AC5:OFFSET(omie!AC5,MATCH(B4,omie_septiembre[fecha],0)-1,0)),2),C3)</f>
        <v>72.62</v>
      </c>
      <c r="C3" s="65"/>
      <c r="G3" s="115" t="s">
        <v>248</v>
      </c>
      <c r="H3" s="115"/>
      <c r="I3" s="29"/>
      <c r="K3" s="138"/>
      <c r="L3" s="139"/>
      <c r="M3" s="127" t="s">
        <v>13</v>
      </c>
      <c r="N3" s="135">
        <f>H1</f>
        <v>30</v>
      </c>
      <c r="O3" s="135"/>
      <c r="P3" s="128">
        <f ca="1">B3</f>
        <v>72.62</v>
      </c>
      <c r="Q3" s="128"/>
      <c r="R3" s="151"/>
      <c r="S3" s="152"/>
      <c r="T3" s="152"/>
      <c r="U3" s="79"/>
      <c r="Y3" s="115"/>
    </row>
    <row r="4" spans="1:25" ht="12" customHeight="1" x14ac:dyDescent="0.2">
      <c r="A4" t="s">
        <v>6</v>
      </c>
      <c r="B4" s="3">
        <f>DATE(2024,9,H1)</f>
        <v>45565</v>
      </c>
      <c r="G4" t="s">
        <v>247</v>
      </c>
      <c r="H4" s="67">
        <f>[1]omie_dinamic_dia!$G$2</f>
        <v>20</v>
      </c>
      <c r="I4" s="29"/>
      <c r="K4" s="138"/>
      <c r="L4" s="139"/>
      <c r="M4" s="127"/>
      <c r="N4" s="135"/>
      <c r="O4" s="135"/>
      <c r="P4" s="128"/>
      <c r="Q4" s="128"/>
      <c r="R4" s="151"/>
      <c r="S4" s="152"/>
      <c r="T4" s="152"/>
      <c r="U4" s="79"/>
      <c r="Y4" s="115"/>
    </row>
    <row r="5" spans="1:25" ht="12" customHeight="1" x14ac:dyDescent="0.2">
      <c r="A5" t="s">
        <v>15</v>
      </c>
      <c r="B5" s="3">
        <f>MAX(omie_septiembre[fecha])</f>
        <v>45565</v>
      </c>
      <c r="I5" s="29"/>
      <c r="K5" s="140"/>
      <c r="L5" s="141"/>
      <c r="M5" s="127"/>
      <c r="N5" s="135"/>
      <c r="O5" s="135"/>
      <c r="P5" s="128"/>
      <c r="Q5" s="128"/>
      <c r="R5" s="151"/>
      <c r="S5" s="152"/>
      <c r="T5" s="152"/>
      <c r="U5" s="79"/>
      <c r="Y5" s="115"/>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1039</v>
      </c>
      <c r="B7" t="s">
        <v>944</v>
      </c>
      <c r="C7" s="28">
        <v>104.34</v>
      </c>
      <c r="D7" t="s">
        <v>118</v>
      </c>
      <c r="E7" t="s">
        <v>853</v>
      </c>
      <c r="F7" s="28">
        <f ca="1">apuestas_sep24[[#This Row],[Apuesta Miniporra]]-$B$3</f>
        <v>31.72</v>
      </c>
      <c r="G7" s="68">
        <f ca="1">ABS(apuestas_sep24[[#This Row],[desvio]])/$B$3</f>
        <v>0.43679427155053702</v>
      </c>
      <c r="H7" s="4">
        <f ca="1">_xlfn.RANK.EQ(apuestas_sep24[[#This Row],[desvio %]],apuestas_sep24[desvio %],1)</f>
        <v>39</v>
      </c>
      <c r="J7" s="66" t="s">
        <v>1039</v>
      </c>
      <c r="K7" s="10">
        <f ca="1">INDEX(apuestas_sep24[orden],MATCH(resultados_sep[Apuesta MiniPorra],apuestas_sep24[Apuesta Miniporra],0))</f>
        <v>39</v>
      </c>
      <c r="L7" s="6" t="str">
        <f>apuestas_sep24[[#This Row],[Nombre]]</f>
        <v>Andrea Zarbano</v>
      </c>
      <c r="M7" s="14">
        <f>apuestas_sep24[[#This Row],[Apuesta Miniporra]]</f>
        <v>104.34</v>
      </c>
      <c r="N7" s="14">
        <f ca="1">INDEX(apuestas_sep24[desvio],MATCH(resultados_sep[[#This Row],[Apuesta MiniPorra]],apuestas_sep24[Apuesta Miniporra],0))</f>
        <v>31.72</v>
      </c>
      <c r="O7" s="13">
        <f ca="1">INDEX(apuestas_sep24[desvio %],MATCH(resultados_sep[[#This Row],[Apuesta MiniPorra]],apuestas_sep24[Apuesta Miniporra],0))</f>
        <v>0.43679427155053702</v>
      </c>
      <c r="P7" s="4">
        <v>1</v>
      </c>
      <c r="Q7" s="28">
        <f>IF(ISBLANK(omie!AB5),"",omie!AC5)</f>
        <v>99.64</v>
      </c>
      <c r="T7"/>
      <c r="U7"/>
      <c r="X7" s="4"/>
      <c r="Y7" s="4"/>
    </row>
    <row r="8" spans="1:25" x14ac:dyDescent="0.2">
      <c r="A8" t="s">
        <v>1039</v>
      </c>
      <c r="B8" t="s">
        <v>242</v>
      </c>
      <c r="C8" s="28">
        <v>98.5</v>
      </c>
      <c r="D8" t="s">
        <v>1071</v>
      </c>
      <c r="E8" t="s">
        <v>1072</v>
      </c>
      <c r="F8" s="28">
        <f ca="1">apuestas_sep24[[#This Row],[Apuesta Miniporra]]-$B$3</f>
        <v>25.879999999999995</v>
      </c>
      <c r="G8" s="68">
        <f ca="1">ABS(apuestas_sep24[[#This Row],[desvio]])/$B$3</f>
        <v>0.35637565408978233</v>
      </c>
      <c r="H8" s="4">
        <f ca="1">_xlfn.RANK.EQ(apuestas_sep24[[#This Row],[desvio %]],apuestas_sep24[desvio %],1)</f>
        <v>38</v>
      </c>
      <c r="J8" s="66" t="s">
        <v>1039</v>
      </c>
      <c r="K8" s="10">
        <f ca="1">INDEX(apuestas_sep24[orden],MATCH(resultados_sep[Apuesta MiniPorra],apuestas_sep24[Apuesta Miniporra],0))</f>
        <v>38</v>
      </c>
      <c r="L8" s="6" t="str">
        <f>apuestas_sep24[[#This Row],[Nombre]]</f>
        <v>Javier Espelta</v>
      </c>
      <c r="M8" s="14">
        <f>apuestas_sep24[[#This Row],[Apuesta Miniporra]]</f>
        <v>98.5</v>
      </c>
      <c r="N8" s="14">
        <f ca="1">INDEX(apuestas_sep24[desvio],MATCH(resultados_sep[[#This Row],[Apuesta MiniPorra]],apuestas_sep24[Apuesta Miniporra],0))</f>
        <v>25.879999999999995</v>
      </c>
      <c r="O8" s="13">
        <f ca="1">INDEX(apuestas_sep24[desvio %],MATCH(resultados_sep[[#This Row],[Apuesta MiniPorra]],apuestas_sep24[Apuesta Miniporra],0))</f>
        <v>0.35637565408978233</v>
      </c>
      <c r="P8" s="4">
        <v>2</v>
      </c>
      <c r="Q8" s="28">
        <f>IF(ISBLANK(omie!AB6),"",omie!AC6)</f>
        <v>116.66</v>
      </c>
      <c r="R8" s="78"/>
      <c r="S8" s="78"/>
      <c r="T8"/>
      <c r="U8"/>
      <c r="X8" s="4"/>
      <c r="Y8" s="4"/>
    </row>
    <row r="9" spans="1:25" x14ac:dyDescent="0.2">
      <c r="A9" t="s">
        <v>1039</v>
      </c>
      <c r="B9" t="s">
        <v>785</v>
      </c>
      <c r="C9" s="28">
        <v>97.05</v>
      </c>
      <c r="D9" t="s">
        <v>118</v>
      </c>
      <c r="E9" t="s">
        <v>733</v>
      </c>
      <c r="F9" s="28">
        <f ca="1">apuestas_sep24[[#This Row],[Apuesta Miniporra]]-$B$3</f>
        <v>24.429999999999993</v>
      </c>
      <c r="G9" s="68">
        <f ca="1">ABS(apuestas_sep24[[#This Row],[desvio]])/$B$3</f>
        <v>0.336408702836684</v>
      </c>
      <c r="H9" s="4">
        <f ca="1">_xlfn.RANK.EQ(apuestas_sep24[[#This Row],[desvio %]],apuestas_sep24[desvio %],1)</f>
        <v>37</v>
      </c>
      <c r="J9" s="66" t="s">
        <v>1039</v>
      </c>
      <c r="K9" s="10">
        <f ca="1">INDEX(apuestas_sep24[orden],MATCH(resultados_sep[Apuesta MiniPorra],apuestas_sep24[Apuesta Miniporra],0))</f>
        <v>37</v>
      </c>
      <c r="L9" s="6" t="str">
        <f>apuestas_sep24[[#This Row],[Nombre]]</f>
        <v>Víctor Baeschlin Sánchez</v>
      </c>
      <c r="M9" s="14">
        <f>apuestas_sep24[[#This Row],[Apuesta Miniporra]]</f>
        <v>97.05</v>
      </c>
      <c r="N9" s="14">
        <f ca="1">INDEX(apuestas_sep24[desvio],MATCH(resultados_sep[[#This Row],[Apuesta MiniPorra]],apuestas_sep24[Apuesta Miniporra],0))</f>
        <v>24.429999999999993</v>
      </c>
      <c r="O9" s="13">
        <f ca="1">INDEX(apuestas_sep24[desvio %],MATCH(resultados_sep[[#This Row],[Apuesta MiniPorra]],apuestas_sep24[Apuesta Miniporra],0))</f>
        <v>0.336408702836684</v>
      </c>
      <c r="P9" s="4">
        <v>3</v>
      </c>
      <c r="Q9" s="28">
        <f>IF(ISBLANK(omie!AB7),"",omie!AC7)</f>
        <v>108.44</v>
      </c>
      <c r="R9" s="78"/>
      <c r="S9" s="78"/>
      <c r="T9" s="28"/>
      <c r="U9"/>
      <c r="X9" s="4"/>
      <c r="Y9" s="4"/>
    </row>
    <row r="10" spans="1:25" x14ac:dyDescent="0.2">
      <c r="A10" t="s">
        <v>1039</v>
      </c>
      <c r="B10" t="s">
        <v>542</v>
      </c>
      <c r="C10" s="28">
        <v>95.54</v>
      </c>
      <c r="D10" t="s">
        <v>118</v>
      </c>
      <c r="E10" t="s">
        <v>542</v>
      </c>
      <c r="F10" s="28">
        <f ca="1">apuestas_sep24[[#This Row],[Apuesta Miniporra]]-$B$3</f>
        <v>22.92</v>
      </c>
      <c r="G10" s="68">
        <f ca="1">ABS(apuestas_sep24[[#This Row],[desvio]])/$B$3</f>
        <v>0.31561553291104377</v>
      </c>
      <c r="H10" s="4">
        <f ca="1">_xlfn.RANK.EQ(apuestas_sep24[[#This Row],[desvio %]],apuestas_sep24[desvio %],1)</f>
        <v>36</v>
      </c>
      <c r="J10" s="66" t="s">
        <v>1039</v>
      </c>
      <c r="K10" s="10">
        <f ca="1">INDEX(apuestas_sep24[orden],MATCH(resultados_sep[Apuesta MiniPorra],apuestas_sep24[Apuesta Miniporra],0))</f>
        <v>36</v>
      </c>
      <c r="L10" s="6" t="str">
        <f>apuestas_sep24[[#This Row],[Nombre]]</f>
        <v>Sergio Alfonso</v>
      </c>
      <c r="M10" s="14">
        <f>apuestas_sep24[[#This Row],[Apuesta Miniporra]]</f>
        <v>95.54</v>
      </c>
      <c r="N10" s="14">
        <f ca="1">INDEX(apuestas_sep24[desvio],MATCH(resultados_sep[[#This Row],[Apuesta MiniPorra]],apuestas_sep24[Apuesta Miniporra],0))</f>
        <v>22.92</v>
      </c>
      <c r="O10" s="13">
        <f ca="1">INDEX(apuestas_sep24[desvio %],MATCH(resultados_sep[[#This Row],[Apuesta MiniPorra]],apuestas_sep24[Apuesta Miniporra],0))</f>
        <v>0.31561553291104377</v>
      </c>
      <c r="P10" s="4">
        <v>4</v>
      </c>
      <c r="Q10" s="28">
        <f>IF(ISBLANK(omie!AB8),"",omie!AC8)</f>
        <v>95.41</v>
      </c>
      <c r="R10" s="78"/>
      <c r="S10" s="78"/>
      <c r="T10" s="28"/>
      <c r="U10"/>
      <c r="X10" s="4"/>
      <c r="Y10" s="4"/>
    </row>
    <row r="11" spans="1:25" x14ac:dyDescent="0.2">
      <c r="A11" t="s">
        <v>1039</v>
      </c>
      <c r="B11" t="s">
        <v>1026</v>
      </c>
      <c r="C11" s="28">
        <v>95.22</v>
      </c>
      <c r="D11" t="s">
        <v>118</v>
      </c>
      <c r="E11" t="s">
        <v>973</v>
      </c>
      <c r="F11" s="28">
        <f ca="1">apuestas_sep24[[#This Row],[Apuesta Miniporra]]-$B$3</f>
        <v>22.599999999999994</v>
      </c>
      <c r="G11" s="68">
        <f ca="1">ABS(apuestas_sep24[[#This Row],[desvio]])/$B$3</f>
        <v>0.31120903332415301</v>
      </c>
      <c r="H11" s="4">
        <f ca="1">_xlfn.RANK.EQ(apuestas_sep24[[#This Row],[desvio %]],apuestas_sep24[desvio %],1)</f>
        <v>35</v>
      </c>
      <c r="J11" s="66" t="s">
        <v>1039</v>
      </c>
      <c r="K11" s="10">
        <f ca="1">INDEX(apuestas_sep24[orden],MATCH(resultados_sep[Apuesta MiniPorra],apuestas_sep24[Apuesta Miniporra],0))</f>
        <v>35</v>
      </c>
      <c r="L11" s="6" t="str">
        <f>apuestas_sep24[[#This Row],[Nombre]]</f>
        <v>Pablo Herrero Del Barrio</v>
      </c>
      <c r="M11" s="14">
        <f>apuestas_sep24[[#This Row],[Apuesta Miniporra]]</f>
        <v>95.22</v>
      </c>
      <c r="N11" s="14">
        <f ca="1">INDEX(apuestas_sep24[desvio],MATCH(resultados_sep[[#This Row],[Apuesta MiniPorra]],apuestas_sep24[Apuesta Miniporra],0))</f>
        <v>22.599999999999994</v>
      </c>
      <c r="O11" s="13">
        <f ca="1">INDEX(apuestas_sep24[desvio %],MATCH(resultados_sep[[#This Row],[Apuesta MiniPorra]],apuestas_sep24[Apuesta Miniporra],0))</f>
        <v>0.31120903332415301</v>
      </c>
      <c r="P11" s="4">
        <v>5</v>
      </c>
      <c r="Q11" s="28">
        <f>IF(ISBLANK(omie!AB9),"",omie!AC9)</f>
        <v>104.28</v>
      </c>
      <c r="R11" s="78"/>
      <c r="S11" s="78"/>
      <c r="T11" s="28"/>
      <c r="U11"/>
    </row>
    <row r="12" spans="1:25" x14ac:dyDescent="0.2">
      <c r="A12" t="s">
        <v>1039</v>
      </c>
      <c r="B12" t="s">
        <v>222</v>
      </c>
      <c r="C12" s="28">
        <v>94.79</v>
      </c>
      <c r="D12" t="s">
        <v>1050</v>
      </c>
      <c r="E12" t="s">
        <v>178</v>
      </c>
      <c r="F12" s="28">
        <f ca="1">apuestas_sep24[[#This Row],[Apuesta Miniporra]]-$B$3</f>
        <v>22.17</v>
      </c>
      <c r="G12" s="68">
        <f ca="1">ABS(apuestas_sep24[[#This Row],[desvio]])/$B$3</f>
        <v>0.30528779950426882</v>
      </c>
      <c r="H12" s="4">
        <f ca="1">_xlfn.RANK.EQ(apuestas_sep24[[#This Row],[desvio %]],apuestas_sep24[desvio %],1)</f>
        <v>34</v>
      </c>
      <c r="J12" s="66" t="s">
        <v>1039</v>
      </c>
      <c r="K12" s="10">
        <f ca="1">INDEX(apuestas_sep24[orden],MATCH(resultados_sep[Apuesta MiniPorra],apuestas_sep24[Apuesta Miniporra],0))</f>
        <v>34</v>
      </c>
      <c r="L12" s="6" t="str">
        <f>apuestas_sep24[[#This Row],[Nombre]]</f>
        <v>Jose F Vidal</v>
      </c>
      <c r="M12" s="14">
        <f>apuestas_sep24[[#This Row],[Apuesta Miniporra]]</f>
        <v>94.79</v>
      </c>
      <c r="N12" s="14">
        <f ca="1">INDEX(apuestas_sep24[desvio],MATCH(resultados_sep[[#This Row],[Apuesta MiniPorra]],apuestas_sep24[Apuesta Miniporra],0))</f>
        <v>22.17</v>
      </c>
      <c r="O12" s="13">
        <f ca="1">INDEX(apuestas_sep24[desvio %],MATCH(resultados_sep[[#This Row],[Apuesta MiniPorra]],apuestas_sep24[Apuesta Miniporra],0))</f>
        <v>0.30528779950426882</v>
      </c>
      <c r="P12" s="4">
        <v>6</v>
      </c>
      <c r="Q12" s="28">
        <f>IF(ISBLANK(omie!AB10),"",omie!AC10)</f>
        <v>86.72</v>
      </c>
      <c r="R12" s="78"/>
      <c r="S12" s="78"/>
      <c r="T12" s="28"/>
      <c r="U12"/>
    </row>
    <row r="13" spans="1:25" x14ac:dyDescent="0.2">
      <c r="A13" t="s">
        <v>1039</v>
      </c>
      <c r="B13" t="s">
        <v>414</v>
      </c>
      <c r="C13" s="28">
        <v>94.3</v>
      </c>
      <c r="D13" t="s">
        <v>118</v>
      </c>
      <c r="E13" t="s">
        <v>467</v>
      </c>
      <c r="F13" s="28">
        <f ca="1">apuestas_sep24[[#This Row],[Apuesta Miniporra]]-$B$3</f>
        <v>21.679999999999993</v>
      </c>
      <c r="G13" s="68">
        <f ca="1">ABS(apuestas_sep24[[#This Row],[desvio]])/$B$3</f>
        <v>0.29854034701184234</v>
      </c>
      <c r="H13" s="4">
        <f ca="1">_xlfn.RANK.EQ(apuestas_sep24[[#This Row],[desvio %]],apuestas_sep24[desvio %],1)</f>
        <v>33</v>
      </c>
      <c r="J13" s="66" t="s">
        <v>1039</v>
      </c>
      <c r="K13" s="10">
        <f ca="1">INDEX(apuestas_sep24[orden],MATCH(resultados_sep[Apuesta MiniPorra],apuestas_sep24[Apuesta Miniporra],0))</f>
        <v>33</v>
      </c>
      <c r="L13" s="6" t="str">
        <f>apuestas_sep24[[#This Row],[Nombre]]</f>
        <v>Laura Gómez López</v>
      </c>
      <c r="M13" s="14">
        <f>apuestas_sep24[[#This Row],[Apuesta Miniporra]]</f>
        <v>94.3</v>
      </c>
      <c r="N13" s="14">
        <f ca="1">INDEX(apuestas_sep24[desvio],MATCH(resultados_sep[[#This Row],[Apuesta MiniPorra]],apuestas_sep24[Apuesta Miniporra],0))</f>
        <v>21.679999999999993</v>
      </c>
      <c r="O13" s="13">
        <f ca="1">INDEX(apuestas_sep24[desvio %],MATCH(resultados_sep[[#This Row],[Apuesta MiniPorra]],apuestas_sep24[Apuesta Miniporra],0))</f>
        <v>0.29854034701184234</v>
      </c>
      <c r="P13" s="4">
        <v>7</v>
      </c>
      <c r="Q13" s="28">
        <f>IF(ISBLANK(omie!AB11),"",omie!AC11)</f>
        <v>79.010000000000005</v>
      </c>
      <c r="R13" s="78"/>
      <c r="S13" s="78"/>
      <c r="T13" s="28"/>
      <c r="U13"/>
    </row>
    <row r="14" spans="1:25" x14ac:dyDescent="0.2">
      <c r="A14" t="s">
        <v>1039</v>
      </c>
      <c r="B14" t="s">
        <v>401</v>
      </c>
      <c r="C14" s="28">
        <v>93.89</v>
      </c>
      <c r="D14" t="s">
        <v>118</v>
      </c>
      <c r="E14" t="s">
        <v>331</v>
      </c>
      <c r="F14" s="28">
        <f ca="1">apuestas_sep24[[#This Row],[Apuesta Miniporra]]-$B$3</f>
        <v>21.269999999999996</v>
      </c>
      <c r="G14" s="68">
        <f ca="1">ABS(apuestas_sep24[[#This Row],[desvio]])/$B$3</f>
        <v>0.29289451941613875</v>
      </c>
      <c r="H14" s="4">
        <f ca="1">_xlfn.RANK.EQ(apuestas_sep24[[#This Row],[desvio %]],apuestas_sep24[desvio %],1)</f>
        <v>32</v>
      </c>
      <c r="J14" s="66" t="s">
        <v>1039</v>
      </c>
      <c r="K14" s="10">
        <f ca="1">INDEX(apuestas_sep24[orden],MATCH(resultados_sep[Apuesta MiniPorra],apuestas_sep24[Apuesta Miniporra],0))</f>
        <v>32</v>
      </c>
      <c r="L14" s="6" t="str">
        <f>apuestas_sep24[[#This Row],[Nombre]]</f>
        <v>Juan Pedro Conejo Sanchez</v>
      </c>
      <c r="M14" s="14">
        <f>apuestas_sep24[[#This Row],[Apuesta Miniporra]]</f>
        <v>93.89</v>
      </c>
      <c r="N14" s="14">
        <f ca="1">INDEX(apuestas_sep24[desvio],MATCH(resultados_sep[[#This Row],[Apuesta MiniPorra]],apuestas_sep24[Apuesta Miniporra],0))</f>
        <v>21.269999999999996</v>
      </c>
      <c r="O14" s="13">
        <f ca="1">INDEX(apuestas_sep24[desvio %],MATCH(resultados_sep[[#This Row],[Apuesta MiniPorra]],apuestas_sep24[Apuesta Miniporra],0))</f>
        <v>0.29289451941613875</v>
      </c>
      <c r="P14" s="4">
        <v>8</v>
      </c>
      <c r="Q14" s="28">
        <f>IF(ISBLANK(omie!AB12),"",omie!AC12)</f>
        <v>67.760000000000005</v>
      </c>
      <c r="R14" s="78"/>
      <c r="S14" s="78"/>
      <c r="T14" s="28"/>
      <c r="U14"/>
    </row>
    <row r="15" spans="1:25" x14ac:dyDescent="0.2">
      <c r="A15" t="s">
        <v>1039</v>
      </c>
      <c r="B15" t="s">
        <v>362</v>
      </c>
      <c r="C15" s="28">
        <v>93.65</v>
      </c>
      <c r="D15" t="s">
        <v>118</v>
      </c>
      <c r="E15" t="s">
        <v>1046</v>
      </c>
      <c r="F15" s="28">
        <f ca="1">apuestas_sep24[[#This Row],[Apuesta Miniporra]]-$B$3</f>
        <v>21.03</v>
      </c>
      <c r="G15" s="68">
        <f ca="1">ABS(apuestas_sep24[[#This Row],[desvio]])/$B$3</f>
        <v>0.28958964472597082</v>
      </c>
      <c r="H15" s="4">
        <f ca="1">_xlfn.RANK.EQ(apuestas_sep24[[#This Row],[desvio %]],apuestas_sep24[desvio %],1)</f>
        <v>31</v>
      </c>
      <c r="J15" s="66" t="s">
        <v>1039</v>
      </c>
      <c r="K15" s="10">
        <f ca="1">INDEX(apuestas_sep24[orden],MATCH(resultados_sep[Apuesta MiniPorra],apuestas_sep24[Apuesta Miniporra],0))</f>
        <v>31</v>
      </c>
      <c r="L15" s="6" t="str">
        <f>apuestas_sep24[[#This Row],[Nombre]]</f>
        <v>Inés Monroy</v>
      </c>
      <c r="M15" s="14">
        <f>apuestas_sep24[[#This Row],[Apuesta Miniporra]]</f>
        <v>93.65</v>
      </c>
      <c r="N15" s="14">
        <f ca="1">INDEX(apuestas_sep24[desvio],MATCH(resultados_sep[[#This Row],[Apuesta MiniPorra]],apuestas_sep24[Apuesta Miniporra],0))</f>
        <v>21.03</v>
      </c>
      <c r="O15" s="13">
        <f ca="1">INDEX(apuestas_sep24[desvio %],MATCH(resultados_sep[[#This Row],[Apuesta MiniPorra]],apuestas_sep24[Apuesta Miniporra],0))</f>
        <v>0.28958964472597082</v>
      </c>
      <c r="P15" s="4">
        <v>9</v>
      </c>
      <c r="Q15" s="28">
        <f>IF(ISBLANK(omie!AB13),"",omie!AC13)</f>
        <v>86.54</v>
      </c>
      <c r="R15" s="78"/>
      <c r="S15" s="78"/>
      <c r="T15" s="28"/>
      <c r="U15"/>
    </row>
    <row r="16" spans="1:25" x14ac:dyDescent="0.2">
      <c r="A16" t="s">
        <v>1039</v>
      </c>
      <c r="B16" t="s">
        <v>474</v>
      </c>
      <c r="C16" s="28">
        <v>92.87</v>
      </c>
      <c r="D16" t="s">
        <v>118</v>
      </c>
      <c r="E16" t="s">
        <v>535</v>
      </c>
      <c r="F16" s="28">
        <f ca="1">apuestas_sep24[[#This Row],[Apuesta Miniporra]]-$B$3</f>
        <v>20.25</v>
      </c>
      <c r="G16" s="68">
        <f ca="1">ABS(apuestas_sep24[[#This Row],[desvio]])/$B$3</f>
        <v>0.27884880198292478</v>
      </c>
      <c r="H16" s="4">
        <f ca="1">_xlfn.RANK.EQ(apuestas_sep24[[#This Row],[desvio %]],apuestas_sep24[desvio %],1)</f>
        <v>30</v>
      </c>
      <c r="J16" s="66" t="s">
        <v>1039</v>
      </c>
      <c r="K16" s="10">
        <f ca="1">INDEX(apuestas_sep24[orden],MATCH(resultados_sep[Apuesta MiniPorra],apuestas_sep24[Apuesta Miniporra],0))</f>
        <v>30</v>
      </c>
      <c r="L16" s="6" t="str">
        <f>apuestas_sep24[[#This Row],[Nombre]]</f>
        <v>Javier Colón Cortegoso</v>
      </c>
      <c r="M16" s="14">
        <f>apuestas_sep24[[#This Row],[Apuesta Miniporra]]</f>
        <v>92.87</v>
      </c>
      <c r="N16" s="14">
        <f ca="1">INDEX(apuestas_sep24[desvio],MATCH(resultados_sep[[#This Row],[Apuesta MiniPorra]],apuestas_sep24[Apuesta Miniporra],0))</f>
        <v>20.25</v>
      </c>
      <c r="O16" s="13">
        <f ca="1">INDEX(apuestas_sep24[desvio %],MATCH(resultados_sep[[#This Row],[Apuesta MiniPorra]],apuestas_sep24[Apuesta Miniporra],0))</f>
        <v>0.27884880198292478</v>
      </c>
      <c r="P16" s="4">
        <v>10</v>
      </c>
      <c r="Q16" s="28">
        <f>IF(ISBLANK(omie!AB14),"",omie!AC14)</f>
        <v>75.209999999999994</v>
      </c>
      <c r="R16" s="78"/>
      <c r="S16" s="78"/>
      <c r="T16" s="28"/>
      <c r="U16"/>
    </row>
    <row r="17" spans="1:23" x14ac:dyDescent="0.2">
      <c r="A17" t="s">
        <v>1039</v>
      </c>
      <c r="B17" t="s">
        <v>225</v>
      </c>
      <c r="C17" s="28">
        <v>92.8</v>
      </c>
      <c r="D17" t="s">
        <v>118</v>
      </c>
      <c r="E17" t="s">
        <v>199</v>
      </c>
      <c r="F17" s="28">
        <f ca="1">apuestas_sep24[[#This Row],[Apuesta Miniporra]]-$B$3</f>
        <v>20.179999999999993</v>
      </c>
      <c r="G17" s="68">
        <f ca="1">ABS(apuestas_sep24[[#This Row],[desvio]])/$B$3</f>
        <v>0.27788488019829238</v>
      </c>
      <c r="H17" s="4">
        <f ca="1">_xlfn.RANK.EQ(apuestas_sep24[[#This Row],[desvio %]],apuestas_sep24[desvio %],1)</f>
        <v>29</v>
      </c>
      <c r="J17" s="66" t="s">
        <v>1039</v>
      </c>
      <c r="K17" s="10">
        <f ca="1">INDEX(apuestas_sep24[orden],MATCH(resultados_sep[Apuesta MiniPorra],apuestas_sep24[Apuesta Miniporra],0))</f>
        <v>29</v>
      </c>
      <c r="L17" s="6" t="str">
        <f>apuestas_sep24[[#This Row],[Nombre]]</f>
        <v>Elena Muñoz Vioque</v>
      </c>
      <c r="M17" s="14">
        <f>apuestas_sep24[[#This Row],[Apuesta Miniporra]]</f>
        <v>92.8</v>
      </c>
      <c r="N17" s="14">
        <f ca="1">INDEX(apuestas_sep24[desvio],MATCH(resultados_sep[[#This Row],[Apuesta MiniPorra]],apuestas_sep24[Apuesta Miniporra],0))</f>
        <v>20.179999999999993</v>
      </c>
      <c r="O17" s="13">
        <f ca="1">INDEX(apuestas_sep24[desvio %],MATCH(resultados_sep[[#This Row],[Apuesta MiniPorra]],apuestas_sep24[Apuesta Miniporra],0))</f>
        <v>0.27788488019829238</v>
      </c>
      <c r="P17" s="4">
        <v>11</v>
      </c>
      <c r="Q17" s="28">
        <f>IF(ISBLANK(omie!AB15),"",omie!AC15)</f>
        <v>76.739999999999995</v>
      </c>
      <c r="R17" s="78"/>
      <c r="S17" s="78"/>
      <c r="T17" s="28"/>
      <c r="U17"/>
    </row>
    <row r="18" spans="1:23" x14ac:dyDescent="0.2">
      <c r="A18" t="s">
        <v>1039</v>
      </c>
      <c r="B18" t="s">
        <v>1027</v>
      </c>
      <c r="C18" s="28">
        <v>91.86</v>
      </c>
      <c r="D18" t="s">
        <v>118</v>
      </c>
      <c r="E18" t="s">
        <v>935</v>
      </c>
      <c r="F18" s="28">
        <f ca="1">apuestas_sep24[[#This Row],[Apuesta Miniporra]]-$B$3</f>
        <v>19.239999999999995</v>
      </c>
      <c r="G18" s="68">
        <f ca="1">ABS(apuestas_sep24[[#This Row],[desvio]])/$B$3</f>
        <v>0.26494078766180107</v>
      </c>
      <c r="H18" s="4">
        <f ca="1">_xlfn.RANK.EQ(apuestas_sep24[[#This Row],[desvio %]],apuestas_sep24[desvio %],1)</f>
        <v>28</v>
      </c>
      <c r="J18" s="66" t="s">
        <v>1039</v>
      </c>
      <c r="K18" s="10">
        <f ca="1">INDEX(apuestas_sep24[orden],MATCH(resultados_sep[Apuesta MiniPorra],apuestas_sep24[Apuesta Miniporra],0))</f>
        <v>28</v>
      </c>
      <c r="L18" s="6" t="str">
        <f>apuestas_sep24[[#This Row],[Nombre]]</f>
        <v>Rafael Leiva</v>
      </c>
      <c r="M18" s="14">
        <f>apuestas_sep24[[#This Row],[Apuesta Miniporra]]</f>
        <v>91.86</v>
      </c>
      <c r="N18" s="14">
        <f ca="1">INDEX(apuestas_sep24[desvio],MATCH(resultados_sep[[#This Row],[Apuesta MiniPorra]],apuestas_sep24[Apuesta Miniporra],0))</f>
        <v>19.239999999999995</v>
      </c>
      <c r="O18" s="13">
        <f ca="1">INDEX(apuestas_sep24[desvio %],MATCH(resultados_sep[[#This Row],[Apuesta MiniPorra]],apuestas_sep24[Apuesta Miniporra],0))</f>
        <v>0.26494078766180107</v>
      </c>
      <c r="P18" s="4">
        <v>12</v>
      </c>
      <c r="Q18" s="28">
        <f>IF(ISBLANK(omie!AB16),"",omie!AC16)</f>
        <v>72.209999999999994</v>
      </c>
      <c r="R18" s="78"/>
      <c r="S18" s="78"/>
      <c r="T18" s="28"/>
      <c r="U18"/>
    </row>
    <row r="19" spans="1:23" x14ac:dyDescent="0.2">
      <c r="A19" t="s">
        <v>1039</v>
      </c>
      <c r="B19" t="s">
        <v>792</v>
      </c>
      <c r="C19" s="28">
        <v>91.77</v>
      </c>
      <c r="D19" t="s">
        <v>118</v>
      </c>
      <c r="E19" t="s">
        <v>664</v>
      </c>
      <c r="F19" s="28">
        <f ca="1">apuestas_sep24[[#This Row],[Apuesta Miniporra]]-$B$3</f>
        <v>19.149999999999991</v>
      </c>
      <c r="G19" s="68">
        <f ca="1">ABS(apuestas_sep24[[#This Row],[desvio]])/$B$3</f>
        <v>0.26370145965298802</v>
      </c>
      <c r="H19" s="4">
        <f ca="1">_xlfn.RANK.EQ(apuestas_sep24[[#This Row],[desvio %]],apuestas_sep24[desvio %],1)</f>
        <v>27</v>
      </c>
      <c r="J19" s="66" t="s">
        <v>1039</v>
      </c>
      <c r="K19" s="10">
        <f ca="1">INDEX(apuestas_sep24[orden],MATCH(resultados_sep[Apuesta MiniPorra],apuestas_sep24[Apuesta Miniporra],0))</f>
        <v>27</v>
      </c>
      <c r="L19" s="6" t="str">
        <f>apuestas_sep24[[#This Row],[Nombre]]</f>
        <v>Gorka Arratibel Pastor</v>
      </c>
      <c r="M19" s="14">
        <f>apuestas_sep24[[#This Row],[Apuesta Miniporra]]</f>
        <v>91.77</v>
      </c>
      <c r="N19" s="14">
        <f ca="1">INDEX(apuestas_sep24[desvio],MATCH(resultados_sep[[#This Row],[Apuesta MiniPorra]],apuestas_sep24[Apuesta Miniporra],0))</f>
        <v>19.149999999999991</v>
      </c>
      <c r="O19" s="13">
        <f ca="1">INDEX(apuestas_sep24[desvio %],MATCH(resultados_sep[[#This Row],[Apuesta MiniPorra]],apuestas_sep24[Apuesta Miniporra],0))</f>
        <v>0.26370145965298802</v>
      </c>
      <c r="P19" s="4">
        <v>13</v>
      </c>
      <c r="Q19" s="28">
        <f>IF(ISBLANK(omie!AB17),"",omie!AC17)</f>
        <v>47.1</v>
      </c>
      <c r="R19" s="71"/>
      <c r="S19" s="71"/>
      <c r="T19" s="28"/>
      <c r="U19"/>
    </row>
    <row r="20" spans="1:23" x14ac:dyDescent="0.2">
      <c r="A20" t="s">
        <v>1039</v>
      </c>
      <c r="B20" t="s">
        <v>1103</v>
      </c>
      <c r="C20" s="28">
        <v>91.26</v>
      </c>
      <c r="D20" t="s">
        <v>118</v>
      </c>
      <c r="E20" t="s">
        <v>1075</v>
      </c>
      <c r="F20" s="28">
        <f ca="1">apuestas_sep24[[#This Row],[Apuesta Miniporra]]-$B$3</f>
        <v>18.64</v>
      </c>
      <c r="G20" s="68">
        <f ca="1">ABS(apuestas_sep24[[#This Row],[desvio]])/$B$3</f>
        <v>0.25667860093638117</v>
      </c>
      <c r="H20" s="4">
        <f ca="1">_xlfn.RANK.EQ(apuestas_sep24[[#This Row],[desvio %]],apuestas_sep24[desvio %],1)</f>
        <v>26</v>
      </c>
      <c r="J20" s="66" t="s">
        <v>1039</v>
      </c>
      <c r="K20" s="10">
        <f ca="1">INDEX(apuestas_sep24[orden],MATCH(resultados_sep[Apuesta MiniPorra],apuestas_sep24[Apuesta Miniporra],0))</f>
        <v>26</v>
      </c>
      <c r="L20" s="6" t="str">
        <f>apuestas_sep24[[#This Row],[Nombre]]</f>
        <v>Josep Vidal</v>
      </c>
      <c r="M20" s="14">
        <f>apuestas_sep24[[#This Row],[Apuesta Miniporra]]</f>
        <v>91.26</v>
      </c>
      <c r="N20" s="14">
        <f ca="1">INDEX(apuestas_sep24[desvio],MATCH(resultados_sep[[#This Row],[Apuesta MiniPorra]],apuestas_sep24[Apuesta Miniporra],0))</f>
        <v>18.64</v>
      </c>
      <c r="O20" s="13">
        <f ca="1">INDEX(apuestas_sep24[desvio %],MATCH(resultados_sep[[#This Row],[Apuesta MiniPorra]],apuestas_sep24[Apuesta Miniporra],0))</f>
        <v>0.25667860093638117</v>
      </c>
      <c r="P20" s="4">
        <v>14</v>
      </c>
      <c r="Q20" s="28">
        <f>IF(ISBLANK(omie!AB18),"",omie!AC18)</f>
        <v>45.61</v>
      </c>
      <c r="T20" s="28"/>
      <c r="U20" s="115"/>
      <c r="V20" s="115"/>
      <c r="W20" s="115"/>
    </row>
    <row r="21" spans="1:23" x14ac:dyDescent="0.2">
      <c r="A21" t="s">
        <v>1039</v>
      </c>
      <c r="B21" t="s">
        <v>219</v>
      </c>
      <c r="C21" s="28">
        <v>91.11</v>
      </c>
      <c r="D21" t="s">
        <v>118</v>
      </c>
      <c r="E21" t="s">
        <v>451</v>
      </c>
      <c r="F21" s="28">
        <f ca="1">apuestas_sep24[[#This Row],[Apuesta Miniporra]]-$B$3</f>
        <v>18.489999999999995</v>
      </c>
      <c r="G21" s="68">
        <f ca="1">ABS(apuestas_sep24[[#This Row],[desvio]])/$B$3</f>
        <v>0.25461305425502606</v>
      </c>
      <c r="H21" s="4">
        <f ca="1">_xlfn.RANK.EQ(apuestas_sep24[[#This Row],[desvio %]],apuestas_sep24[desvio %],1)</f>
        <v>25</v>
      </c>
      <c r="J21" s="66" t="s">
        <v>1039</v>
      </c>
      <c r="K21" s="10">
        <f ca="1">INDEX(apuestas_sep24[orden],MATCH(resultados_sep[Apuesta MiniPorra],apuestas_sep24[Apuesta Miniporra],0))</f>
        <v>25</v>
      </c>
      <c r="L21" s="6" t="str">
        <f>apuestas_sep24[[#This Row],[Nombre]]</f>
        <v>Jaime Larrañaga Juez</v>
      </c>
      <c r="M21" s="14">
        <f>apuestas_sep24[[#This Row],[Apuesta Miniporra]]</f>
        <v>91.11</v>
      </c>
      <c r="N21" s="14">
        <f ca="1">INDEX(apuestas_sep24[desvio],MATCH(resultados_sep[[#This Row],[Apuesta MiniPorra]],apuestas_sep24[Apuesta Miniporra],0))</f>
        <v>18.489999999999995</v>
      </c>
      <c r="O21" s="13">
        <f ca="1">INDEX(apuestas_sep24[desvio %],MATCH(resultados_sep[[#This Row],[Apuesta MiniPorra]],apuestas_sep24[Apuesta Miniporra],0))</f>
        <v>0.25461305425502606</v>
      </c>
      <c r="P21" s="4">
        <v>15</v>
      </c>
      <c r="Q21" s="28">
        <f>IF(ISBLANK(omie!AB19),"",omie!AC19)</f>
        <v>32.520000000000003</v>
      </c>
      <c r="T21" s="28"/>
      <c r="U21" s="115"/>
      <c r="V21" s="115"/>
      <c r="W21" s="115"/>
    </row>
    <row r="22" spans="1:23" x14ac:dyDescent="0.2">
      <c r="A22" t="s">
        <v>1039</v>
      </c>
      <c r="B22" t="s">
        <v>215</v>
      </c>
      <c r="C22" s="28">
        <v>90.9</v>
      </c>
      <c r="D22" t="s">
        <v>118</v>
      </c>
      <c r="E22" t="s">
        <v>103</v>
      </c>
      <c r="F22" s="28">
        <f ca="1">apuestas_sep24[[#This Row],[Apuesta Miniporra]]-$B$3</f>
        <v>18.28</v>
      </c>
      <c r="G22" s="68">
        <f ca="1">ABS(apuestas_sep24[[#This Row],[desvio]])/$B$3</f>
        <v>0.25172128890112916</v>
      </c>
      <c r="H22" s="4">
        <f ca="1">_xlfn.RANK.EQ(apuestas_sep24[[#This Row],[desvio %]],apuestas_sep24[desvio %],1)</f>
        <v>24</v>
      </c>
      <c r="J22" s="66" t="s">
        <v>1039</v>
      </c>
      <c r="K22" s="10">
        <f ca="1">INDEX(apuestas_sep24[orden],MATCH(resultados_sep[Apuesta MiniPorra],apuestas_sep24[Apuesta Miniporra],0))</f>
        <v>24</v>
      </c>
      <c r="L22" s="6" t="str">
        <f>apuestas_sep24[[#This Row],[Nombre]]</f>
        <v>Carles Estruch Puig</v>
      </c>
      <c r="M22" s="14">
        <f>apuestas_sep24[[#This Row],[Apuesta Miniporra]]</f>
        <v>90.9</v>
      </c>
      <c r="N22" s="14">
        <f ca="1">INDEX(apuestas_sep24[desvio],MATCH(resultados_sep[[#This Row],[Apuesta MiniPorra]],apuestas_sep24[Apuesta Miniporra],0))</f>
        <v>18.28</v>
      </c>
      <c r="O22" s="13">
        <f ca="1">INDEX(apuestas_sep24[desvio %],MATCH(resultados_sep[[#This Row],[Apuesta MiniPorra]],apuestas_sep24[Apuesta Miniporra],0))</f>
        <v>0.25172128890112916</v>
      </c>
      <c r="P22" s="4">
        <v>16</v>
      </c>
      <c r="Q22" s="28">
        <f>IF(ISBLANK(omie!AB20),"",omie!AC20)</f>
        <v>27.19</v>
      </c>
      <c r="T22" s="28"/>
      <c r="U22" s="115"/>
      <c r="V22" s="115"/>
      <c r="W22" s="115"/>
    </row>
    <row r="23" spans="1:23" x14ac:dyDescent="0.2">
      <c r="A23" t="s">
        <v>1039</v>
      </c>
      <c r="B23" t="s">
        <v>942</v>
      </c>
      <c r="C23" s="28">
        <v>90.66</v>
      </c>
      <c r="D23" t="s">
        <v>118</v>
      </c>
      <c r="E23" t="s">
        <v>901</v>
      </c>
      <c r="F23" s="28">
        <f ca="1">apuestas_sep24[[#This Row],[Apuesta Miniporra]]-$B$3</f>
        <v>18.039999999999992</v>
      </c>
      <c r="G23" s="68">
        <f ca="1">ABS(apuestas_sep24[[#This Row],[desvio]])/$B$3</f>
        <v>0.24841641421096106</v>
      </c>
      <c r="H23" s="4">
        <f ca="1">_xlfn.RANK.EQ(apuestas_sep24[[#This Row],[desvio %]],apuestas_sep24[desvio %],1)</f>
        <v>23</v>
      </c>
      <c r="J23" s="66" t="s">
        <v>1039</v>
      </c>
      <c r="K23" s="10">
        <f ca="1">INDEX(apuestas_sep24[orden],MATCH(resultados_sep[Apuesta MiniPorra],apuestas_sep24[Apuesta Miniporra],0))</f>
        <v>23</v>
      </c>
      <c r="L23" s="6" t="str">
        <f>apuestas_sep24[[#This Row],[Nombre]]</f>
        <v>Rafael Tejada Bonilla</v>
      </c>
      <c r="M23" s="14">
        <f>apuestas_sep24[[#This Row],[Apuesta Miniporra]]</f>
        <v>90.66</v>
      </c>
      <c r="N23" s="14">
        <f ca="1">INDEX(apuestas_sep24[desvio],MATCH(resultados_sep[[#This Row],[Apuesta MiniPorra]],apuestas_sep24[Apuesta Miniporra],0))</f>
        <v>18.039999999999992</v>
      </c>
      <c r="O23" s="13">
        <f ca="1">INDEX(apuestas_sep24[desvio %],MATCH(resultados_sep[[#This Row],[Apuesta MiniPorra]],apuestas_sep24[Apuesta Miniporra],0))</f>
        <v>0.24841641421096106</v>
      </c>
      <c r="P23" s="4">
        <v>17</v>
      </c>
      <c r="Q23" s="28">
        <f>IF(ISBLANK(omie!AB21),"",omie!AC21)</f>
        <v>25.7</v>
      </c>
      <c r="T23" s="28"/>
      <c r="U23"/>
    </row>
    <row r="24" spans="1:23" x14ac:dyDescent="0.2">
      <c r="A24" t="s">
        <v>1039</v>
      </c>
      <c r="B24" t="s">
        <v>381</v>
      </c>
      <c r="C24" s="28">
        <v>89.93</v>
      </c>
      <c r="D24" t="s">
        <v>1062</v>
      </c>
      <c r="E24" t="s">
        <v>37</v>
      </c>
      <c r="F24" s="28">
        <f ca="1">apuestas_sep24[[#This Row],[Apuesta Miniporra]]-$B$3</f>
        <v>17.310000000000002</v>
      </c>
      <c r="G24" s="68">
        <f ca="1">ABS(apuestas_sep24[[#This Row],[desvio]])/$B$3</f>
        <v>0.23836408702836687</v>
      </c>
      <c r="H24" s="4">
        <f ca="1">_xlfn.RANK.EQ(apuestas_sep24[[#This Row],[desvio %]],apuestas_sep24[desvio %],1)</f>
        <v>22</v>
      </c>
      <c r="J24" s="66" t="s">
        <v>1039</v>
      </c>
      <c r="K24" s="10">
        <f ca="1">INDEX(apuestas_sep24[orden],MATCH(resultados_sep[Apuesta MiniPorra],apuestas_sep24[Apuesta Miniporra],0))</f>
        <v>22</v>
      </c>
      <c r="L24" s="6" t="str">
        <f>apuestas_sep24[[#This Row],[Nombre]]</f>
        <v>Roberto Cavero García</v>
      </c>
      <c r="M24" s="14">
        <f>apuestas_sep24[[#This Row],[Apuesta Miniporra]]</f>
        <v>89.93</v>
      </c>
      <c r="N24" s="14">
        <f ca="1">INDEX(apuestas_sep24[desvio],MATCH(resultados_sep[[#This Row],[Apuesta MiniPorra]],apuestas_sep24[Apuesta Miniporra],0))</f>
        <v>17.310000000000002</v>
      </c>
      <c r="O24" s="13">
        <f ca="1">INDEX(apuestas_sep24[desvio %],MATCH(resultados_sep[[#This Row],[Apuesta MiniPorra]],apuestas_sep24[Apuesta Miniporra],0))</f>
        <v>0.23836408702836687</v>
      </c>
      <c r="P24" s="4">
        <v>18</v>
      </c>
      <c r="Q24" s="28">
        <f>IF(ISBLANK(omie!AB22),"",omie!AC22)</f>
        <v>90.92</v>
      </c>
      <c r="T24" s="28"/>
      <c r="U24"/>
    </row>
    <row r="25" spans="1:23" x14ac:dyDescent="0.2">
      <c r="A25" t="s">
        <v>1039</v>
      </c>
      <c r="B25" t="s">
        <v>1104</v>
      </c>
      <c r="C25" s="28">
        <v>89.4</v>
      </c>
      <c r="D25" t="s">
        <v>118</v>
      </c>
      <c r="E25" t="s">
        <v>1041</v>
      </c>
      <c r="F25" s="28">
        <f ca="1">apuestas_sep24[[#This Row],[Apuesta Miniporra]]-$B$3</f>
        <v>16.78</v>
      </c>
      <c r="G25" s="68">
        <f ca="1">ABS(apuestas_sep24[[#This Row],[desvio]])/$B$3</f>
        <v>0.23106582208757917</v>
      </c>
      <c r="H25" s="4">
        <f ca="1">_xlfn.RANK.EQ(apuestas_sep24[[#This Row],[desvio %]],apuestas_sep24[desvio %],1)</f>
        <v>21</v>
      </c>
      <c r="J25" s="66" t="s">
        <v>1039</v>
      </c>
      <c r="K25" s="10">
        <f ca="1">INDEX(apuestas_sep24[orden],MATCH(resultados_sep[Apuesta MiniPorra],apuestas_sep24[Apuesta Miniporra],0))</f>
        <v>21</v>
      </c>
      <c r="L25" s="6" t="str">
        <f>apuestas_sep24[[#This Row],[Nombre]]</f>
        <v>Jagoba Riveiro Zafra</v>
      </c>
      <c r="M25" s="14">
        <f>apuestas_sep24[[#This Row],[Apuesta Miniporra]]</f>
        <v>89.4</v>
      </c>
      <c r="N25" s="14">
        <f ca="1">INDEX(apuestas_sep24[desvio],MATCH(resultados_sep[[#This Row],[Apuesta MiniPorra]],apuestas_sep24[Apuesta Miniporra],0))</f>
        <v>16.78</v>
      </c>
      <c r="O25" s="13">
        <f ca="1">INDEX(apuestas_sep24[desvio %],MATCH(resultados_sep[[#This Row],[Apuesta MiniPorra]],apuestas_sep24[Apuesta Miniporra],0))</f>
        <v>0.23106582208757917</v>
      </c>
      <c r="P25" s="4">
        <v>19</v>
      </c>
      <c r="Q25" s="28">
        <f>IF(ISBLANK(omie!AB23),"",omie!AC23)</f>
        <v>106.98</v>
      </c>
      <c r="T25" s="28"/>
      <c r="U25"/>
    </row>
    <row r="26" spans="1:23" x14ac:dyDescent="0.2">
      <c r="A26" t="s">
        <v>1039</v>
      </c>
      <c r="B26" t="s">
        <v>1028</v>
      </c>
      <c r="C26" s="28">
        <v>89.23</v>
      </c>
      <c r="D26" t="s">
        <v>770</v>
      </c>
      <c r="E26" t="s">
        <v>1098</v>
      </c>
      <c r="F26" s="28">
        <f ca="1">apuestas_sep24[[#This Row],[Apuesta Miniporra]]-$B$3</f>
        <v>16.61</v>
      </c>
      <c r="G26" s="68">
        <f ca="1">ABS(apuestas_sep24[[#This Row],[desvio]])/$B$3</f>
        <v>0.22872486918204349</v>
      </c>
      <c r="H26" s="4">
        <f ca="1">_xlfn.RANK.EQ(apuestas_sep24[[#This Row],[desvio %]],apuestas_sep24[desvio %],1)</f>
        <v>20</v>
      </c>
      <c r="J26" s="66" t="s">
        <v>1039</v>
      </c>
      <c r="K26" s="10">
        <f ca="1">INDEX(apuestas_sep24[orden],MATCH(resultados_sep[Apuesta MiniPorra],apuestas_sep24[Apuesta Miniporra],0))</f>
        <v>20</v>
      </c>
      <c r="L26" s="6" t="str">
        <f>apuestas_sep24[[#This Row],[Nombre]]</f>
        <v>Ricardo Estévez Solís</v>
      </c>
      <c r="M26" s="14">
        <f>apuestas_sep24[[#This Row],[Apuesta Miniporra]]</f>
        <v>89.23</v>
      </c>
      <c r="N26" s="14">
        <f ca="1">INDEX(apuestas_sep24[desvio],MATCH(resultados_sep[[#This Row],[Apuesta MiniPorra]],apuestas_sep24[Apuesta Miniporra],0))</f>
        <v>16.61</v>
      </c>
      <c r="O26" s="13">
        <f ca="1">INDEX(apuestas_sep24[desvio %],MATCH(resultados_sep[[#This Row],[Apuesta MiniPorra]],apuestas_sep24[Apuesta Miniporra],0))</f>
        <v>0.22872486918204349</v>
      </c>
      <c r="P26" s="4">
        <v>20</v>
      </c>
      <c r="Q26" s="28">
        <f>IF(ISBLANK(omie!AB24),"",omie!AC24)</f>
        <v>107.69</v>
      </c>
      <c r="T26" s="28"/>
      <c r="U26"/>
    </row>
    <row r="27" spans="1:23" x14ac:dyDescent="0.2">
      <c r="A27" t="s">
        <v>1039</v>
      </c>
      <c r="B27" t="s">
        <v>218</v>
      </c>
      <c r="C27" s="28">
        <v>88.88</v>
      </c>
      <c r="D27" t="s">
        <v>118</v>
      </c>
      <c r="E27" t="s">
        <v>1025</v>
      </c>
      <c r="F27" s="28">
        <f ca="1">apuestas_sep24[[#This Row],[Apuesta Miniporra]]-$B$3</f>
        <v>16.259999999999991</v>
      </c>
      <c r="G27" s="68">
        <f ca="1">ABS(apuestas_sep24[[#This Row],[desvio]])/$B$3</f>
        <v>0.22390526025888172</v>
      </c>
      <c r="H27" s="4">
        <f ca="1">_xlfn.RANK.EQ(apuestas_sep24[[#This Row],[desvio %]],apuestas_sep24[desvio %],1)</f>
        <v>19</v>
      </c>
      <c r="J27" s="66" t="s">
        <v>1039</v>
      </c>
      <c r="K27" s="10">
        <f ca="1">INDEX(apuestas_sep24[orden],MATCH(resultados_sep[Apuesta MiniPorra],apuestas_sep24[Apuesta Miniporra],0))</f>
        <v>19</v>
      </c>
      <c r="L27" s="6" t="str">
        <f>apuestas_sep24[[#This Row],[Nombre]]</f>
        <v>Jorge Antonio González Sánchez</v>
      </c>
      <c r="M27" s="14">
        <f>apuestas_sep24[[#This Row],[Apuesta Miniporra]]</f>
        <v>88.88</v>
      </c>
      <c r="N27" s="14">
        <f ca="1">INDEX(apuestas_sep24[desvio],MATCH(resultados_sep[[#This Row],[Apuesta MiniPorra]],apuestas_sep24[Apuesta Miniporra],0))</f>
        <v>16.259999999999991</v>
      </c>
      <c r="O27" s="13">
        <f ca="1">INDEX(apuestas_sep24[desvio %],MATCH(resultados_sep[[#This Row],[Apuesta MiniPorra]],apuestas_sep24[Apuesta Miniporra],0))</f>
        <v>0.22390526025888172</v>
      </c>
      <c r="P27" s="4">
        <v>21</v>
      </c>
      <c r="Q27" s="28">
        <f>IF(ISBLANK(omie!AB25),"",omie!AC25)</f>
        <v>85.39</v>
      </c>
      <c r="T27" s="28"/>
      <c r="U27"/>
    </row>
    <row r="28" spans="1:23" x14ac:dyDescent="0.2">
      <c r="A28" t="s">
        <v>1039</v>
      </c>
      <c r="B28" t="s">
        <v>328</v>
      </c>
      <c r="C28" s="28">
        <v>88.05</v>
      </c>
      <c r="D28" t="s">
        <v>118</v>
      </c>
      <c r="E28" t="s">
        <v>328</v>
      </c>
      <c r="F28" s="28">
        <f ca="1">apuestas_sep24[[#This Row],[Apuesta Miniporra]]-$B$3</f>
        <v>15.429999999999993</v>
      </c>
      <c r="G28" s="68">
        <f ca="1">ABS(apuestas_sep24[[#This Row],[desvio]])/$B$3</f>
        <v>0.21247590195538407</v>
      </c>
      <c r="H28" s="4">
        <f ca="1">_xlfn.RANK.EQ(apuestas_sep24[[#This Row],[desvio %]],apuestas_sep24[desvio %],1)</f>
        <v>18</v>
      </c>
      <c r="J28" s="66" t="s">
        <v>1039</v>
      </c>
      <c r="K28" s="10">
        <f ca="1">INDEX(apuestas_sep24[orden],MATCH(resultados_sep[Apuesta MiniPorra],apuestas_sep24[Apuesta Miniporra],0))</f>
        <v>18</v>
      </c>
      <c r="L28" s="6" t="str">
        <f>apuestas_sep24[[#This Row],[Nombre]]</f>
        <v>Aitor Folch</v>
      </c>
      <c r="M28" s="14">
        <f>apuestas_sep24[[#This Row],[Apuesta Miniporra]]</f>
        <v>88.05</v>
      </c>
      <c r="N28" s="14">
        <f ca="1">INDEX(apuestas_sep24[desvio],MATCH(resultados_sep[[#This Row],[Apuesta MiniPorra]],apuestas_sep24[Apuesta Miniporra],0))</f>
        <v>15.429999999999993</v>
      </c>
      <c r="O28" s="13">
        <f ca="1">INDEX(apuestas_sep24[desvio %],MATCH(resultados_sep[[#This Row],[Apuesta MiniPorra]],apuestas_sep24[Apuesta Miniporra],0))</f>
        <v>0.21247590195538407</v>
      </c>
      <c r="P28" s="4">
        <v>22</v>
      </c>
      <c r="Q28" s="28">
        <f>IF(ISBLANK(omie!AB26),"",omie!AC26)</f>
        <v>69.91</v>
      </c>
      <c r="T28" s="28"/>
      <c r="U28"/>
    </row>
    <row r="29" spans="1:23" x14ac:dyDescent="0.2">
      <c r="A29" t="s">
        <v>1039</v>
      </c>
      <c r="B29" t="s">
        <v>406</v>
      </c>
      <c r="C29" s="28">
        <v>88</v>
      </c>
      <c r="D29" t="s">
        <v>118</v>
      </c>
      <c r="E29" t="s">
        <v>271</v>
      </c>
      <c r="F29" s="28">
        <f ca="1">apuestas_sep24[[#This Row],[Apuesta Miniporra]]-$B$3</f>
        <v>15.379999999999995</v>
      </c>
      <c r="G29" s="68">
        <f ca="1">ABS(apuestas_sep24[[#This Row],[desvio]])/$B$3</f>
        <v>0.21178738639493244</v>
      </c>
      <c r="H29" s="4">
        <f ca="1">_xlfn.RANK.EQ(apuestas_sep24[[#This Row],[desvio %]],apuestas_sep24[desvio %],1)</f>
        <v>17</v>
      </c>
      <c r="J29" s="66" t="s">
        <v>1039</v>
      </c>
      <c r="K29" s="10">
        <f ca="1">INDEX(apuestas_sep24[orden],MATCH(resultados_sep[Apuesta MiniPorra],apuestas_sep24[Apuesta Miniporra],0))</f>
        <v>17</v>
      </c>
      <c r="L29" s="6" t="str">
        <f>apuestas_sep24[[#This Row],[Nombre]]</f>
        <v>Javier Pérez Salazar</v>
      </c>
      <c r="M29" s="14">
        <f>apuestas_sep24[[#This Row],[Apuesta Miniporra]]</f>
        <v>88</v>
      </c>
      <c r="N29" s="14">
        <f ca="1">INDEX(apuestas_sep24[desvio],MATCH(resultados_sep[[#This Row],[Apuesta MiniPorra]],apuestas_sep24[Apuesta Miniporra],0))</f>
        <v>15.379999999999995</v>
      </c>
      <c r="O29" s="13">
        <f ca="1">INDEX(apuestas_sep24[desvio %],MATCH(resultados_sep[[#This Row],[Apuesta MiniPorra]],apuestas_sep24[Apuesta Miniporra],0))</f>
        <v>0.21178738639493244</v>
      </c>
      <c r="P29" s="4">
        <v>23</v>
      </c>
      <c r="Q29" s="28">
        <f>IF(ISBLANK(omie!AB27),"",omie!AC27)</f>
        <v>90.03</v>
      </c>
      <c r="T29" s="28"/>
      <c r="U29"/>
    </row>
    <row r="30" spans="1:23" x14ac:dyDescent="0.2">
      <c r="A30" t="s">
        <v>1039</v>
      </c>
      <c r="B30" t="s">
        <v>412</v>
      </c>
      <c r="C30" s="28">
        <v>87.6</v>
      </c>
      <c r="D30" t="s">
        <v>1095</v>
      </c>
      <c r="E30" t="s">
        <v>1096</v>
      </c>
      <c r="F30" s="28">
        <f ca="1">apuestas_sep24[[#This Row],[Apuesta Miniporra]]-$B$3</f>
        <v>14.97999999999999</v>
      </c>
      <c r="G30" s="68">
        <f ca="1">ABS(apuestas_sep24[[#This Row],[desvio]])/$B$3</f>
        <v>0.20627926191131904</v>
      </c>
      <c r="H30" s="4">
        <f ca="1">_xlfn.RANK.EQ(apuestas_sep24[[#This Row],[desvio %]],apuestas_sep24[desvio %],1)</f>
        <v>16</v>
      </c>
      <c r="J30" s="66" t="s">
        <v>1039</v>
      </c>
      <c r="K30" s="10">
        <f ca="1">INDEX(apuestas_sep24[orden],MATCH(resultados_sep[Apuesta MiniPorra],apuestas_sep24[Apuesta Miniporra],0))</f>
        <v>16</v>
      </c>
      <c r="L30" s="6" t="str">
        <f>apuestas_sep24[[#This Row],[Nombre]]</f>
        <v>Jose Manuel Otero López</v>
      </c>
      <c r="M30" s="14">
        <f>apuestas_sep24[[#This Row],[Apuesta Miniporra]]</f>
        <v>87.6</v>
      </c>
      <c r="N30" s="14">
        <f ca="1">INDEX(apuestas_sep24[desvio],MATCH(resultados_sep[[#This Row],[Apuesta MiniPorra]],apuestas_sep24[Apuesta Miniporra],0))</f>
        <v>14.97999999999999</v>
      </c>
      <c r="O30" s="13">
        <f ca="1">INDEX(apuestas_sep24[desvio %],MATCH(resultados_sep[[#This Row],[Apuesta MiniPorra]],apuestas_sep24[Apuesta Miniporra],0))</f>
        <v>0.20627926191131904</v>
      </c>
      <c r="P30" s="4">
        <v>24</v>
      </c>
      <c r="Q30" s="28">
        <f>IF(ISBLANK(omie!AB28),"",omie!AC28)</f>
        <v>95.81</v>
      </c>
      <c r="T30" s="28"/>
      <c r="U30"/>
    </row>
    <row r="31" spans="1:23" x14ac:dyDescent="0.2">
      <c r="A31" t="s">
        <v>1039</v>
      </c>
      <c r="B31" t="s">
        <v>363</v>
      </c>
      <c r="C31" s="28">
        <v>87.4</v>
      </c>
      <c r="D31" t="s">
        <v>118</v>
      </c>
      <c r="E31" t="s">
        <v>76</v>
      </c>
      <c r="F31" s="28">
        <f ca="1">apuestas_sep24[[#This Row],[Apuesta Miniporra]]-$B$3</f>
        <v>14.780000000000001</v>
      </c>
      <c r="G31" s="68">
        <f ca="1">ABS(apuestas_sep24[[#This Row],[desvio]])/$B$3</f>
        <v>0.20352519966951255</v>
      </c>
      <c r="H31" s="4">
        <f ca="1">_xlfn.RANK.EQ(apuestas_sep24[[#This Row],[desvio %]],apuestas_sep24[desvio %],1)</f>
        <v>15</v>
      </c>
      <c r="J31" s="66" t="s">
        <v>1039</v>
      </c>
      <c r="K31" s="10">
        <f ca="1">INDEX(apuestas_sep24[orden],MATCH(resultados_sep[Apuesta MiniPorra],apuestas_sep24[Apuesta Miniporra],0))</f>
        <v>15</v>
      </c>
      <c r="L31" s="6" t="str">
        <f>apuestas_sep24[[#This Row],[Nombre]]</f>
        <v>Roque Alonso Alonso</v>
      </c>
      <c r="M31" s="14">
        <f>apuestas_sep24[[#This Row],[Apuesta Miniporra]]</f>
        <v>87.4</v>
      </c>
      <c r="N31" s="14">
        <f ca="1">INDEX(apuestas_sep24[desvio],MATCH(resultados_sep[[#This Row],[Apuesta MiniPorra]],apuestas_sep24[Apuesta Miniporra],0))</f>
        <v>14.780000000000001</v>
      </c>
      <c r="O31" s="13">
        <f ca="1">INDEX(apuestas_sep24[desvio %],MATCH(resultados_sep[[#This Row],[Apuesta MiniPorra]],apuestas_sep24[Apuesta Miniporra],0))</f>
        <v>0.20352519966951255</v>
      </c>
      <c r="P31" s="4">
        <v>25</v>
      </c>
      <c r="Q31" s="28">
        <f>IF(ISBLANK(omie!AB29),"",omie!AC29)</f>
        <v>57.22</v>
      </c>
      <c r="T31" s="28"/>
      <c r="U31"/>
    </row>
    <row r="32" spans="1:23" x14ac:dyDescent="0.2">
      <c r="A32" t="s">
        <v>1039</v>
      </c>
      <c r="B32" t="s">
        <v>413</v>
      </c>
      <c r="C32" s="28">
        <v>86.86</v>
      </c>
      <c r="D32" t="s">
        <v>118</v>
      </c>
      <c r="E32" t="s">
        <v>317</v>
      </c>
      <c r="F32" s="28">
        <f ca="1">apuestas_sep24[[#This Row],[Apuesta Miniporra]]-$B$3</f>
        <v>14.239999999999995</v>
      </c>
      <c r="G32" s="68">
        <f ca="1">ABS(apuestas_sep24[[#This Row],[desvio]])/$B$3</f>
        <v>0.19608923161663444</v>
      </c>
      <c r="H32" s="4">
        <f ca="1">_xlfn.RANK.EQ(apuestas_sep24[[#This Row],[desvio %]],apuestas_sep24[desvio %],1)</f>
        <v>14</v>
      </c>
      <c r="J32" s="66" t="s">
        <v>1039</v>
      </c>
      <c r="K32" s="10">
        <f ca="1">INDEX(apuestas_sep24[orden],MATCH(resultados_sep[Apuesta MiniPorra],apuestas_sep24[Apuesta Miniporra],0))</f>
        <v>14</v>
      </c>
      <c r="L32" s="6" t="str">
        <f>apuestas_sep24[[#This Row],[Nombre]]</f>
        <v>Beatriz Muñoz Rioboo</v>
      </c>
      <c r="M32" s="14">
        <f>apuestas_sep24[[#This Row],[Apuesta Miniporra]]</f>
        <v>86.86</v>
      </c>
      <c r="N32" s="14">
        <f ca="1">INDEX(apuestas_sep24[desvio],MATCH(resultados_sep[[#This Row],[Apuesta MiniPorra]],apuestas_sep24[Apuesta Miniporra],0))</f>
        <v>14.239999999999995</v>
      </c>
      <c r="O32" s="13">
        <f ca="1">INDEX(apuestas_sep24[desvio %],MATCH(resultados_sep[[#This Row],[Apuesta MiniPorra]],apuestas_sep24[Apuesta Miniporra],0))</f>
        <v>0.19608923161663444</v>
      </c>
      <c r="P32" s="4">
        <v>26</v>
      </c>
      <c r="Q32" s="28">
        <f>IF(ISBLANK(omie!AB30),"",omie!AC30)</f>
        <v>24.18</v>
      </c>
      <c r="T32" s="28"/>
      <c r="U32"/>
    </row>
    <row r="33" spans="1:21" x14ac:dyDescent="0.2">
      <c r="A33" t="s">
        <v>1039</v>
      </c>
      <c r="B33" t="s">
        <v>645</v>
      </c>
      <c r="C33" s="28">
        <v>86.44</v>
      </c>
      <c r="D33" t="s">
        <v>1078</v>
      </c>
      <c r="E33" t="s">
        <v>581</v>
      </c>
      <c r="F33" s="28">
        <f ca="1">apuestas_sep24[[#This Row],[Apuesta Miniporra]]-$B$3</f>
        <v>13.819999999999993</v>
      </c>
      <c r="G33" s="68">
        <f ca="1">ABS(apuestas_sep24[[#This Row],[desvio]])/$B$3</f>
        <v>0.19030570090884044</v>
      </c>
      <c r="H33" s="4">
        <f ca="1">_xlfn.RANK.EQ(apuestas_sep24[[#This Row],[desvio %]],apuestas_sep24[desvio %],1)</f>
        <v>13</v>
      </c>
      <c r="J33" s="66" t="s">
        <v>1039</v>
      </c>
      <c r="K33" s="10">
        <f ca="1">INDEX(apuestas_sep24[orden],MATCH(resultados_sep[Apuesta MiniPorra],apuestas_sep24[Apuesta Miniporra],0))</f>
        <v>13</v>
      </c>
      <c r="L33" s="6" t="str">
        <f>apuestas_sep24[[#This Row],[Nombre]]</f>
        <v>Jose Antonio Quidiello Antuña</v>
      </c>
      <c r="M33" s="14">
        <f>apuestas_sep24[[#This Row],[Apuesta Miniporra]]</f>
        <v>86.44</v>
      </c>
      <c r="N33" s="14">
        <f ca="1">INDEX(apuestas_sep24[desvio],MATCH(resultados_sep[[#This Row],[Apuesta MiniPorra]],apuestas_sep24[Apuesta Miniporra],0))</f>
        <v>13.819999999999993</v>
      </c>
      <c r="O33" s="13">
        <f ca="1">INDEX(apuestas_sep24[desvio %],MATCH(resultados_sep[[#This Row],[Apuesta MiniPorra]],apuestas_sep24[Apuesta Miniporra],0))</f>
        <v>0.19030570090884044</v>
      </c>
      <c r="P33" s="4">
        <v>27</v>
      </c>
      <c r="Q33" s="28">
        <f>IF(ISBLANK(omie!AB31),"",omie!AC31)</f>
        <v>25.61</v>
      </c>
      <c r="T33" s="28"/>
      <c r="U33"/>
    </row>
    <row r="34" spans="1:21" x14ac:dyDescent="0.2">
      <c r="A34" t="s">
        <v>1039</v>
      </c>
      <c r="B34" t="s">
        <v>408</v>
      </c>
      <c r="C34" s="28">
        <v>85.98</v>
      </c>
      <c r="D34" t="s">
        <v>1064</v>
      </c>
      <c r="E34" t="s">
        <v>456</v>
      </c>
      <c r="F34" s="28">
        <f ca="1">apuestas_sep24[[#This Row],[Apuesta Miniporra]]-$B$3</f>
        <v>13.36</v>
      </c>
      <c r="G34" s="68">
        <f ca="1">ABS(apuestas_sep24[[#This Row],[desvio]])/$B$3</f>
        <v>0.18397135775268519</v>
      </c>
      <c r="H34" s="4">
        <f ca="1">_xlfn.RANK.EQ(apuestas_sep24[[#This Row],[desvio %]],apuestas_sep24[desvio %],1)</f>
        <v>12</v>
      </c>
      <c r="J34" s="66" t="s">
        <v>1039</v>
      </c>
      <c r="K34" s="10">
        <f ca="1">INDEX(apuestas_sep24[orden],MATCH(resultados_sep[Apuesta MiniPorra],apuestas_sep24[Apuesta Miniporra],0))</f>
        <v>12</v>
      </c>
      <c r="L34" s="6" t="str">
        <f>apuestas_sep24[[#This Row],[Nombre]]</f>
        <v>Julián Mateo Muñoz</v>
      </c>
      <c r="M34" s="14">
        <f>apuestas_sep24[[#This Row],[Apuesta Miniporra]]</f>
        <v>85.98</v>
      </c>
      <c r="N34" s="14">
        <f ca="1">INDEX(apuestas_sep24[desvio],MATCH(resultados_sep[[#This Row],[Apuesta MiniPorra]],apuestas_sep24[Apuesta Miniporra],0))</f>
        <v>13.36</v>
      </c>
      <c r="O34" s="13">
        <f ca="1">INDEX(apuestas_sep24[desvio %],MATCH(resultados_sep[[#This Row],[Apuesta MiniPorra]],apuestas_sep24[Apuesta Miniporra],0))</f>
        <v>0.18397135775268519</v>
      </c>
      <c r="P34" s="4">
        <v>28</v>
      </c>
      <c r="Q34" s="28">
        <f>IF(ISBLANK(omie!AB32),"",omie!AC32)</f>
        <v>46.81</v>
      </c>
      <c r="T34" s="28"/>
      <c r="U34"/>
    </row>
    <row r="35" spans="1:21" x14ac:dyDescent="0.2">
      <c r="A35" t="s">
        <v>1039</v>
      </c>
      <c r="B35" t="s">
        <v>403</v>
      </c>
      <c r="C35" s="28">
        <v>85.5</v>
      </c>
      <c r="D35" t="s">
        <v>1059</v>
      </c>
      <c r="E35" t="s">
        <v>67</v>
      </c>
      <c r="F35" s="28">
        <f ca="1">apuestas_sep24[[#This Row],[Apuesta Miniporra]]-$B$3</f>
        <v>12.879999999999995</v>
      </c>
      <c r="G35" s="68">
        <f ca="1">ABS(apuestas_sep24[[#This Row],[desvio]])/$B$3</f>
        <v>0.17736160837234913</v>
      </c>
      <c r="H35" s="4">
        <f ca="1">_xlfn.RANK.EQ(apuestas_sep24[[#This Row],[desvio %]],apuestas_sep24[desvio %],1)</f>
        <v>11</v>
      </c>
      <c r="J35" s="66" t="s">
        <v>1039</v>
      </c>
      <c r="K35" s="10">
        <f ca="1">INDEX(apuestas_sep24[orden],MATCH(resultados_sep[Apuesta MiniPorra],apuestas_sep24[Apuesta Miniporra],0))</f>
        <v>11</v>
      </c>
      <c r="L35" s="6" t="str">
        <f>apuestas_sep24[[#This Row],[Nombre]]</f>
        <v>Luis Angel Garzon Velasco</v>
      </c>
      <c r="M35" s="14">
        <f>apuestas_sep24[[#This Row],[Apuesta Miniporra]]</f>
        <v>85.5</v>
      </c>
      <c r="N35" s="14">
        <f ca="1">INDEX(apuestas_sep24[desvio],MATCH(resultados_sep[[#This Row],[Apuesta MiniPorra]],apuestas_sep24[Apuesta Miniporra],0))</f>
        <v>12.879999999999995</v>
      </c>
      <c r="O35" s="13">
        <f ca="1">INDEX(apuestas_sep24[desvio %],MATCH(resultados_sep[[#This Row],[Apuesta MiniPorra]],apuestas_sep24[Apuesta Miniporra],0))</f>
        <v>0.17736160837234913</v>
      </c>
      <c r="P35" s="4">
        <v>29</v>
      </c>
      <c r="Q35" s="28">
        <f>IF(ISBLANK(omie!AB33),"",omie!AC33)</f>
        <v>43.56</v>
      </c>
      <c r="T35" s="28"/>
      <c r="U35"/>
    </row>
    <row r="36" spans="1:21" x14ac:dyDescent="0.2">
      <c r="A36" t="s">
        <v>1039</v>
      </c>
      <c r="B36" t="s">
        <v>1106</v>
      </c>
      <c r="C36" s="28">
        <v>85.23</v>
      </c>
      <c r="D36" t="s">
        <v>1086</v>
      </c>
      <c r="E36" t="s">
        <v>1087</v>
      </c>
      <c r="F36" s="28">
        <f ca="1">apuestas_sep24[[#This Row],[Apuesta Miniporra]]-$B$3</f>
        <v>12.61</v>
      </c>
      <c r="G36" s="68">
        <f ca="1">ABS(apuestas_sep24[[#This Row],[desvio]])/$B$3</f>
        <v>0.17364362434591019</v>
      </c>
      <c r="H36" s="4">
        <f ca="1">_xlfn.RANK.EQ(apuestas_sep24[[#This Row],[desvio %]],apuestas_sep24[desvio %],1)</f>
        <v>10</v>
      </c>
      <c r="J36" s="66" t="s">
        <v>1039</v>
      </c>
      <c r="K36" s="4">
        <f ca="1">INDEX(apuestas_sep24[orden],MATCH(resultados_sep[Apuesta MiniPorra],apuestas_sep24[Apuesta Miniporra],0))</f>
        <v>10</v>
      </c>
      <c r="L36" s="63" t="str">
        <f>apuestas_sep24[[#This Row],[Nombre]]</f>
        <v>Ruben Sanjuan Escribano</v>
      </c>
      <c r="M36" s="28">
        <f>apuestas_sep24[[#This Row],[Apuesta Miniporra]]</f>
        <v>85.23</v>
      </c>
      <c r="N36" s="4">
        <f ca="1">INDEX(apuestas_sep24[desvio],MATCH(resultados_sep[[#This Row],[Apuesta MiniPorra]],apuestas_sep24[Apuesta Miniporra],0))</f>
        <v>12.61</v>
      </c>
      <c r="O36" s="13">
        <f ca="1">INDEX(apuestas_sep24[desvio %],MATCH(resultados_sep[[#This Row],[Apuesta MiniPorra]],apuestas_sep24[Apuesta Miniporra],0))</f>
        <v>0.17364362434591019</v>
      </c>
      <c r="P36" s="4">
        <v>30</v>
      </c>
      <c r="Q36" s="28">
        <f>IF(ISBLANK(omie!AB34),"",omie!AC34)</f>
        <v>87.85</v>
      </c>
      <c r="T36"/>
      <c r="U36"/>
    </row>
    <row r="37" spans="1:21" x14ac:dyDescent="0.2">
      <c r="A37" t="s">
        <v>1039</v>
      </c>
      <c r="B37" t="s">
        <v>336</v>
      </c>
      <c r="C37" s="28">
        <v>84.9</v>
      </c>
      <c r="D37" t="s">
        <v>1044</v>
      </c>
      <c r="E37" t="s">
        <v>2</v>
      </c>
      <c r="F37" s="28">
        <f ca="1">apuestas_sep24[[#This Row],[Apuesta Miniporra]]-$B$3</f>
        <v>12.280000000000001</v>
      </c>
      <c r="G37" s="68">
        <f ca="1">ABS(apuestas_sep24[[#This Row],[desvio]])/$B$3</f>
        <v>0.16909942164692923</v>
      </c>
      <c r="H37" s="4">
        <f ca="1">_xlfn.RANK.EQ(apuestas_sep24[[#This Row],[desvio %]],apuestas_sep24[desvio %],1)</f>
        <v>9</v>
      </c>
      <c r="J37" s="66" t="s">
        <v>1039</v>
      </c>
      <c r="K37" s="4">
        <f ca="1">INDEX(apuestas_sep24[orden],MATCH(resultados_sep[Apuesta MiniPorra],apuestas_sep24[Apuesta Miniporra],0))</f>
        <v>9</v>
      </c>
      <c r="L37" s="63" t="str">
        <f>apuestas_sep24[[#This Row],[Nombre]]</f>
        <v>Javier Revuelta Alonso</v>
      </c>
      <c r="M37" s="28">
        <f>apuestas_sep24[[#This Row],[Apuesta Miniporra]]</f>
        <v>84.9</v>
      </c>
      <c r="N37" s="4">
        <f ca="1">INDEX(apuestas_sep24[desvio],MATCH(resultados_sep[[#This Row],[Apuesta MiniPorra]],apuestas_sep24[Apuesta Miniporra],0))</f>
        <v>12.280000000000001</v>
      </c>
      <c r="O37" s="13">
        <f ca="1">INDEX(apuestas_sep24[desvio %],MATCH(resultados_sep[[#This Row],[Apuesta MiniPorra]],apuestas_sep24[Apuesta Miniporra],0))</f>
        <v>0.16909942164692923</v>
      </c>
      <c r="Q37" s="28" t="str">
        <f>IF(ISBLANK(omie!AB64),"",omie!AC64)</f>
        <v/>
      </c>
      <c r="T37"/>
      <c r="U37"/>
    </row>
    <row r="38" spans="1:21" x14ac:dyDescent="0.2">
      <c r="A38" t="s">
        <v>1039</v>
      </c>
      <c r="B38" t="s">
        <v>652</v>
      </c>
      <c r="C38" s="28">
        <v>82.44</v>
      </c>
      <c r="D38" t="s">
        <v>118</v>
      </c>
      <c r="E38" t="s">
        <v>637</v>
      </c>
      <c r="F38" s="28">
        <f ca="1">apuestas_sep24[[#This Row],[Apuesta Miniporra]]-$B$3</f>
        <v>9.8199999999999932</v>
      </c>
      <c r="G38" s="68">
        <f ca="1">ABS(apuestas_sep24[[#This Row],[desvio]])/$B$3</f>
        <v>0.13522445607270714</v>
      </c>
      <c r="H38" s="4">
        <f ca="1">_xlfn.RANK.EQ(apuestas_sep24[[#This Row],[desvio %]],apuestas_sep24[desvio %],1)</f>
        <v>8</v>
      </c>
      <c r="J38" s="66" t="s">
        <v>1039</v>
      </c>
      <c r="K38" s="4">
        <f ca="1">INDEX(apuestas_sep24[orden],MATCH(resultados_sep[Apuesta MiniPorra],apuestas_sep24[Apuesta Miniporra],0))</f>
        <v>8</v>
      </c>
      <c r="L38" s="63" t="str">
        <f>apuestas_sep24[[#This Row],[Nombre]]</f>
        <v>Carlos Martin</v>
      </c>
      <c r="M38" s="28">
        <f>apuestas_sep24[[#This Row],[Apuesta Miniporra]]</f>
        <v>82.44</v>
      </c>
      <c r="N38" s="4">
        <f ca="1">INDEX(apuestas_sep24[desvio],MATCH(resultados_sep[[#This Row],[Apuesta MiniPorra]],apuestas_sep24[Apuesta Miniporra],0))</f>
        <v>9.8199999999999932</v>
      </c>
      <c r="O38" s="13">
        <f ca="1">INDEX(apuestas_sep24[desvio %],MATCH(resultados_sep[[#This Row],[Apuesta MiniPorra]],apuestas_sep24[Apuesta Miniporra],0))</f>
        <v>0.13522445607270714</v>
      </c>
      <c r="Q38" s="78"/>
      <c r="U38" s="42"/>
    </row>
    <row r="39" spans="1:21" x14ac:dyDescent="0.2">
      <c r="A39" t="s">
        <v>1039</v>
      </c>
      <c r="B39" t="s">
        <v>786</v>
      </c>
      <c r="C39" s="28">
        <v>81.73</v>
      </c>
      <c r="D39" t="s">
        <v>1091</v>
      </c>
      <c r="E39" t="s">
        <v>1092</v>
      </c>
      <c r="F39" s="28">
        <f ca="1">apuestas_sep24[[#This Row],[Apuesta Miniporra]]-$B$3</f>
        <v>9.11</v>
      </c>
      <c r="G39" s="68">
        <f ca="1">ABS(apuestas_sep24[[#This Row],[desvio]])/$B$3</f>
        <v>0.12544753511429357</v>
      </c>
      <c r="H39" s="4">
        <f ca="1">_xlfn.RANK.EQ(apuestas_sep24[[#This Row],[desvio %]],apuestas_sep24[desvio %],1)</f>
        <v>7</v>
      </c>
      <c r="J39" s="66" t="s">
        <v>1039</v>
      </c>
      <c r="K39" s="4">
        <f ca="1">INDEX(apuestas_sep24[orden],MATCH(resultados_sep[Apuesta MiniPorra],apuestas_sep24[Apuesta Miniporra],0))</f>
        <v>7</v>
      </c>
      <c r="L39" s="63" t="str">
        <f>apuestas_sep24[[#This Row],[Nombre]]</f>
        <v>Jesús Aceituno López</v>
      </c>
      <c r="M39" s="28">
        <f>apuestas_sep24[[#This Row],[Apuesta Miniporra]]</f>
        <v>81.73</v>
      </c>
      <c r="N39" s="4">
        <f ca="1">INDEX(apuestas_sep24[desvio],MATCH(resultados_sep[[#This Row],[Apuesta MiniPorra]],apuestas_sep24[Apuesta Miniporra],0))</f>
        <v>9.11</v>
      </c>
      <c r="O39" s="13">
        <f ca="1">INDEX(apuestas_sep24[desvio %],MATCH(resultados_sep[[#This Row],[Apuesta MiniPorra]],apuestas_sep24[Apuesta Miniporra],0))</f>
        <v>0.12544753511429357</v>
      </c>
      <c r="P39" s="78"/>
      <c r="Q39" s="78"/>
      <c r="U39" s="42"/>
    </row>
    <row r="40" spans="1:21" x14ac:dyDescent="0.2">
      <c r="A40" t="s">
        <v>1039</v>
      </c>
      <c r="B40" t="s">
        <v>784</v>
      </c>
      <c r="C40" s="28">
        <v>81.459999999999994</v>
      </c>
      <c r="D40" t="s">
        <v>1069</v>
      </c>
      <c r="E40" t="s">
        <v>727</v>
      </c>
      <c r="F40" s="28">
        <f ca="1">apuestas_sep24[[#This Row],[Apuesta Miniporra]]-$B$3</f>
        <v>8.8399999999999892</v>
      </c>
      <c r="G40" s="68">
        <f ca="1">ABS(apuestas_sep24[[#This Row],[desvio]])/$B$3</f>
        <v>0.12172955108785442</v>
      </c>
      <c r="H40" s="4">
        <f ca="1">_xlfn.RANK.EQ(apuestas_sep24[[#This Row],[desvio %]],apuestas_sep24[desvio %],1)</f>
        <v>6</v>
      </c>
      <c r="J40" s="66" t="s">
        <v>1039</v>
      </c>
      <c r="K40" s="4">
        <f ca="1">INDEX(apuestas_sep24[orden],MATCH(resultados_sep[Apuesta MiniPorra],apuestas_sep24[Apuesta Miniporra],0))</f>
        <v>6</v>
      </c>
      <c r="L40" s="63" t="str">
        <f>apuestas_sep24[[#This Row],[Nombre]]</f>
        <v>Paco Cuadrado</v>
      </c>
      <c r="M40" s="28">
        <f>apuestas_sep24[[#This Row],[Apuesta Miniporra]]</f>
        <v>81.459999999999994</v>
      </c>
      <c r="N40" s="4">
        <f ca="1">INDEX(apuestas_sep24[desvio],MATCH(resultados_sep[[#This Row],[Apuesta MiniPorra]],apuestas_sep24[Apuesta Miniporra],0))</f>
        <v>8.8399999999999892</v>
      </c>
      <c r="O40" s="13">
        <f ca="1">INDEX(apuestas_sep24[desvio %],MATCH(resultados_sep[[#This Row],[Apuesta MiniPorra]],apuestas_sep24[Apuesta Miniporra],0))</f>
        <v>0.12172955108785442</v>
      </c>
      <c r="P40" s="78"/>
      <c r="Q40" s="78"/>
      <c r="U40" s="42"/>
    </row>
    <row r="41" spans="1:21" x14ac:dyDescent="0.2">
      <c r="A41" t="s">
        <v>1039</v>
      </c>
      <c r="B41" t="s">
        <v>292</v>
      </c>
      <c r="C41" s="28">
        <v>79.89</v>
      </c>
      <c r="D41" t="s">
        <v>118</v>
      </c>
      <c r="E41" t="s">
        <v>531</v>
      </c>
      <c r="F41" s="28">
        <f ca="1">apuestas_sep24[[#This Row],[Apuesta Miniporra]]-$B$3</f>
        <v>7.269999999999996</v>
      </c>
      <c r="G41" s="68">
        <f ca="1">ABS(apuestas_sep24[[#This Row],[desvio]])/$B$3</f>
        <v>0.10011016248967221</v>
      </c>
      <c r="H41" s="4">
        <f ca="1">_xlfn.RANK.EQ(apuestas_sep24[[#This Row],[desvio %]],apuestas_sep24[desvio %],1)</f>
        <v>4</v>
      </c>
      <c r="J41" s="66" t="s">
        <v>1039</v>
      </c>
      <c r="K41" s="4">
        <f ca="1">INDEX(apuestas_sep24[orden],MATCH(resultados_sep[Apuesta MiniPorra],apuestas_sep24[Apuesta Miniporra],0))</f>
        <v>4</v>
      </c>
      <c r="L41" s="63" t="str">
        <f>apuestas_sep24[[#This Row],[Nombre]]</f>
        <v>Oscar Mulas Crespo</v>
      </c>
      <c r="M41" s="28">
        <f>apuestas_sep24[[#This Row],[Apuesta Miniporra]]</f>
        <v>79.89</v>
      </c>
      <c r="N41" s="4">
        <f ca="1">INDEX(apuestas_sep24[desvio],MATCH(resultados_sep[[#This Row],[Apuesta MiniPorra]],apuestas_sep24[Apuesta Miniporra],0))</f>
        <v>7.269999999999996</v>
      </c>
      <c r="O41" s="13">
        <f ca="1">INDEX(apuestas_sep24[desvio %],MATCH(resultados_sep[[#This Row],[Apuesta MiniPorra]],apuestas_sep24[Apuesta Miniporra],0))</f>
        <v>0.10011016248967221</v>
      </c>
      <c r="P41" s="78"/>
      <c r="Q41" s="78"/>
      <c r="U41" s="42"/>
    </row>
    <row r="42" spans="1:21" x14ac:dyDescent="0.2">
      <c r="A42" t="s">
        <v>1039</v>
      </c>
      <c r="B42" t="s">
        <v>217</v>
      </c>
      <c r="C42" s="28">
        <v>77.77</v>
      </c>
      <c r="D42" t="s">
        <v>118</v>
      </c>
      <c r="E42" t="s">
        <v>123</v>
      </c>
      <c r="F42" s="28">
        <f ca="1">apuestas_sep24[[#This Row],[Apuesta Miniporra]]-$B$3</f>
        <v>5.1499999999999915</v>
      </c>
      <c r="G42" s="68">
        <f ca="1">ABS(apuestas_sep24[[#This Row],[desvio]])/$B$3</f>
        <v>7.0917102726521491E-2</v>
      </c>
      <c r="H42" s="4">
        <f ca="1">_xlfn.RANK.EQ(apuestas_sep24[[#This Row],[desvio %]],apuestas_sep24[desvio %],1)</f>
        <v>3</v>
      </c>
      <c r="J42" s="66" t="s">
        <v>1039</v>
      </c>
      <c r="K42" s="4">
        <f ca="1">INDEX(apuestas_sep24[orden],MATCH(resultados_sep[Apuesta MiniPorra],apuestas_sep24[Apuesta Miniporra],0))</f>
        <v>3</v>
      </c>
      <c r="L42" t="str">
        <f>apuestas_sep24[[#This Row],[Nombre]]</f>
        <v>Fernando Sánchez-Rey Maeso</v>
      </c>
      <c r="M42" s="28">
        <f>apuestas_sep24[[#This Row],[Apuesta Miniporra]]</f>
        <v>77.77</v>
      </c>
      <c r="N42" s="4">
        <f ca="1">INDEX(apuestas_sep24[desvio],MATCH(resultados_sep[[#This Row],[Apuesta MiniPorra]],apuestas_sep24[Apuesta Miniporra],0))</f>
        <v>5.1499999999999915</v>
      </c>
      <c r="O42" s="13">
        <f ca="1">INDEX(apuestas_sep24[desvio %],MATCH(resultados_sep[[#This Row],[Apuesta MiniPorra]],apuestas_sep24[Apuesta Miniporra],0))</f>
        <v>7.0917102726521491E-2</v>
      </c>
      <c r="P42" s="78"/>
      <c r="Q42" s="78"/>
      <c r="U42" s="42"/>
    </row>
    <row r="43" spans="1:21" x14ac:dyDescent="0.2">
      <c r="A43" t="s">
        <v>1039</v>
      </c>
      <c r="B43" t="s">
        <v>409</v>
      </c>
      <c r="C43" s="28">
        <v>73.55</v>
      </c>
      <c r="D43" t="s">
        <v>1100</v>
      </c>
      <c r="E43" t="s">
        <v>462</v>
      </c>
      <c r="F43" s="28">
        <f ca="1">apuestas_sep24[[#This Row],[Apuesta Miniporra]]-$B$3</f>
        <v>0.92999999999999261</v>
      </c>
      <c r="G43" s="68">
        <f ca="1">ABS(apuestas_sep24[[#This Row],[desvio]])/$B$3</f>
        <v>1.2806389424400889E-2</v>
      </c>
      <c r="H43" s="4">
        <f ca="1">_xlfn.RANK.EQ(apuestas_sep24[[#This Row],[desvio %]],apuestas_sep24[desvio %],1)</f>
        <v>1</v>
      </c>
      <c r="J43" s="66" t="s">
        <v>1039</v>
      </c>
      <c r="K43" s="4">
        <f ca="1">INDEX(apuestas_sep24[orden],MATCH(resultados_sep[Apuesta MiniPorra],apuestas_sep24[Apuesta Miniporra],0))</f>
        <v>1</v>
      </c>
      <c r="L43" t="str">
        <f>apuestas_sep24[[#This Row],[Nombre]]</f>
        <v>Gladys Rocha Blanco</v>
      </c>
      <c r="M43" s="28">
        <f>apuestas_sep24[[#This Row],[Apuesta Miniporra]]</f>
        <v>73.55</v>
      </c>
      <c r="N43" s="4">
        <f ca="1">INDEX(apuestas_sep24[desvio],MATCH(resultados_sep[[#This Row],[Apuesta MiniPorra]],apuestas_sep24[Apuesta Miniporra],0))</f>
        <v>0.92999999999999261</v>
      </c>
      <c r="O43" s="13">
        <f ca="1">INDEX(apuestas_sep24[desvio %],MATCH(resultados_sep[[#This Row],[Apuesta MiniPorra]],apuestas_sep24[Apuesta Miniporra],0))</f>
        <v>1.2806389424400889E-2</v>
      </c>
      <c r="P43" s="78"/>
      <c r="Q43" s="78"/>
      <c r="U43" s="42"/>
    </row>
    <row r="44" spans="1:21" x14ac:dyDescent="0.2">
      <c r="A44" t="s">
        <v>1039</v>
      </c>
      <c r="B44" t="s">
        <v>803</v>
      </c>
      <c r="C44" s="28">
        <v>68.239999999999995</v>
      </c>
      <c r="D44" t="s">
        <v>1053</v>
      </c>
      <c r="E44" t="s">
        <v>860</v>
      </c>
      <c r="F44" s="28">
        <f ca="1">apuestas_sep24[[#This Row],[Apuesta Miniporra]]-$B$3</f>
        <v>-4.3800000000000097</v>
      </c>
      <c r="G44" s="68">
        <f ca="1">ABS(apuestas_sep24[[#This Row],[desvio]])/$B$3</f>
        <v>6.0313963095566088E-2</v>
      </c>
      <c r="H44" s="4">
        <f ca="1">_xlfn.RANK.EQ(apuestas_sep24[[#This Row],[desvio %]],apuestas_sep24[desvio %],1)</f>
        <v>2</v>
      </c>
      <c r="J44" s="66" t="s">
        <v>1039</v>
      </c>
      <c r="K44" s="4">
        <f ca="1">INDEX(apuestas_sep24[orden],MATCH(resultados_sep[Apuesta MiniPorra],apuestas_sep24[Apuesta Miniporra],0))</f>
        <v>2</v>
      </c>
      <c r="L44" t="str">
        <f>apuestas_sep24[[#This Row],[Nombre]]</f>
        <v>Jorge González Arconada</v>
      </c>
      <c r="M44" s="28">
        <f>apuestas_sep24[[#This Row],[Apuesta Miniporra]]</f>
        <v>68.239999999999995</v>
      </c>
      <c r="N44" s="4">
        <f ca="1">INDEX(apuestas_sep24[desvio],MATCH(resultados_sep[[#This Row],[Apuesta MiniPorra]],apuestas_sep24[Apuesta Miniporra],0))</f>
        <v>-4.3800000000000097</v>
      </c>
      <c r="O44" s="13">
        <f ca="1">INDEX(apuestas_sep24[desvio %],MATCH(resultados_sep[[#This Row],[Apuesta MiniPorra]],apuestas_sep24[Apuesta Miniporra],0))</f>
        <v>6.0313963095566088E-2</v>
      </c>
      <c r="P44" s="78"/>
      <c r="Q44" s="78"/>
      <c r="U44" s="42"/>
    </row>
    <row r="45" spans="1:21" x14ac:dyDescent="0.2">
      <c r="A45" t="s">
        <v>1039</v>
      </c>
      <c r="B45" t="s">
        <v>9</v>
      </c>
      <c r="C45" s="28">
        <v>65</v>
      </c>
      <c r="D45" t="s">
        <v>1079</v>
      </c>
      <c r="E45" t="s">
        <v>561</v>
      </c>
      <c r="F45" s="28">
        <f ca="1">apuestas_sep24[[#This Row],[Apuesta Miniporra]]-$B$3</f>
        <v>-7.6200000000000045</v>
      </c>
      <c r="G45" s="68">
        <f ca="1">ABS(apuestas_sep24[[#This Row],[desvio]])/$B$3</f>
        <v>0.10492977141283398</v>
      </c>
      <c r="H45" s="4">
        <f ca="1">_xlfn.RANK.EQ(apuestas_sep24[[#This Row],[desvio %]],apuestas_sep24[desvio %],1)</f>
        <v>5</v>
      </c>
      <c r="J45" s="66" t="s">
        <v>1039</v>
      </c>
      <c r="K45" s="4">
        <f ca="1">INDEX(apuestas_sep24[orden],MATCH(resultados_sep[Apuesta MiniPorra],apuestas_sep24[Apuesta Miniporra],0))</f>
        <v>5</v>
      </c>
      <c r="L45" t="str">
        <f>apuestas_sep24[[#This Row],[Nombre]]</f>
        <v>Alfonso Zárate Conde</v>
      </c>
      <c r="M45" s="28">
        <f>apuestas_sep24[[#This Row],[Apuesta Miniporra]]</f>
        <v>65</v>
      </c>
      <c r="N45" s="4">
        <f ca="1">INDEX(apuestas_sep24[desvio],MATCH(resultados_sep[[#This Row],[Apuesta MiniPorra]],apuestas_sep24[Apuesta Miniporra],0))</f>
        <v>-7.6200000000000045</v>
      </c>
      <c r="O45" s="13">
        <f ca="1">INDEX(apuestas_sep24[desvio %],MATCH(resultados_sep[[#This Row],[Apuesta MiniPorra]],apuestas_sep24[Apuesta Miniporra],0))</f>
        <v>0.10492977141283398</v>
      </c>
      <c r="P45" s="78"/>
      <c r="Q45" s="78"/>
      <c r="U45" s="42"/>
    </row>
    <row r="46" spans="1:21" x14ac:dyDescent="0.2">
      <c r="J46" s="66"/>
      <c r="K46" s="4"/>
      <c r="M46" s="28"/>
      <c r="N46" s="4"/>
      <c r="O46" s="13"/>
      <c r="P46" s="78"/>
      <c r="Q46" s="78"/>
      <c r="U46" s="42"/>
    </row>
    <row r="47" spans="1:21" x14ac:dyDescent="0.2">
      <c r="J47" s="66"/>
      <c r="K47" s="4"/>
      <c r="M47" s="28"/>
      <c r="N47" s="4"/>
      <c r="O47" s="13"/>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0"/>
      <c r="L59" s="100"/>
      <c r="M59" s="100"/>
      <c r="N59" s="100"/>
      <c r="O59" s="100"/>
      <c r="U59" s="42"/>
    </row>
    <row r="60" spans="10:21" x14ac:dyDescent="0.2">
      <c r="K60" s="100"/>
      <c r="L60" s="100"/>
      <c r="M60" s="100"/>
      <c r="N60" s="100"/>
      <c r="O60" s="100"/>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45">
    <cfRule type="expression" dxfId="61" priority="1">
      <formula>$K7=3</formula>
    </cfRule>
    <cfRule type="expression" dxfId="60" priority="2">
      <formula>$K7=2</formula>
    </cfRule>
    <cfRule type="expression" dxfId="59" priority="3">
      <formula>$K7=1</formula>
    </cfRule>
  </conditionalFormatting>
  <conditionalFormatting sqref="R8:S10 R17:S20 R25:S26 R13:S13">
    <cfRule type="expression" dxfId="58" priority="4">
      <formula>$K38=1</formula>
    </cfRule>
  </conditionalFormatting>
  <conditionalFormatting sqref="P39:Q54 Q38 P58:Q60">
    <cfRule type="expression" dxfId="57" priority="5">
      <formula>$K34=3</formula>
    </cfRule>
    <cfRule type="expression" dxfId="56" priority="6">
      <formula>$K34=2</formula>
    </cfRule>
    <cfRule type="expression" dxfId="55" priority="7">
      <formula>$K34=1</formula>
    </cfRule>
  </conditionalFormatting>
  <conditionalFormatting sqref="O7:O45">
    <cfRule type="dataBar" priority="8">
      <dataBar>
        <cfvo type="min"/>
        <cfvo type="max"/>
        <color rgb="FFFF555A"/>
      </dataBar>
      <extLst>
        <ext xmlns:x14="http://schemas.microsoft.com/office/spreadsheetml/2009/9/main" uri="{B025F937-C7B1-47D3-B67F-A62EFF666E3E}">
          <x14:id>{8FFD3AAF-3A83-4B98-8E75-5A4C4FD54CCF}</x14:id>
        </ext>
      </extLst>
    </cfRule>
  </conditionalFormatting>
  <conditionalFormatting sqref="C7:C45">
    <cfRule type="duplicateValues" dxfId="54" priority="95"/>
  </conditionalFormatting>
  <conditionalFormatting sqref="B7:B45">
    <cfRule type="duplicateValues" dxfId="53" priority="97"/>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593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593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593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8FFD3AAF-3A83-4B98-8E75-5A4C4FD54CCF}">
            <x14:dataBar minLength="0" maxLength="100" border="1" negativeBarBorderColorSameAsPositive="0">
              <x14:cfvo type="autoMin"/>
              <x14:cfvo type="autoMax"/>
              <x14:borderColor rgb="FFFF555A"/>
              <x14:negativeFillColor rgb="FFFF0000"/>
              <x14:negativeBorderColor rgb="FFFF0000"/>
              <x14:axisColor rgb="FF000000"/>
            </x14:dataBar>
          </x14:cfRule>
          <xm:sqref>O7:O45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7982-B2DB-4B88-9BD7-42C382E6C166}">
  <sheetPr codeName="Hoja20">
    <tabColor rgb="FF00B050"/>
  </sheetPr>
  <dimension ref="A1:Y71"/>
  <sheetViews>
    <sheetView showGridLines="0" zoomScale="130" zoomScaleNormal="130" workbookViewId="0">
      <selection activeCell="Q21" sqref="Q21"/>
    </sheetView>
  </sheetViews>
  <sheetFormatPr baseColWidth="10" defaultRowHeight="12" x14ac:dyDescent="0.2"/>
  <cols>
    <col min="1" max="1" width="10.140625" customWidth="1"/>
    <col min="2" max="2" width="15.85546875" customWidth="1"/>
    <col min="3" max="3" width="10.85546875" style="4" bestFit="1" customWidth="1"/>
    <col min="4" max="4" width="15.8554687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10.42578125" style="4" customWidth="1"/>
    <col min="17" max="17" width="10.42578125" customWidth="1"/>
    <col min="18" max="19" width="13.85546875" customWidth="1"/>
    <col min="20" max="20" width="13.85546875" style="4" customWidth="1"/>
    <col min="21" max="21" width="12.7109375" style="4" customWidth="1"/>
    <col min="22" max="23" width="12.7109375" customWidth="1"/>
    <col min="24" max="24" width="12" customWidth="1"/>
    <col min="25" max="25" width="33.5703125" customWidth="1"/>
  </cols>
  <sheetData>
    <row r="1" spans="1:25" ht="12" customHeight="1" x14ac:dyDescent="0.2">
      <c r="A1" t="s">
        <v>228</v>
      </c>
      <c r="B1" s="23">
        <f>COUNTA(apuestas_oct24[Mes de apuesta])</f>
        <v>39</v>
      </c>
      <c r="G1" s="15" t="s">
        <v>236</v>
      </c>
      <c r="H1" s="23">
        <v>20</v>
      </c>
      <c r="I1" s="29"/>
      <c r="K1" s="136" t="s">
        <v>546</v>
      </c>
      <c r="L1" s="137"/>
      <c r="M1" s="125" t="s">
        <v>3</v>
      </c>
      <c r="N1" s="131" t="s">
        <v>1139</v>
      </c>
      <c r="O1" s="132"/>
      <c r="P1" s="129" t="s">
        <v>4</v>
      </c>
      <c r="Q1" s="130"/>
      <c r="R1" s="151" t="s">
        <v>1140</v>
      </c>
      <c r="S1" s="152"/>
      <c r="T1" s="152"/>
      <c r="U1" s="79"/>
      <c r="Y1" s="115"/>
    </row>
    <row r="2" spans="1:25" ht="12" customHeight="1" x14ac:dyDescent="0.2">
      <c r="A2" t="s">
        <v>3</v>
      </c>
      <c r="B2" s="23" t="str">
        <f>A7</f>
        <v>Oct 2024</v>
      </c>
      <c r="C2" s="4" t="s">
        <v>243</v>
      </c>
      <c r="G2" s="15" t="s">
        <v>253</v>
      </c>
      <c r="H2" s="24">
        <f ca="1">TODAY()</f>
        <v>45584</v>
      </c>
      <c r="I2" s="29"/>
      <c r="K2" s="138"/>
      <c r="L2" s="139"/>
      <c r="M2" s="126"/>
      <c r="N2" s="133"/>
      <c r="O2" s="134"/>
      <c r="P2" s="129"/>
      <c r="Q2" s="130"/>
      <c r="R2" s="151"/>
      <c r="S2" s="152"/>
      <c r="T2" s="152"/>
      <c r="U2" s="79"/>
      <c r="Y2" s="115"/>
    </row>
    <row r="3" spans="1:25" ht="12" customHeight="1" x14ac:dyDescent="0.2">
      <c r="A3" t="s">
        <v>229</v>
      </c>
      <c r="B3" s="44">
        <f ca="1">IF(C3="",ROUND(AVERAGE(omie!AF5:OFFSET(omie!AF5,MATCH(B4,omie_octubre[fecha],0)-1,0)),2),C3)</f>
        <v>63.42</v>
      </c>
      <c r="C3" s="65"/>
      <c r="G3" s="115" t="s">
        <v>248</v>
      </c>
      <c r="H3" s="115"/>
      <c r="I3" s="29"/>
      <c r="K3" s="138"/>
      <c r="L3" s="139"/>
      <c r="M3" s="127" t="s">
        <v>13</v>
      </c>
      <c r="N3" s="135">
        <f>H1</f>
        <v>20</v>
      </c>
      <c r="O3" s="135"/>
      <c r="P3" s="128">
        <f ca="1">B3</f>
        <v>63.42</v>
      </c>
      <c r="Q3" s="128"/>
      <c r="R3" s="151"/>
      <c r="S3" s="152"/>
      <c r="T3" s="152"/>
      <c r="U3" s="79"/>
      <c r="Y3" s="115"/>
    </row>
    <row r="4" spans="1:25" ht="12" customHeight="1" x14ac:dyDescent="0.2">
      <c r="A4" t="s">
        <v>6</v>
      </c>
      <c r="B4" s="3">
        <f>DATE(2024,10,H1)</f>
        <v>45585</v>
      </c>
      <c r="G4" t="s">
        <v>247</v>
      </c>
      <c r="H4" s="67">
        <f>[1]omie_dinamic_dia!$G$2</f>
        <v>20</v>
      </c>
      <c r="I4" s="29"/>
      <c r="K4" s="138"/>
      <c r="L4" s="139"/>
      <c r="M4" s="127"/>
      <c r="N4" s="135"/>
      <c r="O4" s="135"/>
      <c r="P4" s="128"/>
      <c r="Q4" s="128"/>
      <c r="R4" s="151"/>
      <c r="S4" s="152"/>
      <c r="T4" s="152"/>
      <c r="U4" s="79"/>
      <c r="Y4" s="115"/>
    </row>
    <row r="5" spans="1:25" ht="12" customHeight="1" x14ac:dyDescent="0.2">
      <c r="A5" t="s">
        <v>15</v>
      </c>
      <c r="B5" s="3">
        <f>MAX(omie_octubre[fecha])</f>
        <v>45585</v>
      </c>
      <c r="I5" s="29"/>
      <c r="K5" s="140"/>
      <c r="L5" s="141"/>
      <c r="M5" s="127"/>
      <c r="N5" s="135"/>
      <c r="O5" s="135"/>
      <c r="P5" s="128"/>
      <c r="Q5" s="128"/>
      <c r="R5" s="151"/>
      <c r="S5" s="152"/>
      <c r="T5" s="152"/>
      <c r="U5" s="79"/>
      <c r="Y5" s="115"/>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1112</v>
      </c>
      <c r="B7" t="s">
        <v>1113</v>
      </c>
      <c r="C7" s="28">
        <v>141.62</v>
      </c>
      <c r="D7" t="s">
        <v>1114</v>
      </c>
      <c r="E7" t="s">
        <v>1115</v>
      </c>
      <c r="F7" s="28">
        <f ca="1">apuestas_oct24[[#This Row],[Apuesta Miniporra]]-$B$3</f>
        <v>78.2</v>
      </c>
      <c r="G7" s="68">
        <f ca="1">ABS(apuestas_oct24[[#This Row],[desvio]])/$B$3</f>
        <v>1.2330495111952067</v>
      </c>
      <c r="H7" s="4">
        <f ca="1">_xlfn.RANK.EQ(apuestas_oct24[[#This Row],[desvio %]],apuestas_oct24[desvio %],1)</f>
        <v>39</v>
      </c>
      <c r="J7" s="66" t="s">
        <v>1112</v>
      </c>
      <c r="K7" s="10">
        <f ca="1">INDEX(apuestas_oct24[orden],MATCH(resultados_oct[Apuesta MiniPorra],apuestas_oct24[Apuesta Miniporra],0))</f>
        <v>39</v>
      </c>
      <c r="L7" s="6" t="str">
        <f>apuestas_oct24[[#This Row],[Nombre]]</f>
        <v>Javier Sáez</v>
      </c>
      <c r="M7" s="14">
        <f>apuestas_oct24[[#This Row],[Apuesta Miniporra]]</f>
        <v>141.62</v>
      </c>
      <c r="N7" s="14">
        <f ca="1">INDEX(apuestas_oct24[desvio],MATCH(resultados_oct[[#This Row],[Apuesta MiniPorra]],apuestas_oct24[Apuesta Miniporra],0))</f>
        <v>78.2</v>
      </c>
      <c r="O7" s="13">
        <f ca="1">INDEX(apuestas_oct24[desvio %],MATCH(resultados_oct[[#This Row],[Apuesta MiniPorra]],apuestas_oct24[Apuesta Miniporra],0))</f>
        <v>1.2330495111952067</v>
      </c>
      <c r="P7" s="4">
        <v>1</v>
      </c>
      <c r="Q7" s="28">
        <f>IF(ISBLANK(omie!AF5),"",omie!AF5)</f>
        <v>97.9</v>
      </c>
      <c r="T7"/>
      <c r="U7"/>
      <c r="X7" s="4"/>
      <c r="Y7" s="4"/>
    </row>
    <row r="8" spans="1:25" x14ac:dyDescent="0.2">
      <c r="A8" t="s">
        <v>1112</v>
      </c>
      <c r="B8" t="s">
        <v>1027</v>
      </c>
      <c r="C8" s="28">
        <v>89.16</v>
      </c>
      <c r="D8" t="s">
        <v>1116</v>
      </c>
      <c r="E8" t="s">
        <v>935</v>
      </c>
      <c r="F8" s="28">
        <f ca="1">apuestas_oct24[[#This Row],[Apuesta Miniporra]]-$B$3</f>
        <v>25.739999999999995</v>
      </c>
      <c r="G8" s="68">
        <f ca="1">ABS(apuestas_oct24[[#This Row],[desvio]])/$B$3</f>
        <v>0.40586565752128656</v>
      </c>
      <c r="H8" s="4">
        <f ca="1">_xlfn.RANK.EQ(apuestas_oct24[[#This Row],[desvio %]],apuestas_oct24[desvio %],1)</f>
        <v>38</v>
      </c>
      <c r="J8" s="66" t="s">
        <v>1112</v>
      </c>
      <c r="K8" s="10">
        <f ca="1">INDEX(apuestas_oct24[orden],MATCH(resultados_oct[Apuesta MiniPorra],apuestas_oct24[Apuesta Miniporra],0))</f>
        <v>38</v>
      </c>
      <c r="L8" s="6" t="str">
        <f>apuestas_oct24[[#This Row],[Nombre]]</f>
        <v>Rafael Leiva</v>
      </c>
      <c r="M8" s="14">
        <f>apuestas_oct24[[#This Row],[Apuesta Miniporra]]</f>
        <v>89.16</v>
      </c>
      <c r="N8" s="14">
        <f ca="1">INDEX(apuestas_oct24[desvio],MATCH(resultados_oct[[#This Row],[Apuesta MiniPorra]],apuestas_oct24[Apuesta Miniporra],0))</f>
        <v>25.739999999999995</v>
      </c>
      <c r="O8" s="13">
        <f ca="1">INDEX(apuestas_oct24[desvio %],MATCH(resultados_oct[[#This Row],[Apuesta MiniPorra]],apuestas_oct24[Apuesta Miniporra],0))</f>
        <v>0.40586565752128656</v>
      </c>
      <c r="P8" s="4">
        <v>2</v>
      </c>
      <c r="Q8" s="28">
        <f>IF(ISBLANK(omie!AF6),"",omie!AF6)</f>
        <v>93.59</v>
      </c>
      <c r="R8" s="78"/>
      <c r="S8" s="78"/>
      <c r="T8"/>
      <c r="U8"/>
      <c r="X8" s="4"/>
      <c r="Y8" s="4"/>
    </row>
    <row r="9" spans="1:25" x14ac:dyDescent="0.2">
      <c r="A9" t="s">
        <v>1112</v>
      </c>
      <c r="B9" t="s">
        <v>362</v>
      </c>
      <c r="C9" s="28">
        <v>85.17</v>
      </c>
      <c r="D9" t="s">
        <v>118</v>
      </c>
      <c r="E9" t="s">
        <v>213</v>
      </c>
      <c r="F9" s="28">
        <f ca="1">apuestas_oct24[[#This Row],[Apuesta Miniporra]]-$B$3</f>
        <v>21.75</v>
      </c>
      <c r="G9" s="68">
        <f ca="1">ABS(apuestas_oct24[[#This Row],[desvio]])/$B$3</f>
        <v>0.34295175023651842</v>
      </c>
      <c r="H9" s="4">
        <f ca="1">_xlfn.RANK.EQ(apuestas_oct24[[#This Row],[desvio %]],apuestas_oct24[desvio %],1)</f>
        <v>37</v>
      </c>
      <c r="J9" s="66" t="s">
        <v>1112</v>
      </c>
      <c r="K9" s="10">
        <f ca="1">INDEX(apuestas_oct24[orden],MATCH(resultados_oct[Apuesta MiniPorra],apuestas_oct24[Apuesta Miniporra],0))</f>
        <v>37</v>
      </c>
      <c r="L9" s="6" t="str">
        <f>apuestas_oct24[[#This Row],[Nombre]]</f>
        <v>Inés Monroy</v>
      </c>
      <c r="M9" s="14">
        <f>apuestas_oct24[[#This Row],[Apuesta Miniporra]]</f>
        <v>85.17</v>
      </c>
      <c r="N9" s="14">
        <f ca="1">INDEX(apuestas_oct24[desvio],MATCH(resultados_oct[[#This Row],[Apuesta MiniPorra]],apuestas_oct24[Apuesta Miniporra],0))</f>
        <v>21.75</v>
      </c>
      <c r="O9" s="13">
        <f ca="1">INDEX(apuestas_oct24[desvio %],MATCH(resultados_oct[[#This Row],[Apuesta MiniPorra]],apuestas_oct24[Apuesta Miniporra],0))</f>
        <v>0.34295175023651842</v>
      </c>
      <c r="P9" s="4">
        <v>3</v>
      </c>
      <c r="Q9" s="28">
        <f>IF(ISBLANK(omie!AF7),"",omie!AF7)</f>
        <v>57.92</v>
      </c>
      <c r="R9" s="78"/>
      <c r="S9" s="78"/>
      <c r="T9" s="28"/>
      <c r="U9"/>
      <c r="X9" s="4"/>
      <c r="Y9" s="4"/>
    </row>
    <row r="10" spans="1:25" x14ac:dyDescent="0.2">
      <c r="A10" t="s">
        <v>1112</v>
      </c>
      <c r="B10" t="s">
        <v>786</v>
      </c>
      <c r="C10" s="28">
        <v>84.07</v>
      </c>
      <c r="D10" t="s">
        <v>1117</v>
      </c>
      <c r="E10" t="s">
        <v>1092</v>
      </c>
      <c r="F10" s="28">
        <f ca="1">apuestas_oct24[[#This Row],[Apuesta Miniporra]]-$B$3</f>
        <v>20.649999999999991</v>
      </c>
      <c r="G10" s="68">
        <f ca="1">ABS(apuestas_oct24[[#This Row],[desvio]])/$B$3</f>
        <v>0.32560706401765988</v>
      </c>
      <c r="H10" s="4">
        <f ca="1">_xlfn.RANK.EQ(apuestas_oct24[[#This Row],[desvio %]],apuestas_oct24[desvio %],1)</f>
        <v>36</v>
      </c>
      <c r="J10" s="66" t="s">
        <v>1112</v>
      </c>
      <c r="K10" s="10">
        <f ca="1">INDEX(apuestas_oct24[orden],MATCH(resultados_oct[Apuesta MiniPorra],apuestas_oct24[Apuesta Miniporra],0))</f>
        <v>36</v>
      </c>
      <c r="L10" s="6" t="str">
        <f>apuestas_oct24[[#This Row],[Nombre]]</f>
        <v>Jesús Aceituno López</v>
      </c>
      <c r="M10" s="14">
        <f>apuestas_oct24[[#This Row],[Apuesta Miniporra]]</f>
        <v>84.07</v>
      </c>
      <c r="N10" s="14">
        <f ca="1">INDEX(apuestas_oct24[desvio],MATCH(resultados_oct[[#This Row],[Apuesta MiniPorra]],apuestas_oct24[Apuesta Miniporra],0))</f>
        <v>20.649999999999991</v>
      </c>
      <c r="O10" s="13">
        <f ca="1">INDEX(apuestas_oct24[desvio %],MATCH(resultados_oct[[#This Row],[Apuesta MiniPorra]],apuestas_oct24[Apuesta Miniporra],0))</f>
        <v>0.32560706401765988</v>
      </c>
      <c r="P10" s="4">
        <v>4</v>
      </c>
      <c r="Q10" s="28">
        <f>IF(ISBLANK(omie!AF8),"",omie!AF8)</f>
        <v>98.98</v>
      </c>
      <c r="R10" s="78"/>
      <c r="S10" s="78"/>
      <c r="T10" s="28"/>
      <c r="U10"/>
      <c r="X10" s="4"/>
      <c r="Y10" s="4"/>
    </row>
    <row r="11" spans="1:25" x14ac:dyDescent="0.2">
      <c r="A11" t="s">
        <v>1112</v>
      </c>
      <c r="B11" t="s">
        <v>475</v>
      </c>
      <c r="C11" s="28">
        <v>83.81</v>
      </c>
      <c r="D11" t="s">
        <v>118</v>
      </c>
      <c r="E11" t="s">
        <v>449</v>
      </c>
      <c r="F11" s="28">
        <f ca="1">apuestas_oct24[[#This Row],[Apuesta Miniporra]]-$B$3</f>
        <v>20.39</v>
      </c>
      <c r="G11" s="68">
        <f ca="1">ABS(apuestas_oct24[[#This Row],[desvio]])/$B$3</f>
        <v>0.32150741091138441</v>
      </c>
      <c r="H11" s="4">
        <f ca="1">_xlfn.RANK.EQ(apuestas_oct24[[#This Row],[desvio %]],apuestas_oct24[desvio %],1)</f>
        <v>35</v>
      </c>
      <c r="J11" s="66" t="s">
        <v>1112</v>
      </c>
      <c r="K11" s="10">
        <f ca="1">INDEX(apuestas_oct24[orden],MATCH(resultados_oct[Apuesta MiniPorra],apuestas_oct24[Apuesta Miniporra],0))</f>
        <v>35</v>
      </c>
      <c r="L11" s="6" t="str">
        <f>apuestas_oct24[[#This Row],[Nombre]]</f>
        <v>Carlos Alcaide Méndez</v>
      </c>
      <c r="M11" s="14">
        <f>apuestas_oct24[[#This Row],[Apuesta Miniporra]]</f>
        <v>83.81</v>
      </c>
      <c r="N11" s="14">
        <f ca="1">INDEX(apuestas_oct24[desvio],MATCH(resultados_oct[[#This Row],[Apuesta MiniPorra]],apuestas_oct24[Apuesta Miniporra],0))</f>
        <v>20.39</v>
      </c>
      <c r="O11" s="13">
        <f ca="1">INDEX(apuestas_oct24[desvio %],MATCH(resultados_oct[[#This Row],[Apuesta MiniPorra]],apuestas_oct24[Apuesta Miniporra],0))</f>
        <v>0.32150741091138441</v>
      </c>
      <c r="P11" s="4">
        <v>5</v>
      </c>
      <c r="Q11" s="28">
        <f>IF(ISBLANK(omie!AF9),"",omie!AF9)</f>
        <v>60.4</v>
      </c>
      <c r="R11" s="78"/>
      <c r="S11" s="78"/>
      <c r="T11" s="28"/>
      <c r="U11"/>
    </row>
    <row r="12" spans="1:25" x14ac:dyDescent="0.2">
      <c r="A12" t="s">
        <v>1112</v>
      </c>
      <c r="B12" t="s">
        <v>792</v>
      </c>
      <c r="C12" s="28">
        <v>83.75</v>
      </c>
      <c r="D12" t="s">
        <v>118</v>
      </c>
      <c r="E12" t="s">
        <v>664</v>
      </c>
      <c r="F12" s="28">
        <f ca="1">apuestas_oct24[[#This Row],[Apuesta Miniporra]]-$B$3</f>
        <v>20.329999999999998</v>
      </c>
      <c r="G12" s="68">
        <f ca="1">ABS(apuestas_oct24[[#This Row],[desvio]])/$B$3</f>
        <v>0.32056133711762846</v>
      </c>
      <c r="H12" s="4">
        <f ca="1">_xlfn.RANK.EQ(apuestas_oct24[[#This Row],[desvio %]],apuestas_oct24[desvio %],1)</f>
        <v>34</v>
      </c>
      <c r="J12" s="66" t="s">
        <v>1112</v>
      </c>
      <c r="K12" s="10">
        <f ca="1">INDEX(apuestas_oct24[orden],MATCH(resultados_oct[Apuesta MiniPorra],apuestas_oct24[Apuesta Miniporra],0))</f>
        <v>34</v>
      </c>
      <c r="L12" s="6" t="str">
        <f>apuestas_oct24[[#This Row],[Nombre]]</f>
        <v>Gorka Arratibel Pastor</v>
      </c>
      <c r="M12" s="14">
        <f>apuestas_oct24[[#This Row],[Apuesta Miniporra]]</f>
        <v>83.75</v>
      </c>
      <c r="N12" s="14">
        <f ca="1">INDEX(apuestas_oct24[desvio],MATCH(resultados_oct[[#This Row],[Apuesta MiniPorra]],apuestas_oct24[Apuesta Miniporra],0))</f>
        <v>20.329999999999998</v>
      </c>
      <c r="O12" s="13">
        <f ca="1">INDEX(apuestas_oct24[desvio %],MATCH(resultados_oct[[#This Row],[Apuesta MiniPorra]],apuestas_oct24[Apuesta Miniporra],0))</f>
        <v>0.32056133711762846</v>
      </c>
      <c r="P12" s="4">
        <v>6</v>
      </c>
      <c r="Q12" s="28">
        <f>IF(ISBLANK(omie!AF10),"",omie!AF10)</f>
        <v>21.96</v>
      </c>
      <c r="R12" s="78"/>
      <c r="S12" s="78"/>
      <c r="T12" s="28"/>
      <c r="U12"/>
    </row>
    <row r="13" spans="1:25" x14ac:dyDescent="0.2">
      <c r="A13" t="s">
        <v>1112</v>
      </c>
      <c r="B13" t="s">
        <v>242</v>
      </c>
      <c r="C13" s="28">
        <v>82.5</v>
      </c>
      <c r="D13" t="s">
        <v>1071</v>
      </c>
      <c r="E13" t="s">
        <v>242</v>
      </c>
      <c r="F13" s="28">
        <f ca="1">apuestas_oct24[[#This Row],[Apuesta Miniporra]]-$B$3</f>
        <v>19.079999999999998</v>
      </c>
      <c r="G13" s="68">
        <f ca="1">ABS(apuestas_oct24[[#This Row],[desvio]])/$B$3</f>
        <v>0.30085146641438026</v>
      </c>
      <c r="H13" s="4">
        <f ca="1">_xlfn.RANK.EQ(apuestas_oct24[[#This Row],[desvio %]],apuestas_oct24[desvio %],1)</f>
        <v>33</v>
      </c>
      <c r="J13" s="66" t="s">
        <v>1112</v>
      </c>
      <c r="K13" s="10">
        <f ca="1">INDEX(apuestas_oct24[orden],MATCH(resultados_oct[Apuesta MiniPorra],apuestas_oct24[Apuesta Miniporra],0))</f>
        <v>33</v>
      </c>
      <c r="L13" s="6" t="str">
        <f>apuestas_oct24[[#This Row],[Nombre]]</f>
        <v>Javier Espelta</v>
      </c>
      <c r="M13" s="14">
        <f>apuestas_oct24[[#This Row],[Apuesta Miniporra]]</f>
        <v>82.5</v>
      </c>
      <c r="N13" s="14">
        <f ca="1">INDEX(apuestas_oct24[desvio],MATCH(resultados_oct[[#This Row],[Apuesta MiniPorra]],apuestas_oct24[Apuesta Miniporra],0))</f>
        <v>19.079999999999998</v>
      </c>
      <c r="O13" s="13">
        <f ca="1">INDEX(apuestas_oct24[desvio %],MATCH(resultados_oct[[#This Row],[Apuesta MiniPorra]],apuestas_oct24[Apuesta Miniporra],0))</f>
        <v>0.30085146641438026</v>
      </c>
      <c r="P13" s="4">
        <v>7</v>
      </c>
      <c r="Q13" s="28">
        <f>IF(ISBLANK(omie!AF11),"",omie!AF11)</f>
        <v>55.46</v>
      </c>
      <c r="R13" s="78"/>
      <c r="S13" s="78"/>
      <c r="T13" s="28"/>
      <c r="U13"/>
    </row>
    <row r="14" spans="1:25" x14ac:dyDescent="0.2">
      <c r="A14" t="s">
        <v>1112</v>
      </c>
      <c r="B14" t="s">
        <v>412</v>
      </c>
      <c r="C14" s="28">
        <v>80.099999999999994</v>
      </c>
      <c r="D14" t="s">
        <v>118</v>
      </c>
      <c r="E14" t="s">
        <v>1096</v>
      </c>
      <c r="F14" s="28">
        <f ca="1">apuestas_oct24[[#This Row],[Apuesta Miniporra]]-$B$3</f>
        <v>16.679999999999993</v>
      </c>
      <c r="G14" s="68">
        <f ca="1">ABS(apuestas_oct24[[#This Row],[desvio]])/$B$3</f>
        <v>0.26300851466414366</v>
      </c>
      <c r="H14" s="4">
        <f ca="1">_xlfn.RANK.EQ(apuestas_oct24[[#This Row],[desvio %]],apuestas_oct24[desvio %],1)</f>
        <v>31</v>
      </c>
      <c r="J14" s="66" t="s">
        <v>1112</v>
      </c>
      <c r="K14" s="10">
        <f ca="1">INDEX(apuestas_oct24[orden],MATCH(resultados_oct[Apuesta MiniPorra],apuestas_oct24[Apuesta Miniporra],0))</f>
        <v>31</v>
      </c>
      <c r="L14" s="6" t="str">
        <f>apuestas_oct24[[#This Row],[Nombre]]</f>
        <v>Jose Manuel Otero López</v>
      </c>
      <c r="M14" s="14">
        <f>apuestas_oct24[[#This Row],[Apuesta Miniporra]]</f>
        <v>80.099999999999994</v>
      </c>
      <c r="N14" s="14">
        <f ca="1">INDEX(apuestas_oct24[desvio],MATCH(resultados_oct[[#This Row],[Apuesta MiniPorra]],apuestas_oct24[Apuesta Miniporra],0))</f>
        <v>16.679999999999993</v>
      </c>
      <c r="O14" s="13">
        <f ca="1">INDEX(apuestas_oct24[desvio %],MATCH(resultados_oct[[#This Row],[Apuesta MiniPorra]],apuestas_oct24[Apuesta Miniporra],0))</f>
        <v>0.26300851466414366</v>
      </c>
      <c r="P14" s="4">
        <v>8</v>
      </c>
      <c r="Q14" s="28">
        <f>IF(ISBLANK(omie!AF12),"",omie!AF12)</f>
        <v>31.37</v>
      </c>
      <c r="R14" s="78"/>
      <c r="S14" s="78"/>
      <c r="T14" s="28"/>
      <c r="U14"/>
    </row>
    <row r="15" spans="1:25" x14ac:dyDescent="0.2">
      <c r="A15" t="s">
        <v>1112</v>
      </c>
      <c r="B15" t="s">
        <v>1118</v>
      </c>
      <c r="C15" s="28">
        <v>79.819999999999993</v>
      </c>
      <c r="D15" t="s">
        <v>118</v>
      </c>
      <c r="E15" t="s">
        <v>1119</v>
      </c>
      <c r="F15" s="28">
        <f ca="1">apuestas_oct24[[#This Row],[Apuesta Miniporra]]-$B$3</f>
        <v>16.399999999999991</v>
      </c>
      <c r="G15" s="68">
        <f ca="1">ABS(apuestas_oct24[[#This Row],[desvio]])/$B$3</f>
        <v>0.25859350362661609</v>
      </c>
      <c r="H15" s="4">
        <f ca="1">_xlfn.RANK.EQ(apuestas_oct24[[#This Row],[desvio %]],apuestas_oct24[desvio %],1)</f>
        <v>30</v>
      </c>
      <c r="J15" s="66" t="s">
        <v>1112</v>
      </c>
      <c r="K15" s="10">
        <f ca="1">INDEX(apuestas_oct24[orden],MATCH(resultados_oct[Apuesta MiniPorra],apuestas_oct24[Apuesta Miniporra],0))</f>
        <v>30</v>
      </c>
      <c r="L15" s="6" t="str">
        <f>apuestas_oct24[[#This Row],[Nombre]]</f>
        <v>Pablo Suárez Sebastián</v>
      </c>
      <c r="M15" s="14">
        <f>apuestas_oct24[[#This Row],[Apuesta Miniporra]]</f>
        <v>79.819999999999993</v>
      </c>
      <c r="N15" s="14">
        <f ca="1">INDEX(apuestas_oct24[desvio],MATCH(resultados_oct[[#This Row],[Apuesta MiniPorra]],apuestas_oct24[Apuesta Miniporra],0))</f>
        <v>16.399999999999991</v>
      </c>
      <c r="O15" s="13">
        <f ca="1">INDEX(apuestas_oct24[desvio %],MATCH(resultados_oct[[#This Row],[Apuesta MiniPorra]],apuestas_oct24[Apuesta Miniporra],0))</f>
        <v>0.25859350362661609</v>
      </c>
      <c r="P15" s="4">
        <v>9</v>
      </c>
      <c r="Q15" s="28">
        <f>IF(ISBLANK(omie!AF13),"",omie!AF13)</f>
        <v>24.52</v>
      </c>
      <c r="R15" s="78"/>
      <c r="S15" s="78"/>
      <c r="T15" s="28"/>
      <c r="U15"/>
    </row>
    <row r="16" spans="1:25" x14ac:dyDescent="0.2">
      <c r="A16" t="s">
        <v>1112</v>
      </c>
      <c r="B16" t="s">
        <v>225</v>
      </c>
      <c r="C16" s="28">
        <v>78.319999999999993</v>
      </c>
      <c r="D16" t="s">
        <v>118</v>
      </c>
      <c r="E16" t="s">
        <v>199</v>
      </c>
      <c r="F16" s="28">
        <f ca="1">apuestas_oct24[[#This Row],[Apuesta Miniporra]]-$B$3</f>
        <v>14.899999999999991</v>
      </c>
      <c r="G16" s="68">
        <f ca="1">ABS(apuestas_oct24[[#This Row],[desvio]])/$B$3</f>
        <v>0.23494165878271825</v>
      </c>
      <c r="H16" s="4">
        <f ca="1">_xlfn.RANK.EQ(apuestas_oct24[[#This Row],[desvio %]],apuestas_oct24[desvio %],1)</f>
        <v>29</v>
      </c>
      <c r="J16" s="66" t="s">
        <v>1112</v>
      </c>
      <c r="K16" s="10">
        <f ca="1">INDEX(apuestas_oct24[orden],MATCH(resultados_oct[Apuesta MiniPorra],apuestas_oct24[Apuesta Miniporra],0))</f>
        <v>29</v>
      </c>
      <c r="L16" s="6" t="str">
        <f>apuestas_oct24[[#This Row],[Nombre]]</f>
        <v>Elena Muñoz Vioque</v>
      </c>
      <c r="M16" s="14">
        <f>apuestas_oct24[[#This Row],[Apuesta Miniporra]]</f>
        <v>78.319999999999993</v>
      </c>
      <c r="N16" s="14">
        <f ca="1">INDEX(apuestas_oct24[desvio],MATCH(resultados_oct[[#This Row],[Apuesta MiniPorra]],apuestas_oct24[Apuesta Miniporra],0))</f>
        <v>14.899999999999991</v>
      </c>
      <c r="O16" s="13">
        <f ca="1">INDEX(apuestas_oct24[desvio %],MATCH(resultados_oct[[#This Row],[Apuesta MiniPorra]],apuestas_oct24[Apuesta Miniporra],0))</f>
        <v>0.23494165878271825</v>
      </c>
      <c r="P16" s="4">
        <v>10</v>
      </c>
      <c r="Q16" s="28">
        <f>IF(ISBLANK(omie!AF14),"",omie!AF14)</f>
        <v>76.180000000000007</v>
      </c>
      <c r="R16" s="78"/>
      <c r="S16" s="78"/>
      <c r="T16" s="28"/>
      <c r="U16"/>
    </row>
    <row r="17" spans="1:23" x14ac:dyDescent="0.2">
      <c r="A17" t="s">
        <v>1112</v>
      </c>
      <c r="B17" t="s">
        <v>218</v>
      </c>
      <c r="C17" s="28">
        <v>77.77</v>
      </c>
      <c r="D17" t="s">
        <v>118</v>
      </c>
      <c r="E17" t="s">
        <v>1025</v>
      </c>
      <c r="F17" s="28">
        <f ca="1">apuestas_oct24[[#This Row],[Apuesta Miniporra]]-$B$3</f>
        <v>14.349999999999994</v>
      </c>
      <c r="G17" s="68">
        <f ca="1">ABS(apuestas_oct24[[#This Row],[desvio]])/$B$3</f>
        <v>0.22626931567328909</v>
      </c>
      <c r="H17" s="4">
        <f ca="1">_xlfn.RANK.EQ(apuestas_oct24[[#This Row],[desvio %]],apuestas_oct24[desvio %],1)</f>
        <v>28</v>
      </c>
      <c r="J17" s="66" t="s">
        <v>1112</v>
      </c>
      <c r="K17" s="10">
        <f ca="1">INDEX(apuestas_oct24[orden],MATCH(resultados_oct[Apuesta MiniPorra],apuestas_oct24[Apuesta Miniporra],0))</f>
        <v>28</v>
      </c>
      <c r="L17" s="6" t="str">
        <f>apuestas_oct24[[#This Row],[Nombre]]</f>
        <v>Jorge Antonio González Sánchez</v>
      </c>
      <c r="M17" s="14">
        <f>apuestas_oct24[[#This Row],[Apuesta Miniporra]]</f>
        <v>77.77</v>
      </c>
      <c r="N17" s="14">
        <f ca="1">INDEX(apuestas_oct24[desvio],MATCH(resultados_oct[[#This Row],[Apuesta MiniPorra]],apuestas_oct24[Apuesta Miniporra],0))</f>
        <v>14.349999999999994</v>
      </c>
      <c r="O17" s="13">
        <f ca="1">INDEX(apuestas_oct24[desvio %],MATCH(resultados_oct[[#This Row],[Apuesta MiniPorra]],apuestas_oct24[Apuesta Miniporra],0))</f>
        <v>0.22626931567328909</v>
      </c>
      <c r="P17" s="4">
        <v>11</v>
      </c>
      <c r="Q17" s="28">
        <f>IF(ISBLANK(omie!AF15),"",omie!AF15)</f>
        <v>90.66</v>
      </c>
      <c r="R17" s="78"/>
      <c r="S17" s="78"/>
      <c r="T17" s="28"/>
      <c r="U17"/>
    </row>
    <row r="18" spans="1:23" x14ac:dyDescent="0.2">
      <c r="A18" t="s">
        <v>1112</v>
      </c>
      <c r="B18" t="s">
        <v>336</v>
      </c>
      <c r="C18" s="28">
        <v>77.2</v>
      </c>
      <c r="D18" t="s">
        <v>1120</v>
      </c>
      <c r="E18" t="s">
        <v>2</v>
      </c>
      <c r="F18" s="28">
        <f ca="1">apuestas_oct24[[#This Row],[Apuesta Miniporra]]-$B$3</f>
        <v>13.780000000000001</v>
      </c>
      <c r="G18" s="68">
        <f ca="1">ABS(apuestas_oct24[[#This Row],[desvio]])/$B$3</f>
        <v>0.21728161463260803</v>
      </c>
      <c r="H18" s="4">
        <f ca="1">_xlfn.RANK.EQ(apuestas_oct24[[#This Row],[desvio %]],apuestas_oct24[desvio %],1)</f>
        <v>27</v>
      </c>
      <c r="J18" s="66" t="s">
        <v>1112</v>
      </c>
      <c r="K18" s="10">
        <f ca="1">INDEX(apuestas_oct24[orden],MATCH(resultados_oct[Apuesta MiniPorra],apuestas_oct24[Apuesta Miniporra],0))</f>
        <v>27</v>
      </c>
      <c r="L18" s="6" t="str">
        <f>apuestas_oct24[[#This Row],[Nombre]]</f>
        <v>Javier Revuelta Alonso</v>
      </c>
      <c r="M18" s="14">
        <f>apuestas_oct24[[#This Row],[Apuesta Miniporra]]</f>
        <v>77.2</v>
      </c>
      <c r="N18" s="14">
        <f ca="1">INDEX(apuestas_oct24[desvio],MATCH(resultados_oct[[#This Row],[Apuesta MiniPorra]],apuestas_oct24[Apuesta Miniporra],0))</f>
        <v>13.780000000000001</v>
      </c>
      <c r="O18" s="13">
        <f ca="1">INDEX(apuestas_oct24[desvio %],MATCH(resultados_oct[[#This Row],[Apuesta MiniPorra]],apuestas_oct24[Apuesta Miniporra],0))</f>
        <v>0.21728161463260803</v>
      </c>
      <c r="P18" s="4">
        <v>12</v>
      </c>
      <c r="Q18" s="28">
        <f>IF(ISBLANK(omie!AF16),"",omie!AF16)</f>
        <v>69.86</v>
      </c>
      <c r="R18" s="78"/>
      <c r="S18" s="78"/>
      <c r="T18" s="28"/>
      <c r="U18"/>
    </row>
    <row r="19" spans="1:23" x14ac:dyDescent="0.2">
      <c r="A19" t="s">
        <v>1112</v>
      </c>
      <c r="B19" t="s">
        <v>784</v>
      </c>
      <c r="C19" s="28">
        <v>75.2</v>
      </c>
      <c r="D19" t="s">
        <v>118</v>
      </c>
      <c r="E19" t="s">
        <v>784</v>
      </c>
      <c r="F19" s="28">
        <f ca="1">apuestas_oct24[[#This Row],[Apuesta Miniporra]]-$B$3</f>
        <v>11.780000000000001</v>
      </c>
      <c r="G19" s="68">
        <f ca="1">ABS(apuestas_oct24[[#This Row],[desvio]])/$B$3</f>
        <v>0.18574582150741092</v>
      </c>
      <c r="H19" s="4">
        <f ca="1">_xlfn.RANK.EQ(apuestas_oct24[[#This Row],[desvio %]],apuestas_oct24[desvio %],1)</f>
        <v>26</v>
      </c>
      <c r="J19" s="66" t="s">
        <v>1112</v>
      </c>
      <c r="K19" s="10">
        <f ca="1">INDEX(apuestas_oct24[orden],MATCH(resultados_oct[Apuesta MiniPorra],apuestas_oct24[Apuesta Miniporra],0))</f>
        <v>26</v>
      </c>
      <c r="L19" s="6" t="str">
        <f>apuestas_oct24[[#This Row],[Nombre]]</f>
        <v>Paco Cuadrado</v>
      </c>
      <c r="M19" s="14">
        <f>apuestas_oct24[[#This Row],[Apuesta Miniporra]]</f>
        <v>75.2</v>
      </c>
      <c r="N19" s="14">
        <f ca="1">INDEX(apuestas_oct24[desvio],MATCH(resultados_oct[[#This Row],[Apuesta MiniPorra]],apuestas_oct24[Apuesta Miniporra],0))</f>
        <v>11.780000000000001</v>
      </c>
      <c r="O19" s="13">
        <f ca="1">INDEX(apuestas_oct24[desvio %],MATCH(resultados_oct[[#This Row],[Apuesta MiniPorra]],apuestas_oct24[Apuesta Miniporra],0))</f>
        <v>0.18574582150741092</v>
      </c>
      <c r="P19" s="4">
        <v>13</v>
      </c>
      <c r="Q19" s="28">
        <f>IF(ISBLANK(omie!AF17),"",omie!AF17)</f>
        <v>52.75</v>
      </c>
      <c r="R19" s="71"/>
      <c r="S19" s="71"/>
      <c r="T19" s="28"/>
      <c r="U19"/>
    </row>
    <row r="20" spans="1:23" x14ac:dyDescent="0.2">
      <c r="A20" t="s">
        <v>1112</v>
      </c>
      <c r="B20" t="s">
        <v>803</v>
      </c>
      <c r="C20" s="28">
        <v>74.19</v>
      </c>
      <c r="D20" t="s">
        <v>1122</v>
      </c>
      <c r="E20" t="s">
        <v>1123</v>
      </c>
      <c r="F20" s="28">
        <f ca="1">apuestas_oct24[[#This Row],[Apuesta Miniporra]]-$B$3</f>
        <v>10.769999999999996</v>
      </c>
      <c r="G20" s="68">
        <f ca="1">ABS(apuestas_oct24[[#This Row],[desvio]])/$B$3</f>
        <v>0.1698202459791863</v>
      </c>
      <c r="H20" s="4">
        <f ca="1">_xlfn.RANK.EQ(apuestas_oct24[[#This Row],[desvio %]],apuestas_oct24[desvio %],1)</f>
        <v>25</v>
      </c>
      <c r="J20" s="66" t="s">
        <v>1112</v>
      </c>
      <c r="K20" s="10">
        <f ca="1">INDEX(apuestas_oct24[orden],MATCH(resultados_oct[Apuesta MiniPorra],apuestas_oct24[Apuesta Miniporra],0))</f>
        <v>25</v>
      </c>
      <c r="L20" s="6" t="str">
        <f>apuestas_oct24[[#This Row],[Nombre]]</f>
        <v>Jorge González Arconada</v>
      </c>
      <c r="M20" s="14">
        <f>apuestas_oct24[[#This Row],[Apuesta Miniporra]]</f>
        <v>74.19</v>
      </c>
      <c r="N20" s="14">
        <f ca="1">INDEX(apuestas_oct24[desvio],MATCH(resultados_oct[[#This Row],[Apuesta MiniPorra]],apuestas_oct24[Apuesta Miniporra],0))</f>
        <v>10.769999999999996</v>
      </c>
      <c r="O20" s="13">
        <f ca="1">INDEX(apuestas_oct24[desvio %],MATCH(resultados_oct[[#This Row],[Apuesta MiniPorra]],apuestas_oct24[Apuesta Miniporra],0))</f>
        <v>0.1698202459791863</v>
      </c>
      <c r="P20" s="4">
        <v>14</v>
      </c>
      <c r="Q20" s="28">
        <f>IF(ISBLANK(omie!AF18),"",omie!AF18)</f>
        <v>104.17</v>
      </c>
      <c r="T20" s="28"/>
      <c r="U20" s="115"/>
      <c r="V20" s="115"/>
      <c r="W20" s="115"/>
    </row>
    <row r="21" spans="1:23" x14ac:dyDescent="0.2">
      <c r="A21" t="s">
        <v>1112</v>
      </c>
      <c r="B21" t="s">
        <v>381</v>
      </c>
      <c r="C21" s="28">
        <v>74.09</v>
      </c>
      <c r="D21" t="s">
        <v>1124</v>
      </c>
      <c r="E21" t="s">
        <v>37</v>
      </c>
      <c r="F21" s="28">
        <f ca="1">apuestas_oct24[[#This Row],[Apuesta Miniporra]]-$B$3</f>
        <v>10.670000000000002</v>
      </c>
      <c r="G21" s="68">
        <f ca="1">ABS(apuestas_oct24[[#This Row],[desvio]])/$B$3</f>
        <v>0.16824345632292653</v>
      </c>
      <c r="H21" s="4">
        <f ca="1">_xlfn.RANK.EQ(apuestas_oct24[[#This Row],[desvio %]],apuestas_oct24[desvio %],1)</f>
        <v>24</v>
      </c>
      <c r="J21" s="66" t="s">
        <v>1112</v>
      </c>
      <c r="K21" s="10">
        <f ca="1">INDEX(apuestas_oct24[orden],MATCH(resultados_oct[Apuesta MiniPorra],apuestas_oct24[Apuesta Miniporra],0))</f>
        <v>24</v>
      </c>
      <c r="L21" s="6" t="str">
        <f>apuestas_oct24[[#This Row],[Nombre]]</f>
        <v>Roberto Cavero García</v>
      </c>
      <c r="M21" s="14">
        <f>apuestas_oct24[[#This Row],[Apuesta Miniporra]]</f>
        <v>74.09</v>
      </c>
      <c r="N21" s="14">
        <f ca="1">INDEX(apuestas_oct24[desvio],MATCH(resultados_oct[[#This Row],[Apuesta MiniPorra]],apuestas_oct24[Apuesta Miniporra],0))</f>
        <v>10.670000000000002</v>
      </c>
      <c r="O21" s="13">
        <f ca="1">INDEX(apuestas_oct24[desvio %],MATCH(resultados_oct[[#This Row],[Apuesta MiniPorra]],apuestas_oct24[Apuesta Miniporra],0))</f>
        <v>0.16824345632292653</v>
      </c>
      <c r="P21" s="4">
        <v>15</v>
      </c>
      <c r="Q21" s="28">
        <f>IF(ISBLANK(omie!AF19),"",omie!AF19)</f>
        <v>87.23</v>
      </c>
      <c r="T21" s="28"/>
      <c r="U21" s="115"/>
      <c r="V21" s="115"/>
      <c r="W21" s="115"/>
    </row>
    <row r="22" spans="1:23" x14ac:dyDescent="0.2">
      <c r="A22" t="s">
        <v>1112</v>
      </c>
      <c r="B22" t="s">
        <v>942</v>
      </c>
      <c r="C22" s="28">
        <v>73.75</v>
      </c>
      <c r="D22" t="s">
        <v>118</v>
      </c>
      <c r="E22" t="s">
        <v>901</v>
      </c>
      <c r="F22" s="28">
        <f ca="1">apuestas_oct24[[#This Row],[Apuesta Miniporra]]-$B$3</f>
        <v>10.329999999999998</v>
      </c>
      <c r="G22" s="68">
        <f ca="1">ABS(apuestas_oct24[[#This Row],[desvio]])/$B$3</f>
        <v>0.16288237149164297</v>
      </c>
      <c r="H22" s="4">
        <f ca="1">_xlfn.RANK.EQ(apuestas_oct24[[#This Row],[desvio %]],apuestas_oct24[desvio %],1)</f>
        <v>23</v>
      </c>
      <c r="J22" s="66" t="s">
        <v>1112</v>
      </c>
      <c r="K22" s="10">
        <f ca="1">INDEX(apuestas_oct24[orden],MATCH(resultados_oct[Apuesta MiniPorra],apuestas_oct24[Apuesta Miniporra],0))</f>
        <v>23</v>
      </c>
      <c r="L22" s="6" t="str">
        <f>apuestas_oct24[[#This Row],[Nombre]]</f>
        <v>Rafael Tejada Bonilla</v>
      </c>
      <c r="M22" s="14">
        <f>apuestas_oct24[[#This Row],[Apuesta Miniporra]]</f>
        <v>73.75</v>
      </c>
      <c r="N22" s="14">
        <f ca="1">INDEX(apuestas_oct24[desvio],MATCH(resultados_oct[[#This Row],[Apuesta MiniPorra]],apuestas_oct24[Apuesta Miniporra],0))</f>
        <v>10.329999999999998</v>
      </c>
      <c r="O22" s="13">
        <f ca="1">INDEX(apuestas_oct24[desvio %],MATCH(resultados_oct[[#This Row],[Apuesta MiniPorra]],apuestas_oct24[Apuesta Miniporra],0))</f>
        <v>0.16288237149164297</v>
      </c>
      <c r="P22" s="4">
        <v>16</v>
      </c>
      <c r="Q22" s="28">
        <f>IF(ISBLANK(omie!AF20),"",omie!AF20)</f>
        <v>48.84</v>
      </c>
      <c r="T22" s="28"/>
      <c r="U22" s="115"/>
      <c r="V22" s="115"/>
      <c r="W22" s="115"/>
    </row>
    <row r="23" spans="1:23" x14ac:dyDescent="0.2">
      <c r="A23" t="s">
        <v>1112</v>
      </c>
      <c r="B23" t="s">
        <v>1126</v>
      </c>
      <c r="C23" s="28">
        <v>72.58</v>
      </c>
      <c r="D23" t="s">
        <v>1127</v>
      </c>
      <c r="E23" t="s">
        <v>1128</v>
      </c>
      <c r="F23" s="28">
        <f ca="1">apuestas_oct24[[#This Row],[Apuesta Miniporra]]-$B$3</f>
        <v>9.1599999999999966</v>
      </c>
      <c r="G23" s="68">
        <f ca="1">ABS(apuestas_oct24[[#This Row],[desvio]])/$B$3</f>
        <v>0.14443393251340264</v>
      </c>
      <c r="H23" s="4">
        <f ca="1">_xlfn.RANK.EQ(apuestas_oct24[[#This Row],[desvio %]],apuestas_oct24[desvio %],1)</f>
        <v>22</v>
      </c>
      <c r="J23" s="66" t="s">
        <v>1112</v>
      </c>
      <c r="K23" s="10">
        <f ca="1">INDEX(apuestas_oct24[orden],MATCH(resultados_oct[Apuesta MiniPorra],apuestas_oct24[Apuesta Miniporra],0))</f>
        <v>22</v>
      </c>
      <c r="L23" s="6" t="str">
        <f>apuestas_oct24[[#This Row],[Nombre]]</f>
        <v>Cristoauditor Monasor Merino</v>
      </c>
      <c r="M23" s="14">
        <f>apuestas_oct24[[#This Row],[Apuesta Miniporra]]</f>
        <v>72.58</v>
      </c>
      <c r="N23" s="14">
        <f ca="1">INDEX(apuestas_oct24[desvio],MATCH(resultados_oct[[#This Row],[Apuesta MiniPorra]],apuestas_oct24[Apuesta Miniporra],0))</f>
        <v>9.1599999999999966</v>
      </c>
      <c r="O23" s="13">
        <f ca="1">INDEX(apuestas_oct24[desvio %],MATCH(resultados_oct[[#This Row],[Apuesta MiniPorra]],apuestas_oct24[Apuesta Miniporra],0))</f>
        <v>0.14443393251340264</v>
      </c>
      <c r="P23" s="4">
        <v>17</v>
      </c>
      <c r="Q23" s="28">
        <f>IF(ISBLANK(omie!AF21),"",omie!AF21)</f>
        <v>51.25</v>
      </c>
      <c r="T23" s="28"/>
      <c r="U23"/>
    </row>
    <row r="24" spans="1:23" x14ac:dyDescent="0.2">
      <c r="A24" t="s">
        <v>1112</v>
      </c>
      <c r="B24" t="s">
        <v>408</v>
      </c>
      <c r="C24" s="28">
        <v>72.45</v>
      </c>
      <c r="D24" t="s">
        <v>1129</v>
      </c>
      <c r="E24" t="s">
        <v>456</v>
      </c>
      <c r="F24" s="28">
        <f ca="1">apuestas_oct24[[#This Row],[Apuesta Miniporra]]-$B$3</f>
        <v>9.0300000000000011</v>
      </c>
      <c r="G24" s="68">
        <f ca="1">ABS(apuestas_oct24[[#This Row],[desvio]])/$B$3</f>
        <v>0.14238410596026491</v>
      </c>
      <c r="H24" s="4">
        <f ca="1">_xlfn.RANK.EQ(apuestas_oct24[[#This Row],[desvio %]],apuestas_oct24[desvio %],1)</f>
        <v>21</v>
      </c>
      <c r="J24" s="66" t="s">
        <v>1112</v>
      </c>
      <c r="K24" s="10">
        <f ca="1">INDEX(apuestas_oct24[orden],MATCH(resultados_oct[Apuesta MiniPorra],apuestas_oct24[Apuesta Miniporra],0))</f>
        <v>21</v>
      </c>
      <c r="L24" s="6" t="str">
        <f>apuestas_oct24[[#This Row],[Nombre]]</f>
        <v>Julián Mateo Muñoz</v>
      </c>
      <c r="M24" s="14">
        <f>apuestas_oct24[[#This Row],[Apuesta Miniporra]]</f>
        <v>72.45</v>
      </c>
      <c r="N24" s="14">
        <f ca="1">INDEX(apuestas_oct24[desvio],MATCH(resultados_oct[[#This Row],[Apuesta MiniPorra]],apuestas_oct24[Apuesta Miniporra],0))</f>
        <v>9.0300000000000011</v>
      </c>
      <c r="O24" s="13">
        <f ca="1">INDEX(apuestas_oct24[desvio %],MATCH(resultados_oct[[#This Row],[Apuesta MiniPorra]],apuestas_oct24[Apuesta Miniporra],0))</f>
        <v>0.14238410596026491</v>
      </c>
      <c r="P24" s="4">
        <v>18</v>
      </c>
      <c r="Q24" s="28">
        <f>IF(ISBLANK(omie!AF22),"",omie!AF22)</f>
        <v>51.99</v>
      </c>
      <c r="T24" s="28"/>
      <c r="U24"/>
    </row>
    <row r="25" spans="1:23" x14ac:dyDescent="0.2">
      <c r="A25" t="s">
        <v>1112</v>
      </c>
      <c r="B25" t="s">
        <v>219</v>
      </c>
      <c r="C25" s="28">
        <v>72.22</v>
      </c>
      <c r="D25" t="s">
        <v>118</v>
      </c>
      <c r="E25" t="s">
        <v>451</v>
      </c>
      <c r="F25" s="28">
        <f ca="1">apuestas_oct24[[#This Row],[Apuesta Miniporra]]-$B$3</f>
        <v>8.7999999999999972</v>
      </c>
      <c r="G25" s="68">
        <f ca="1">ABS(apuestas_oct24[[#This Row],[desvio]])/$B$3</f>
        <v>0.13875748975086719</v>
      </c>
      <c r="H25" s="4">
        <f ca="1">_xlfn.RANK.EQ(apuestas_oct24[[#This Row],[desvio %]],apuestas_oct24[desvio %],1)</f>
        <v>20</v>
      </c>
      <c r="J25" s="66" t="s">
        <v>1112</v>
      </c>
      <c r="K25" s="10">
        <f ca="1">INDEX(apuestas_oct24[orden],MATCH(resultados_oct[Apuesta MiniPorra],apuestas_oct24[Apuesta Miniporra],0))</f>
        <v>20</v>
      </c>
      <c r="L25" s="6" t="str">
        <f>apuestas_oct24[[#This Row],[Nombre]]</f>
        <v>Jaime Larrañaga Juez</v>
      </c>
      <c r="M25" s="14">
        <f>apuestas_oct24[[#This Row],[Apuesta Miniporra]]</f>
        <v>72.22</v>
      </c>
      <c r="N25" s="14">
        <f ca="1">INDEX(apuestas_oct24[desvio],MATCH(resultados_oct[[#This Row],[Apuesta MiniPorra]],apuestas_oct24[Apuesta Miniporra],0))</f>
        <v>8.7999999999999972</v>
      </c>
      <c r="O25" s="13">
        <f ca="1">INDEX(apuestas_oct24[desvio %],MATCH(resultados_oct[[#This Row],[Apuesta MiniPorra]],apuestas_oct24[Apuesta Miniporra],0))</f>
        <v>0.13875748975086719</v>
      </c>
      <c r="P25" s="4">
        <v>19</v>
      </c>
      <c r="Q25" s="28">
        <f>IF(ISBLANK(omie!AF23),"",omie!AF23)</f>
        <v>48.71</v>
      </c>
      <c r="T25" s="28"/>
      <c r="U25"/>
    </row>
    <row r="26" spans="1:23" x14ac:dyDescent="0.2">
      <c r="A26" t="s">
        <v>1112</v>
      </c>
      <c r="B26" t="s">
        <v>652</v>
      </c>
      <c r="C26" s="28">
        <v>71.739999999999995</v>
      </c>
      <c r="D26" t="s">
        <v>118</v>
      </c>
      <c r="E26" t="s">
        <v>637</v>
      </c>
      <c r="F26" s="28">
        <f ca="1">apuestas_oct24[[#This Row],[Apuesta Miniporra]]-$B$3</f>
        <v>8.3199999999999932</v>
      </c>
      <c r="G26" s="68">
        <f ca="1">ABS(apuestas_oct24[[#This Row],[desvio]])/$B$3</f>
        <v>0.13118889940081982</v>
      </c>
      <c r="H26" s="4">
        <f ca="1">_xlfn.RANK.EQ(apuestas_oct24[[#This Row],[desvio %]],apuestas_oct24[desvio %],1)</f>
        <v>19</v>
      </c>
      <c r="J26" s="66" t="s">
        <v>1112</v>
      </c>
      <c r="K26" s="10">
        <f ca="1">INDEX(apuestas_oct24[orden],MATCH(resultados_oct[Apuesta MiniPorra],apuestas_oct24[Apuesta Miniporra],0))</f>
        <v>19</v>
      </c>
      <c r="L26" s="6" t="str">
        <f>apuestas_oct24[[#This Row],[Nombre]]</f>
        <v>Carlos Martin</v>
      </c>
      <c r="M26" s="14">
        <f>apuestas_oct24[[#This Row],[Apuesta Miniporra]]</f>
        <v>71.739999999999995</v>
      </c>
      <c r="N26" s="14">
        <f ca="1">INDEX(apuestas_oct24[desvio],MATCH(resultados_oct[[#This Row],[Apuesta MiniPorra]],apuestas_oct24[Apuesta Miniporra],0))</f>
        <v>8.3199999999999932</v>
      </c>
      <c r="O26" s="13">
        <f ca="1">INDEX(apuestas_oct24[desvio %],MATCH(resultados_oct[[#This Row],[Apuesta MiniPorra]],apuestas_oct24[Apuesta Miniporra],0))</f>
        <v>0.13118889940081982</v>
      </c>
      <c r="P26" s="4">
        <v>20</v>
      </c>
      <c r="Q26" s="28">
        <f>IF(ISBLANK(omie!AF24),"",omie!AF24)</f>
        <v>44.66</v>
      </c>
      <c r="T26" s="28"/>
      <c r="U26"/>
    </row>
    <row r="27" spans="1:23" x14ac:dyDescent="0.2">
      <c r="A27" t="s">
        <v>1112</v>
      </c>
      <c r="B27" t="s">
        <v>474</v>
      </c>
      <c r="C27" s="28">
        <v>71.010000000000005</v>
      </c>
      <c r="D27" t="s">
        <v>118</v>
      </c>
      <c r="E27" t="s">
        <v>535</v>
      </c>
      <c r="F27" s="28">
        <f ca="1">apuestas_oct24[[#This Row],[Apuesta Miniporra]]-$B$3</f>
        <v>7.5900000000000034</v>
      </c>
      <c r="G27" s="68">
        <f ca="1">ABS(apuestas_oct24[[#This Row],[desvio]])/$B$3</f>
        <v>0.11967833491012304</v>
      </c>
      <c r="H27" s="4">
        <f ca="1">_xlfn.RANK.EQ(apuestas_oct24[[#This Row],[desvio %]],apuestas_oct24[desvio %],1)</f>
        <v>18</v>
      </c>
      <c r="J27" s="66" t="s">
        <v>1112</v>
      </c>
      <c r="K27" s="10">
        <f ca="1">INDEX(apuestas_oct24[orden],MATCH(resultados_oct[Apuesta MiniPorra],apuestas_oct24[Apuesta Miniporra],0))</f>
        <v>18</v>
      </c>
      <c r="L27" s="6" t="str">
        <f>apuestas_oct24[[#This Row],[Nombre]]</f>
        <v>Javier Colón Cortegoso</v>
      </c>
      <c r="M27" s="14">
        <f>apuestas_oct24[[#This Row],[Apuesta Miniporra]]</f>
        <v>71.010000000000005</v>
      </c>
      <c r="N27" s="14">
        <f ca="1">INDEX(apuestas_oct24[desvio],MATCH(resultados_oct[[#This Row],[Apuesta MiniPorra]],apuestas_oct24[Apuesta Miniporra],0))</f>
        <v>7.5900000000000034</v>
      </c>
      <c r="O27" s="13">
        <f ca="1">INDEX(apuestas_oct24[desvio %],MATCH(resultados_oct[[#This Row],[Apuesta MiniPorra]],apuestas_oct24[Apuesta Miniporra],0))</f>
        <v>0.11967833491012304</v>
      </c>
      <c r="P27" s="4">
        <v>21</v>
      </c>
      <c r="Q27" s="28" t="str">
        <f>IF(ISBLANK(omie!AF26),"",omie!AF26)</f>
        <v/>
      </c>
      <c r="T27" s="28"/>
      <c r="U27"/>
    </row>
    <row r="28" spans="1:23" x14ac:dyDescent="0.2">
      <c r="A28" t="s">
        <v>1112</v>
      </c>
      <c r="B28" t="s">
        <v>414</v>
      </c>
      <c r="C28" s="28">
        <v>70.3</v>
      </c>
      <c r="D28" t="s">
        <v>118</v>
      </c>
      <c r="E28" t="s">
        <v>300</v>
      </c>
      <c r="F28" s="28">
        <f ca="1">apuestas_oct24[[#This Row],[Apuesta Miniporra]]-$B$3</f>
        <v>6.8799999999999955</v>
      </c>
      <c r="G28" s="68">
        <f ca="1">ABS(apuestas_oct24[[#This Row],[desvio]])/$B$3</f>
        <v>0.10848312835067794</v>
      </c>
      <c r="H28" s="4">
        <f ca="1">_xlfn.RANK.EQ(apuestas_oct24[[#This Row],[desvio %]],apuestas_oct24[desvio %],1)</f>
        <v>17</v>
      </c>
      <c r="J28" s="66" t="s">
        <v>1112</v>
      </c>
      <c r="K28" s="10">
        <f ca="1">INDEX(apuestas_oct24[orden],MATCH(resultados_oct[Apuesta MiniPorra],apuestas_oct24[Apuesta Miniporra],0))</f>
        <v>17</v>
      </c>
      <c r="L28" s="6" t="str">
        <f>apuestas_oct24[[#This Row],[Nombre]]</f>
        <v>Laura Gómez López</v>
      </c>
      <c r="M28" s="14">
        <f>apuestas_oct24[[#This Row],[Apuesta Miniporra]]</f>
        <v>70.3</v>
      </c>
      <c r="N28" s="14">
        <f ca="1">INDEX(apuestas_oct24[desvio],MATCH(resultados_oct[[#This Row],[Apuesta MiniPorra]],apuestas_oct24[Apuesta Miniporra],0))</f>
        <v>6.8799999999999955</v>
      </c>
      <c r="O28" s="13">
        <f ca="1">INDEX(apuestas_oct24[desvio %],MATCH(resultados_oct[[#This Row],[Apuesta MiniPorra]],apuestas_oct24[Apuesta Miniporra],0))</f>
        <v>0.10848312835067794</v>
      </c>
      <c r="P28" s="4">
        <v>22</v>
      </c>
      <c r="Q28" s="28" t="str">
        <f>IF(ISBLANK(omie!AF27),"",omie!AF27)</f>
        <v/>
      </c>
      <c r="T28" s="28"/>
      <c r="U28"/>
    </row>
    <row r="29" spans="1:23" x14ac:dyDescent="0.2">
      <c r="A29" t="s">
        <v>1112</v>
      </c>
      <c r="B29" t="s">
        <v>542</v>
      </c>
      <c r="C29" s="28">
        <v>70.069999999999993</v>
      </c>
      <c r="D29" t="s">
        <v>1130</v>
      </c>
      <c r="E29" t="s">
        <v>542</v>
      </c>
      <c r="F29" s="28">
        <f ca="1">apuestas_oct24[[#This Row],[Apuesta Miniporra]]-$B$3</f>
        <v>6.6499999999999915</v>
      </c>
      <c r="G29" s="68">
        <f ca="1">ABS(apuestas_oct24[[#This Row],[desvio]])/$B$3</f>
        <v>0.10485651214128022</v>
      </c>
      <c r="H29" s="4">
        <f ca="1">_xlfn.RANK.EQ(apuestas_oct24[[#This Row],[desvio %]],apuestas_oct24[desvio %],1)</f>
        <v>16</v>
      </c>
      <c r="J29" s="66" t="s">
        <v>1112</v>
      </c>
      <c r="K29" s="10">
        <f ca="1">INDEX(apuestas_oct24[orden],MATCH(resultados_oct[Apuesta MiniPorra],apuestas_oct24[Apuesta Miniporra],0))</f>
        <v>16</v>
      </c>
      <c r="L29" s="6" t="str">
        <f>apuestas_oct24[[#This Row],[Nombre]]</f>
        <v>Sergio Alfonso</v>
      </c>
      <c r="M29" s="14">
        <f>apuestas_oct24[[#This Row],[Apuesta Miniporra]]</f>
        <v>70.069999999999993</v>
      </c>
      <c r="N29" s="14">
        <f ca="1">INDEX(apuestas_oct24[desvio],MATCH(resultados_oct[[#This Row],[Apuesta MiniPorra]],apuestas_oct24[Apuesta Miniporra],0))</f>
        <v>6.6499999999999915</v>
      </c>
      <c r="O29" s="13">
        <f ca="1">INDEX(apuestas_oct24[desvio %],MATCH(resultados_oct[[#This Row],[Apuesta MiniPorra]],apuestas_oct24[Apuesta Miniporra],0))</f>
        <v>0.10485651214128022</v>
      </c>
      <c r="P29" s="4">
        <v>23</v>
      </c>
      <c r="Q29" s="28" t="str">
        <f>IF(ISBLANK(omie!AF28),"",omie!AF28)</f>
        <v/>
      </c>
      <c r="T29" s="28"/>
      <c r="U29"/>
    </row>
    <row r="30" spans="1:23" x14ac:dyDescent="0.2">
      <c r="A30" t="s">
        <v>1112</v>
      </c>
      <c r="B30" t="s">
        <v>406</v>
      </c>
      <c r="C30" s="28">
        <v>70</v>
      </c>
      <c r="D30" t="s">
        <v>118</v>
      </c>
      <c r="E30" t="s">
        <v>471</v>
      </c>
      <c r="F30" s="28">
        <f ca="1">apuestas_oct24[[#This Row],[Apuesta Miniporra]]-$B$3</f>
        <v>6.5799999999999983</v>
      </c>
      <c r="G30" s="68">
        <f ca="1">ABS(apuestas_oct24[[#This Row],[desvio]])/$B$3</f>
        <v>0.10375275938189843</v>
      </c>
      <c r="H30" s="4">
        <f ca="1">_xlfn.RANK.EQ(apuestas_oct24[[#This Row],[desvio %]],apuestas_oct24[desvio %],1)</f>
        <v>15</v>
      </c>
      <c r="J30" s="66" t="s">
        <v>1112</v>
      </c>
      <c r="K30" s="10">
        <f ca="1">INDEX(apuestas_oct24[orden],MATCH(resultados_oct[Apuesta MiniPorra],apuestas_oct24[Apuesta Miniporra],0))</f>
        <v>15</v>
      </c>
      <c r="L30" s="6" t="str">
        <f>apuestas_oct24[[#This Row],[Nombre]]</f>
        <v>Javier Pérez Salazar</v>
      </c>
      <c r="M30" s="14">
        <f>apuestas_oct24[[#This Row],[Apuesta Miniporra]]</f>
        <v>70</v>
      </c>
      <c r="N30" s="14">
        <f ca="1">INDEX(apuestas_oct24[desvio],MATCH(resultados_oct[[#This Row],[Apuesta MiniPorra]],apuestas_oct24[Apuesta Miniporra],0))</f>
        <v>6.5799999999999983</v>
      </c>
      <c r="O30" s="13">
        <f ca="1">INDEX(apuestas_oct24[desvio %],MATCH(resultados_oct[[#This Row],[Apuesta MiniPorra]],apuestas_oct24[Apuesta Miniporra],0))</f>
        <v>0.10375275938189843</v>
      </c>
      <c r="P30" s="4">
        <v>24</v>
      </c>
      <c r="Q30" s="28" t="str">
        <f>IF(ISBLANK(omie!AF29),"",omie!AF29)</f>
        <v/>
      </c>
      <c r="T30" s="28"/>
      <c r="U30"/>
    </row>
    <row r="31" spans="1:23" x14ac:dyDescent="0.2">
      <c r="A31" t="s">
        <v>1112</v>
      </c>
      <c r="B31" t="s">
        <v>217</v>
      </c>
      <c r="C31" s="28">
        <v>69.959999999999994</v>
      </c>
      <c r="D31" t="s">
        <v>118</v>
      </c>
      <c r="E31" t="s">
        <v>123</v>
      </c>
      <c r="F31" s="28">
        <f ca="1">apuestas_oct24[[#This Row],[Apuesta Miniporra]]-$B$3</f>
        <v>6.539999999999992</v>
      </c>
      <c r="G31" s="68">
        <f ca="1">ABS(apuestas_oct24[[#This Row],[desvio]])/$B$3</f>
        <v>0.10312204351939439</v>
      </c>
      <c r="H31" s="4">
        <f ca="1">_xlfn.RANK.EQ(apuestas_oct24[[#This Row],[desvio %]],apuestas_oct24[desvio %],1)</f>
        <v>14</v>
      </c>
      <c r="J31" s="66" t="s">
        <v>1112</v>
      </c>
      <c r="K31" s="10">
        <f ca="1">INDEX(apuestas_oct24[orden],MATCH(resultados_oct[Apuesta MiniPorra],apuestas_oct24[Apuesta Miniporra],0))</f>
        <v>14</v>
      </c>
      <c r="L31" s="6" t="str">
        <f>apuestas_oct24[[#This Row],[Nombre]]</f>
        <v>Fernando Sánchez-Rey Maeso</v>
      </c>
      <c r="M31" s="14">
        <f>apuestas_oct24[[#This Row],[Apuesta Miniporra]]</f>
        <v>69.959999999999994</v>
      </c>
      <c r="N31" s="14">
        <f ca="1">INDEX(apuestas_oct24[desvio],MATCH(resultados_oct[[#This Row],[Apuesta MiniPorra]],apuestas_oct24[Apuesta Miniporra],0))</f>
        <v>6.539999999999992</v>
      </c>
      <c r="O31" s="13">
        <f ca="1">INDEX(apuestas_oct24[desvio %],MATCH(resultados_oct[[#This Row],[Apuesta MiniPorra]],apuestas_oct24[Apuesta Miniporra],0))</f>
        <v>0.10312204351939439</v>
      </c>
      <c r="P31" s="4">
        <v>25</v>
      </c>
      <c r="Q31" s="28" t="str">
        <f>IF(ISBLANK(omie!AF30),"",omie!AF30)</f>
        <v/>
      </c>
      <c r="T31" s="28"/>
      <c r="U31"/>
    </row>
    <row r="32" spans="1:23" x14ac:dyDescent="0.2">
      <c r="A32" t="s">
        <v>1112</v>
      </c>
      <c r="B32" t="s">
        <v>785</v>
      </c>
      <c r="C32" s="28">
        <v>69.36</v>
      </c>
      <c r="D32" t="s">
        <v>118</v>
      </c>
      <c r="E32" t="s">
        <v>733</v>
      </c>
      <c r="F32" s="28">
        <f ca="1">apuestas_oct24[[#This Row],[Apuesta Miniporra]]-$B$3</f>
        <v>5.9399999999999977</v>
      </c>
      <c r="G32" s="68">
        <f ca="1">ABS(apuestas_oct24[[#This Row],[desvio]])/$B$3</f>
        <v>9.3661305581835344E-2</v>
      </c>
      <c r="H32" s="4">
        <f ca="1">_xlfn.RANK.EQ(apuestas_oct24[[#This Row],[desvio %]],apuestas_oct24[desvio %],1)</f>
        <v>13</v>
      </c>
      <c r="J32" s="66" t="s">
        <v>1112</v>
      </c>
      <c r="K32" s="10">
        <f ca="1">INDEX(apuestas_oct24[orden],MATCH(resultados_oct[Apuesta MiniPorra],apuestas_oct24[Apuesta Miniporra],0))</f>
        <v>13</v>
      </c>
      <c r="L32" s="6" t="str">
        <f>apuestas_oct24[[#This Row],[Nombre]]</f>
        <v>Víctor Baeschlin Sánchez</v>
      </c>
      <c r="M32" s="14">
        <f>apuestas_oct24[[#This Row],[Apuesta Miniporra]]</f>
        <v>69.36</v>
      </c>
      <c r="N32" s="14">
        <f ca="1">INDEX(apuestas_oct24[desvio],MATCH(resultados_oct[[#This Row],[Apuesta MiniPorra]],apuestas_oct24[Apuesta Miniporra],0))</f>
        <v>5.9399999999999977</v>
      </c>
      <c r="O32" s="13">
        <f ca="1">INDEX(apuestas_oct24[desvio %],MATCH(resultados_oct[[#This Row],[Apuesta MiniPorra]],apuestas_oct24[Apuesta Miniporra],0))</f>
        <v>9.3661305581835344E-2</v>
      </c>
      <c r="P32" s="4">
        <v>26</v>
      </c>
      <c r="Q32" s="28" t="str">
        <f>IF(ISBLANK(omie!AF31),"",omie!AF31)</f>
        <v/>
      </c>
      <c r="T32" s="28"/>
      <c r="U32"/>
    </row>
    <row r="33" spans="1:21" x14ac:dyDescent="0.2">
      <c r="A33" t="s">
        <v>1112</v>
      </c>
      <c r="B33" t="s">
        <v>409</v>
      </c>
      <c r="C33" s="28">
        <v>69.08</v>
      </c>
      <c r="D33" t="s">
        <v>1132</v>
      </c>
      <c r="E33" t="s">
        <v>462</v>
      </c>
      <c r="F33" s="28">
        <f ca="1">apuestas_oct24[[#This Row],[Apuesta Miniporra]]-$B$3</f>
        <v>5.6599999999999966</v>
      </c>
      <c r="G33" s="68">
        <f ca="1">ABS(apuestas_oct24[[#This Row],[desvio]])/$B$3</f>
        <v>8.9246294544307728E-2</v>
      </c>
      <c r="H33" s="4">
        <f ca="1">_xlfn.RANK.EQ(apuestas_oct24[[#This Row],[desvio %]],apuestas_oct24[desvio %],1)</f>
        <v>12</v>
      </c>
      <c r="J33" s="66" t="s">
        <v>1112</v>
      </c>
      <c r="K33" s="10">
        <f ca="1">INDEX(apuestas_oct24[orden],MATCH(resultados_oct[Apuesta MiniPorra],apuestas_oct24[Apuesta Miniporra],0))</f>
        <v>12</v>
      </c>
      <c r="L33" s="6" t="str">
        <f>apuestas_oct24[[#This Row],[Nombre]]</f>
        <v>Gladys Rocha Blanco</v>
      </c>
      <c r="M33" s="14">
        <f>apuestas_oct24[[#This Row],[Apuesta Miniporra]]</f>
        <v>69.08</v>
      </c>
      <c r="N33" s="14">
        <f ca="1">INDEX(apuestas_oct24[desvio],MATCH(resultados_oct[[#This Row],[Apuesta MiniPorra]],apuestas_oct24[Apuesta Miniporra],0))</f>
        <v>5.6599999999999966</v>
      </c>
      <c r="O33" s="13">
        <f ca="1">INDEX(apuestas_oct24[desvio %],MATCH(resultados_oct[[#This Row],[Apuesta MiniPorra]],apuestas_oct24[Apuesta Miniporra],0))</f>
        <v>8.9246294544307728E-2</v>
      </c>
      <c r="P33" s="4">
        <v>27</v>
      </c>
      <c r="Q33" s="28" t="str">
        <f>IF(ISBLANK(omie!AF32),"",omie!AF32)</f>
        <v/>
      </c>
      <c r="T33" s="28"/>
      <c r="U33"/>
    </row>
    <row r="34" spans="1:21" x14ac:dyDescent="0.2">
      <c r="A34" t="s">
        <v>1112</v>
      </c>
      <c r="B34" t="s">
        <v>328</v>
      </c>
      <c r="C34" s="28">
        <v>69.03</v>
      </c>
      <c r="D34" t="s">
        <v>118</v>
      </c>
      <c r="E34" t="s">
        <v>328</v>
      </c>
      <c r="F34" s="28">
        <f ca="1">apuestas_oct24[[#This Row],[Apuesta Miniporra]]-$B$3</f>
        <v>5.6099999999999994</v>
      </c>
      <c r="G34" s="68">
        <f ca="1">ABS(apuestas_oct24[[#This Row],[desvio]])/$B$3</f>
        <v>8.8457899716177846E-2</v>
      </c>
      <c r="H34" s="4">
        <f ca="1">_xlfn.RANK.EQ(apuestas_oct24[[#This Row],[desvio %]],apuestas_oct24[desvio %],1)</f>
        <v>11</v>
      </c>
      <c r="J34" s="66" t="s">
        <v>1112</v>
      </c>
      <c r="K34" s="10">
        <f ca="1">INDEX(apuestas_oct24[orden],MATCH(resultados_oct[Apuesta MiniPorra],apuestas_oct24[Apuesta Miniporra],0))</f>
        <v>11</v>
      </c>
      <c r="L34" s="6" t="str">
        <f>apuestas_oct24[[#This Row],[Nombre]]</f>
        <v>Aitor Folch</v>
      </c>
      <c r="M34" s="14">
        <f>apuestas_oct24[[#This Row],[Apuesta Miniporra]]</f>
        <v>69.03</v>
      </c>
      <c r="N34" s="14">
        <f ca="1">INDEX(apuestas_oct24[desvio],MATCH(resultados_oct[[#This Row],[Apuesta MiniPorra]],apuestas_oct24[Apuesta Miniporra],0))</f>
        <v>5.6099999999999994</v>
      </c>
      <c r="O34" s="13">
        <f ca="1">INDEX(apuestas_oct24[desvio %],MATCH(resultados_oct[[#This Row],[Apuesta MiniPorra]],apuestas_oct24[Apuesta Miniporra],0))</f>
        <v>8.8457899716177846E-2</v>
      </c>
      <c r="P34" s="4">
        <v>28</v>
      </c>
      <c r="Q34" s="28" t="str">
        <f>IF(ISBLANK(omie!AF33),"",omie!AF33)</f>
        <v/>
      </c>
      <c r="T34" s="28"/>
      <c r="U34"/>
    </row>
    <row r="35" spans="1:21" x14ac:dyDescent="0.2">
      <c r="A35" t="s">
        <v>1112</v>
      </c>
      <c r="B35" t="s">
        <v>413</v>
      </c>
      <c r="C35" s="28">
        <v>68.680000000000007</v>
      </c>
      <c r="D35" t="s">
        <v>118</v>
      </c>
      <c r="E35" t="s">
        <v>317</v>
      </c>
      <c r="F35" s="28">
        <f ca="1">apuestas_oct24[[#This Row],[Apuesta Miniporra]]-$B$3</f>
        <v>5.2600000000000051</v>
      </c>
      <c r="G35" s="68">
        <f ca="1">ABS(apuestas_oct24[[#This Row],[desvio]])/$B$3</f>
        <v>8.293913591926845E-2</v>
      </c>
      <c r="H35" s="4">
        <f ca="1">_xlfn.RANK.EQ(apuestas_oct24[[#This Row],[desvio %]],apuestas_oct24[desvio %],1)</f>
        <v>10</v>
      </c>
      <c r="J35" s="66" t="s">
        <v>1112</v>
      </c>
      <c r="K35" s="10">
        <f ca="1">INDEX(apuestas_oct24[orden],MATCH(resultados_oct[Apuesta MiniPorra],apuestas_oct24[Apuesta Miniporra],0))</f>
        <v>10</v>
      </c>
      <c r="L35" s="6" t="str">
        <f>apuestas_oct24[[#This Row],[Nombre]]</f>
        <v>Beatriz Muñoz Rioboo</v>
      </c>
      <c r="M35" s="14">
        <f>apuestas_oct24[[#This Row],[Apuesta Miniporra]]</f>
        <v>68.680000000000007</v>
      </c>
      <c r="N35" s="14">
        <f ca="1">INDEX(apuestas_oct24[desvio],MATCH(resultados_oct[[#This Row],[Apuesta MiniPorra]],apuestas_oct24[Apuesta Miniporra],0))</f>
        <v>5.2600000000000051</v>
      </c>
      <c r="O35" s="13">
        <f ca="1">INDEX(apuestas_oct24[desvio %],MATCH(resultados_oct[[#This Row],[Apuesta MiniPorra]],apuestas_oct24[Apuesta Miniporra],0))</f>
        <v>8.293913591926845E-2</v>
      </c>
      <c r="P35" s="4">
        <v>29</v>
      </c>
      <c r="Q35" s="28" t="str">
        <f>IF(ISBLANK(omie!AF34),"",omie!AF34)</f>
        <v/>
      </c>
      <c r="T35" s="28"/>
      <c r="U35"/>
    </row>
    <row r="36" spans="1:21" x14ac:dyDescent="0.2">
      <c r="A36" t="s">
        <v>1112</v>
      </c>
      <c r="B36" t="s">
        <v>222</v>
      </c>
      <c r="C36" s="28">
        <v>68.08</v>
      </c>
      <c r="D36" t="s">
        <v>1133</v>
      </c>
      <c r="E36" t="s">
        <v>178</v>
      </c>
      <c r="F36" s="28">
        <f ca="1">apuestas_oct24[[#This Row],[Apuesta Miniporra]]-$B$3</f>
        <v>4.6599999999999966</v>
      </c>
      <c r="G36" s="68">
        <f ca="1">ABS(apuestas_oct24[[#This Row],[desvio]])/$B$3</f>
        <v>7.3478397981709187E-2</v>
      </c>
      <c r="H36" s="4">
        <f ca="1">_xlfn.RANK.EQ(apuestas_oct24[[#This Row],[desvio %]],apuestas_oct24[desvio %],1)</f>
        <v>9</v>
      </c>
      <c r="J36" s="66" t="s">
        <v>1112</v>
      </c>
      <c r="K36" s="4">
        <f ca="1">INDEX(apuestas_oct24[orden],MATCH(resultados_oct[Apuesta MiniPorra],apuestas_oct24[Apuesta Miniporra],0))</f>
        <v>9</v>
      </c>
      <c r="L36" s="63" t="str">
        <f>apuestas_oct24[[#This Row],[Nombre]]</f>
        <v>Jose F Vidal</v>
      </c>
      <c r="M36" s="28">
        <f>apuestas_oct24[[#This Row],[Apuesta Miniporra]]</f>
        <v>68.08</v>
      </c>
      <c r="N36" s="4">
        <f ca="1">INDEX(apuestas_oct24[desvio],MATCH(resultados_oct[[#This Row],[Apuesta MiniPorra]],apuestas_oct24[Apuesta Miniporra],0))</f>
        <v>4.6599999999999966</v>
      </c>
      <c r="O36" s="13">
        <f ca="1">INDEX(apuestas_oct24[desvio %],MATCH(resultados_oct[[#This Row],[Apuesta MiniPorra]],apuestas_oct24[Apuesta Miniporra],0))</f>
        <v>7.3478397981709187E-2</v>
      </c>
      <c r="P36" s="4">
        <v>30</v>
      </c>
      <c r="Q36" s="28" t="str">
        <f>IF(ISBLANK(omie!AF35),"",omie!AF35)</f>
        <v/>
      </c>
      <c r="T36"/>
      <c r="U36"/>
    </row>
    <row r="37" spans="1:21" x14ac:dyDescent="0.2">
      <c r="A37" t="s">
        <v>1112</v>
      </c>
      <c r="B37" t="s">
        <v>221</v>
      </c>
      <c r="C37" s="28">
        <v>67.849999999999994</v>
      </c>
      <c r="D37" t="s">
        <v>118</v>
      </c>
      <c r="E37" t="s">
        <v>124</v>
      </c>
      <c r="F37" s="28">
        <f ca="1">apuestas_oct24[[#This Row],[Apuesta Miniporra]]-$B$3</f>
        <v>4.4299999999999926</v>
      </c>
      <c r="G37" s="68">
        <f ca="1">ABS(apuestas_oct24[[#This Row],[desvio]])/$B$3</f>
        <v>6.9851781772311453E-2</v>
      </c>
      <c r="H37" s="4">
        <f ca="1">_xlfn.RANK.EQ(apuestas_oct24[[#This Row],[desvio %]],apuestas_oct24[desvio %],1)</f>
        <v>8</v>
      </c>
      <c r="J37" s="66" t="s">
        <v>1112</v>
      </c>
      <c r="K37" s="4">
        <f ca="1">INDEX(apuestas_oct24[orden],MATCH(resultados_oct[Apuesta MiniPorra],apuestas_oct24[Apuesta Miniporra],0))</f>
        <v>8</v>
      </c>
      <c r="L37" s="63" t="str">
        <f>apuestas_oct24[[#This Row],[Nombre]]</f>
        <v>Alfonso Lezcano</v>
      </c>
      <c r="M37" s="28">
        <f>apuestas_oct24[[#This Row],[Apuesta Miniporra]]</f>
        <v>67.849999999999994</v>
      </c>
      <c r="N37" s="4">
        <f ca="1">INDEX(apuestas_oct24[desvio],MATCH(resultados_oct[[#This Row],[Apuesta MiniPorra]],apuestas_oct24[Apuesta Miniporra],0))</f>
        <v>4.4299999999999926</v>
      </c>
      <c r="O37" s="13">
        <f ca="1">INDEX(apuestas_oct24[desvio %],MATCH(resultados_oct[[#This Row],[Apuesta MiniPorra]],apuestas_oct24[Apuesta Miniporra],0))</f>
        <v>6.9851781772311453E-2</v>
      </c>
      <c r="P37" s="4">
        <v>31</v>
      </c>
      <c r="Q37" s="98" t="str">
        <f>IF(ISBLANK(omie!AF36),"",omie!AF36)</f>
        <v/>
      </c>
      <c r="T37"/>
      <c r="U37"/>
    </row>
    <row r="38" spans="1:21" x14ac:dyDescent="0.2">
      <c r="A38" t="s">
        <v>1112</v>
      </c>
      <c r="B38" t="s">
        <v>363</v>
      </c>
      <c r="C38" s="28">
        <v>66.400000000000006</v>
      </c>
      <c r="D38" t="s">
        <v>118</v>
      </c>
      <c r="E38" t="s">
        <v>76</v>
      </c>
      <c r="F38" s="28">
        <f ca="1">apuestas_oct24[[#This Row],[Apuesta Miniporra]]-$B$3</f>
        <v>2.980000000000004</v>
      </c>
      <c r="G38" s="68">
        <f ca="1">ABS(apuestas_oct24[[#This Row],[desvio]])/$B$3</f>
        <v>4.6988331756543739E-2</v>
      </c>
      <c r="H38" s="4">
        <f ca="1">_xlfn.RANK.EQ(apuestas_oct24[[#This Row],[desvio %]],apuestas_oct24[desvio %],1)</f>
        <v>5</v>
      </c>
      <c r="J38" s="66" t="s">
        <v>1112</v>
      </c>
      <c r="K38" s="4">
        <f ca="1">INDEX(apuestas_oct24[orden],MATCH(resultados_oct[Apuesta MiniPorra],apuestas_oct24[Apuesta Miniporra],0))</f>
        <v>5</v>
      </c>
      <c r="L38" s="63" t="str">
        <f>apuestas_oct24[[#This Row],[Nombre]]</f>
        <v>Roque Alonso Alonso</v>
      </c>
      <c r="M38" s="28">
        <f>apuestas_oct24[[#This Row],[Apuesta Miniporra]]</f>
        <v>66.400000000000006</v>
      </c>
      <c r="N38" s="4">
        <f ca="1">INDEX(apuestas_oct24[desvio],MATCH(resultados_oct[[#This Row],[Apuesta MiniPorra]],apuestas_oct24[Apuesta Miniporra],0))</f>
        <v>2.980000000000004</v>
      </c>
      <c r="O38" s="13">
        <f ca="1">INDEX(apuestas_oct24[desvio %],MATCH(resultados_oct[[#This Row],[Apuesta MiniPorra]],apuestas_oct24[Apuesta Miniporra],0))</f>
        <v>4.6988331756543739E-2</v>
      </c>
      <c r="Q38" s="78"/>
      <c r="U38" s="42"/>
    </row>
    <row r="39" spans="1:21" x14ac:dyDescent="0.2">
      <c r="A39" t="s">
        <v>1112</v>
      </c>
      <c r="B39" t="s">
        <v>1103</v>
      </c>
      <c r="C39" s="28">
        <v>66.25</v>
      </c>
      <c r="D39" t="s">
        <v>118</v>
      </c>
      <c r="E39" t="s">
        <v>1103</v>
      </c>
      <c r="F39" s="28">
        <f ca="1">apuestas_oct24[[#This Row],[Apuesta Miniporra]]-$B$3</f>
        <v>2.8299999999999983</v>
      </c>
      <c r="G39" s="68">
        <f ca="1">ABS(apuestas_oct24[[#This Row],[desvio]])/$B$3</f>
        <v>4.4623147272153864E-2</v>
      </c>
      <c r="H39" s="4">
        <f ca="1">_xlfn.RANK.EQ(apuestas_oct24[[#This Row],[desvio %]],apuestas_oct24[desvio %],1)</f>
        <v>4</v>
      </c>
      <c r="J39" s="66" t="s">
        <v>1112</v>
      </c>
      <c r="K39" s="4">
        <f ca="1">INDEX(apuestas_oct24[orden],MATCH(resultados_oct[Apuesta MiniPorra],apuestas_oct24[Apuesta Miniporra],0))</f>
        <v>4</v>
      </c>
      <c r="L39" s="63" t="str">
        <f>apuestas_oct24[[#This Row],[Nombre]]</f>
        <v>Josep Vidal</v>
      </c>
      <c r="M39" s="28">
        <f>apuestas_oct24[[#This Row],[Apuesta Miniporra]]</f>
        <v>66.25</v>
      </c>
      <c r="N39" s="4">
        <f ca="1">INDEX(apuestas_oct24[desvio],MATCH(resultados_oct[[#This Row],[Apuesta MiniPorra]],apuestas_oct24[Apuesta Miniporra],0))</f>
        <v>2.8299999999999983</v>
      </c>
      <c r="O39" s="13">
        <f ca="1">INDEX(apuestas_oct24[desvio %],MATCH(resultados_oct[[#This Row],[Apuesta MiniPorra]],apuestas_oct24[Apuesta Miniporra],0))</f>
        <v>4.4623147272153864E-2</v>
      </c>
      <c r="P39" s="78"/>
      <c r="Q39" s="78"/>
      <c r="U39" s="42"/>
    </row>
    <row r="40" spans="1:21" x14ac:dyDescent="0.2">
      <c r="A40" t="s">
        <v>1112</v>
      </c>
      <c r="B40" t="s">
        <v>1106</v>
      </c>
      <c r="C40" s="28">
        <v>65.36</v>
      </c>
      <c r="D40" t="s">
        <v>1134</v>
      </c>
      <c r="E40" t="s">
        <v>1087</v>
      </c>
      <c r="F40" s="28">
        <f ca="1">apuestas_oct24[[#This Row],[Apuesta Miniporra]]-$B$3</f>
        <v>1.9399999999999977</v>
      </c>
      <c r="G40" s="68">
        <f ca="1">ABS(apuestas_oct24[[#This Row],[desvio]])/$B$3</f>
        <v>3.058971933144115E-2</v>
      </c>
      <c r="H40" s="4">
        <f ca="1">_xlfn.RANK.EQ(apuestas_oct24[[#This Row],[desvio %]],apuestas_oct24[desvio %],1)</f>
        <v>3</v>
      </c>
      <c r="J40" s="66" t="s">
        <v>1112</v>
      </c>
      <c r="K40" s="4">
        <f ca="1">INDEX(apuestas_oct24[orden],MATCH(resultados_oct[Apuesta MiniPorra],apuestas_oct24[Apuesta Miniporra],0))</f>
        <v>3</v>
      </c>
      <c r="L40" s="63" t="str">
        <f>apuestas_oct24[[#This Row],[Nombre]]</f>
        <v>Ruben Sanjuan Escribano</v>
      </c>
      <c r="M40" s="28">
        <f>apuestas_oct24[[#This Row],[Apuesta Miniporra]]</f>
        <v>65.36</v>
      </c>
      <c r="N40" s="4">
        <f ca="1">INDEX(apuestas_oct24[desvio],MATCH(resultados_oct[[#This Row],[Apuesta MiniPorra]],apuestas_oct24[Apuesta Miniporra],0))</f>
        <v>1.9399999999999977</v>
      </c>
      <c r="O40" s="13">
        <f ca="1">INDEX(apuestas_oct24[desvio %],MATCH(resultados_oct[[#This Row],[Apuesta MiniPorra]],apuestas_oct24[Apuesta Miniporra],0))</f>
        <v>3.058971933144115E-2</v>
      </c>
      <c r="P40" s="78"/>
      <c r="Q40" s="78"/>
      <c r="U40" s="42"/>
    </row>
    <row r="41" spans="1:21" x14ac:dyDescent="0.2">
      <c r="A41" t="s">
        <v>1112</v>
      </c>
      <c r="B41" t="s">
        <v>1028</v>
      </c>
      <c r="C41" s="28">
        <v>65.23</v>
      </c>
      <c r="D41" t="s">
        <v>770</v>
      </c>
      <c r="E41" t="s">
        <v>1098</v>
      </c>
      <c r="F41" s="28">
        <f ca="1">apuestas_oct24[[#This Row],[Apuesta Miniporra]]-$B$3</f>
        <v>1.8100000000000023</v>
      </c>
      <c r="G41" s="68">
        <f ca="1">ABS(apuestas_oct24[[#This Row],[desvio]])/$B$3</f>
        <v>2.8539892778303409E-2</v>
      </c>
      <c r="H41" s="4">
        <f ca="1">_xlfn.RANK.EQ(apuestas_oct24[[#This Row],[desvio %]],apuestas_oct24[desvio %],1)</f>
        <v>2</v>
      </c>
      <c r="J41" s="66" t="s">
        <v>1112</v>
      </c>
      <c r="K41" s="4">
        <f ca="1">INDEX(apuestas_oct24[orden],MATCH(resultados_oct[Apuesta MiniPorra],apuestas_oct24[Apuesta Miniporra],0))</f>
        <v>2</v>
      </c>
      <c r="L41" s="63" t="str">
        <f>apuestas_oct24[[#This Row],[Nombre]]</f>
        <v>Ricardo Estévez Solís</v>
      </c>
      <c r="M41" s="28">
        <f>apuestas_oct24[[#This Row],[Apuesta Miniporra]]</f>
        <v>65.23</v>
      </c>
      <c r="N41" s="4">
        <f ca="1">INDEX(apuestas_oct24[desvio],MATCH(resultados_oct[[#This Row],[Apuesta MiniPorra]],apuestas_oct24[Apuesta Miniporra],0))</f>
        <v>1.8100000000000023</v>
      </c>
      <c r="O41" s="13">
        <f ca="1">INDEX(apuestas_oct24[desvio %],MATCH(resultados_oct[[#This Row],[Apuesta MiniPorra]],apuestas_oct24[Apuesta Miniporra],0))</f>
        <v>2.8539892778303409E-2</v>
      </c>
      <c r="P41" s="78"/>
      <c r="Q41" s="78"/>
      <c r="U41" s="42"/>
    </row>
    <row r="42" spans="1:21" x14ac:dyDescent="0.2">
      <c r="A42" t="s">
        <v>1112</v>
      </c>
      <c r="B42" t="s">
        <v>1135</v>
      </c>
      <c r="C42" s="28">
        <v>62.4</v>
      </c>
      <c r="D42" t="s">
        <v>118</v>
      </c>
      <c r="E42" t="s">
        <v>1136</v>
      </c>
      <c r="F42" s="28">
        <f ca="1">apuestas_oct24[[#This Row],[Apuesta Miniporra]]-$B$3</f>
        <v>-1.0200000000000031</v>
      </c>
      <c r="G42" s="68">
        <f ca="1">ABS(apuestas_oct24[[#This Row],[desvio]])/$B$3</f>
        <v>1.608325449385057E-2</v>
      </c>
      <c r="H42" s="4">
        <f ca="1">_xlfn.RANK.EQ(apuestas_oct24[[#This Row],[desvio %]],apuestas_oct24[desvio %],1)</f>
        <v>1</v>
      </c>
      <c r="J42" s="66" t="s">
        <v>1112</v>
      </c>
      <c r="K42" s="4">
        <f ca="1">INDEX(apuestas_oct24[orden],MATCH(resultados_oct[Apuesta MiniPorra],apuestas_oct24[Apuesta Miniporra],0))</f>
        <v>1</v>
      </c>
      <c r="L42" t="str">
        <f>apuestas_oct24[[#This Row],[Nombre]]</f>
        <v>Diego Montesino</v>
      </c>
      <c r="M42" s="28">
        <f>apuestas_oct24[[#This Row],[Apuesta Miniporra]]</f>
        <v>62.4</v>
      </c>
      <c r="N42" s="4">
        <f ca="1">INDEX(apuestas_oct24[desvio],MATCH(resultados_oct[[#This Row],[Apuesta MiniPorra]],apuestas_oct24[Apuesta Miniporra],0))</f>
        <v>-1.0200000000000031</v>
      </c>
      <c r="O42" s="13">
        <f ca="1">INDEX(apuestas_oct24[desvio %],MATCH(resultados_oct[[#This Row],[Apuesta MiniPorra]],apuestas_oct24[Apuesta Miniporra],0))</f>
        <v>1.608325449385057E-2</v>
      </c>
      <c r="P42" s="78"/>
      <c r="Q42" s="78"/>
      <c r="U42" s="42"/>
    </row>
    <row r="43" spans="1:21" x14ac:dyDescent="0.2">
      <c r="A43" t="s">
        <v>1112</v>
      </c>
      <c r="B43" t="s">
        <v>9</v>
      </c>
      <c r="C43" s="28">
        <v>60</v>
      </c>
      <c r="D43" t="s">
        <v>118</v>
      </c>
      <c r="E43" t="s">
        <v>124</v>
      </c>
      <c r="F43" s="28">
        <f ca="1">apuestas_oct24[[#This Row],[Apuesta Miniporra]]-$B$3</f>
        <v>-3.4200000000000017</v>
      </c>
      <c r="G43" s="68">
        <f ca="1">ABS(apuestas_oct24[[#This Row],[desvio]])/$B$3</f>
        <v>5.3926206244087067E-2</v>
      </c>
      <c r="H43" s="4">
        <f ca="1">_xlfn.RANK.EQ(apuestas_oct24[[#This Row],[desvio %]],apuestas_oct24[desvio %],1)</f>
        <v>6</v>
      </c>
      <c r="J43" s="66" t="s">
        <v>1112</v>
      </c>
      <c r="K43" s="4">
        <f ca="1">INDEX(apuestas_oct24[orden],MATCH(resultados_oct[Apuesta MiniPorra],apuestas_oct24[Apuesta Miniporra],0))</f>
        <v>6</v>
      </c>
      <c r="L43" t="str">
        <f>apuestas_oct24[[#This Row],[Nombre]]</f>
        <v>Alfonso Zárate Conde</v>
      </c>
      <c r="M43" s="28">
        <f>apuestas_oct24[[#This Row],[Apuesta Miniporra]]</f>
        <v>60</v>
      </c>
      <c r="N43" s="4">
        <f ca="1">INDEX(apuestas_oct24[desvio],MATCH(resultados_oct[[#This Row],[Apuesta MiniPorra]],apuestas_oct24[Apuesta Miniporra],0))</f>
        <v>-3.4200000000000017</v>
      </c>
      <c r="O43" s="13">
        <f ca="1">INDEX(apuestas_oct24[desvio %],MATCH(resultados_oct[[#This Row],[Apuesta MiniPorra]],apuestas_oct24[Apuesta Miniporra],0))</f>
        <v>5.3926206244087067E-2</v>
      </c>
      <c r="P43" s="78"/>
      <c r="Q43" s="78"/>
      <c r="U43" s="42"/>
    </row>
    <row r="44" spans="1:21" x14ac:dyDescent="0.2">
      <c r="A44" t="s">
        <v>1112</v>
      </c>
      <c r="B44" t="s">
        <v>215</v>
      </c>
      <c r="C44" s="28">
        <v>59.8</v>
      </c>
      <c r="D44" t="s">
        <v>118</v>
      </c>
      <c r="E44" t="s">
        <v>993</v>
      </c>
      <c r="F44" s="28">
        <f ca="1">apuestas_oct24[[#This Row],[Apuesta Miniporra]]-$B$3</f>
        <v>-3.6200000000000045</v>
      </c>
      <c r="G44" s="68">
        <f ca="1">ABS(apuestas_oct24[[#This Row],[desvio]])/$B$3</f>
        <v>5.7079785556606817E-2</v>
      </c>
      <c r="H44" s="4">
        <f ca="1">_xlfn.RANK.EQ(apuestas_oct24[[#This Row],[desvio %]],apuestas_oct24[desvio %],1)</f>
        <v>7</v>
      </c>
      <c r="J44" s="66" t="s">
        <v>1112</v>
      </c>
      <c r="K44" s="4">
        <f ca="1">INDEX(apuestas_oct24[orden],MATCH(resultados_oct[Apuesta MiniPorra],apuestas_oct24[Apuesta Miniporra],0))</f>
        <v>7</v>
      </c>
      <c r="L44" t="str">
        <f>apuestas_oct24[[#This Row],[Nombre]]</f>
        <v>Carles Estruch Puig</v>
      </c>
      <c r="M44" s="28">
        <f>apuestas_oct24[[#This Row],[Apuesta Miniporra]]</f>
        <v>59.8</v>
      </c>
      <c r="N44" s="4">
        <f ca="1">INDEX(apuestas_oct24[desvio],MATCH(resultados_oct[[#This Row],[Apuesta MiniPorra]],apuestas_oct24[Apuesta Miniporra],0))</f>
        <v>-3.6200000000000045</v>
      </c>
      <c r="O44" s="13">
        <f ca="1">INDEX(apuestas_oct24[desvio %],MATCH(resultados_oct[[#This Row],[Apuesta MiniPorra]],apuestas_oct24[Apuesta Miniporra],0))</f>
        <v>5.7079785556606817E-2</v>
      </c>
      <c r="P44" s="78"/>
      <c r="Q44" s="78"/>
      <c r="U44" s="42"/>
    </row>
    <row r="45" spans="1:21" x14ac:dyDescent="0.2">
      <c r="A45" t="s">
        <v>1112</v>
      </c>
      <c r="B45" t="s">
        <v>1026</v>
      </c>
      <c r="C45" s="28">
        <v>44.62</v>
      </c>
      <c r="D45" t="s">
        <v>118</v>
      </c>
      <c r="E45" t="s">
        <v>973</v>
      </c>
      <c r="F45" s="28">
        <f ca="1">apuestas_oct24[[#This Row],[Apuesta Miniporra]]-$B$3</f>
        <v>-18.800000000000004</v>
      </c>
      <c r="G45" s="68">
        <f ca="1">ABS(apuestas_oct24[[#This Row],[desvio]])/$B$3</f>
        <v>0.29643645537685281</v>
      </c>
      <c r="H45" s="4">
        <f ca="1">_xlfn.RANK.EQ(apuestas_oct24[[#This Row],[desvio %]],apuestas_oct24[desvio %],1)</f>
        <v>32</v>
      </c>
      <c r="J45" s="66" t="s">
        <v>1112</v>
      </c>
      <c r="K45" s="4">
        <f ca="1">INDEX(apuestas_oct24[orden],MATCH(resultados_oct[Apuesta MiniPorra],apuestas_oct24[Apuesta Miniporra],0))</f>
        <v>32</v>
      </c>
      <c r="L45" t="str">
        <f>apuestas_oct24[[#This Row],[Nombre]]</f>
        <v>Pablo Herrero Del Barrio</v>
      </c>
      <c r="M45" s="28">
        <f>apuestas_oct24[[#This Row],[Apuesta Miniporra]]</f>
        <v>44.62</v>
      </c>
      <c r="N45" s="4">
        <f ca="1">INDEX(apuestas_oct24[desvio],MATCH(resultados_oct[[#This Row],[Apuesta MiniPorra]],apuestas_oct24[Apuesta Miniporra],0))</f>
        <v>-18.800000000000004</v>
      </c>
      <c r="O45" s="13">
        <f ca="1">INDEX(apuestas_oct24[desvio %],MATCH(resultados_oct[[#This Row],[Apuesta MiniPorra]],apuestas_oct24[Apuesta Miniporra],0))</f>
        <v>0.29643645537685281</v>
      </c>
      <c r="P45" s="78"/>
      <c r="Q45" s="78"/>
      <c r="U45" s="42"/>
    </row>
    <row r="46" spans="1:21" x14ac:dyDescent="0.2">
      <c r="J46" s="66"/>
      <c r="K46" s="4"/>
      <c r="M46" s="28"/>
      <c r="N46" s="4"/>
      <c r="O46" s="13"/>
      <c r="P46" s="78"/>
      <c r="Q46" s="78"/>
      <c r="U46" s="42"/>
    </row>
    <row r="47" spans="1:21" x14ac:dyDescent="0.2">
      <c r="J47" s="66"/>
      <c r="K47" s="4"/>
      <c r="M47" s="28"/>
      <c r="N47" s="4"/>
      <c r="O47" s="13"/>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0"/>
      <c r="L59" s="100"/>
      <c r="M59" s="100"/>
      <c r="N59" s="100"/>
      <c r="O59" s="100"/>
      <c r="U59" s="42"/>
    </row>
    <row r="60" spans="10:21" x14ac:dyDescent="0.2">
      <c r="K60" s="100"/>
      <c r="L60" s="100"/>
      <c r="M60" s="100"/>
      <c r="N60" s="100"/>
      <c r="O60" s="100"/>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45">
    <cfRule type="expression" dxfId="52" priority="1">
      <formula>$K7=3</formula>
    </cfRule>
    <cfRule type="expression" dxfId="51" priority="2">
      <formula>$K7=2</formula>
    </cfRule>
    <cfRule type="expression" dxfId="50" priority="3">
      <formula>$K7=1</formula>
    </cfRule>
  </conditionalFormatting>
  <conditionalFormatting sqref="R8:S10 R17:S20 R25:S26 R13:S13">
    <cfRule type="expression" dxfId="49" priority="4">
      <formula>$K38=1</formula>
    </cfRule>
  </conditionalFormatting>
  <conditionalFormatting sqref="P39:Q54 Q38 P58:Q60">
    <cfRule type="expression" dxfId="48" priority="5">
      <formula>$K34=3</formula>
    </cfRule>
    <cfRule type="expression" dxfId="47" priority="6">
      <formula>$K34=2</formula>
    </cfRule>
    <cfRule type="expression" dxfId="46" priority="7">
      <formula>$K34=1</formula>
    </cfRule>
  </conditionalFormatting>
  <conditionalFormatting sqref="O7:O45">
    <cfRule type="dataBar" priority="8">
      <dataBar>
        <cfvo type="min"/>
        <cfvo type="max"/>
        <color rgb="FFFF555A"/>
      </dataBar>
      <extLst>
        <ext xmlns:x14="http://schemas.microsoft.com/office/spreadsheetml/2009/9/main" uri="{B025F937-C7B1-47D3-B67F-A62EFF666E3E}">
          <x14:id>{FDABC326-987C-4603-8EA1-E5CB2EE50862}</x14:id>
        </ext>
      </extLst>
    </cfRule>
  </conditionalFormatting>
  <conditionalFormatting sqref="C7:C45">
    <cfRule type="duplicateValues" dxfId="45" priority="9"/>
  </conditionalFormatting>
  <conditionalFormatting sqref="B7:B45">
    <cfRule type="duplicateValues" dxfId="44" priority="1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6963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6963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6963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FDABC326-987C-4603-8EA1-E5CB2EE50862}">
            <x14:dataBar minLength="0" maxLength="100" border="1" negativeBarBorderColorSameAsPositive="0">
              <x14:cfvo type="autoMin"/>
              <x14:cfvo type="autoMax"/>
              <x14:borderColor rgb="FFFF555A"/>
              <x14:negativeFillColor rgb="FFFF0000"/>
              <x14:negativeBorderColor rgb="FFFF0000"/>
              <x14:axisColor rgb="FF000000"/>
            </x14:dataBar>
          </x14:cfRule>
          <xm:sqref>O7:O45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1:X59"/>
  <sheetViews>
    <sheetView zoomScale="130" zoomScaleNormal="130" workbookViewId="0">
      <selection activeCell="U14" sqref="U14"/>
    </sheetView>
  </sheetViews>
  <sheetFormatPr baseColWidth="10" defaultRowHeight="12" x14ac:dyDescent="0.2"/>
  <cols>
    <col min="1" max="1" width="2.140625" customWidth="1"/>
    <col min="4" max="4" width="2.5703125" customWidth="1"/>
    <col min="5" max="5" width="23.42578125" customWidth="1"/>
    <col min="7" max="7" width="19" bestFit="1" customWidth="1"/>
    <col min="9" max="10" width="5.85546875" customWidth="1"/>
    <col min="11" max="11" width="5.42578125" customWidth="1"/>
    <col min="12" max="12" width="30.5703125" style="4" customWidth="1"/>
    <col min="13" max="13" width="13.5703125" style="4" customWidth="1"/>
    <col min="14" max="14" width="0" style="4" hidden="1" customWidth="1"/>
    <col min="15" max="15" width="11.42578125" style="4"/>
  </cols>
  <sheetData>
    <row r="1" spans="2:24" ht="6.75" customHeight="1" x14ac:dyDescent="0.2"/>
    <row r="2" spans="2:24" ht="12" customHeight="1" x14ac:dyDescent="0.2">
      <c r="K2" s="113" t="s">
        <v>675</v>
      </c>
      <c r="L2" s="113"/>
      <c r="M2" s="2" t="s">
        <v>674</v>
      </c>
      <c r="O2" s="2" t="s">
        <v>830</v>
      </c>
      <c r="P2" s="2" t="s">
        <v>673</v>
      </c>
      <c r="Q2" s="156" t="s">
        <v>833</v>
      </c>
      <c r="R2" s="156"/>
      <c r="T2" s="4"/>
      <c r="V2" t="s">
        <v>832</v>
      </c>
    </row>
    <row r="3" spans="2:24" ht="12" customHeight="1" x14ac:dyDescent="0.2">
      <c r="K3" s="113"/>
      <c r="L3" s="113"/>
      <c r="M3" s="153" t="s">
        <v>1138</v>
      </c>
      <c r="O3" s="154">
        <f>F18</f>
        <v>20</v>
      </c>
      <c r="P3" s="155">
        <f ca="1">F15</f>
        <v>63.42</v>
      </c>
      <c r="Q3" s="156"/>
      <c r="R3" s="156"/>
      <c r="V3" t="s">
        <v>833</v>
      </c>
    </row>
    <row r="4" spans="2:24" ht="4.5" customHeight="1" x14ac:dyDescent="0.2">
      <c r="K4" s="113"/>
      <c r="L4" s="113"/>
      <c r="M4" s="153"/>
      <c r="O4" s="154"/>
      <c r="P4" s="155"/>
      <c r="Q4" s="156"/>
      <c r="R4" s="156"/>
    </row>
    <row r="5" spans="2:24" ht="15.75" customHeight="1" x14ac:dyDescent="0.2">
      <c r="K5" s="113"/>
      <c r="L5" s="113"/>
      <c r="M5" s="153"/>
      <c r="O5" s="154"/>
      <c r="P5" s="155"/>
      <c r="Q5" s="156"/>
      <c r="R5" s="156"/>
    </row>
    <row r="6" spans="2:24" ht="6.75" customHeight="1" x14ac:dyDescent="0.2">
      <c r="O6" s="88"/>
    </row>
    <row r="7" spans="2:24" s="84" customFormat="1" ht="19.5" customHeight="1" x14ac:dyDescent="0.2">
      <c r="K7" s="85" t="s">
        <v>831</v>
      </c>
      <c r="L7" s="85" t="s">
        <v>672</v>
      </c>
      <c r="M7" s="85" t="s">
        <v>669</v>
      </c>
      <c r="N7" s="86" t="s">
        <v>826</v>
      </c>
      <c r="O7" s="89" t="s">
        <v>678</v>
      </c>
      <c r="P7" s="90" t="s">
        <v>677</v>
      </c>
      <c r="Q7" s="101" t="s">
        <v>679</v>
      </c>
      <c r="R7" s="102" t="s">
        <v>680</v>
      </c>
    </row>
    <row r="8" spans="2:24" x14ac:dyDescent="0.2">
      <c r="B8" s="4" t="s">
        <v>244</v>
      </c>
      <c r="C8" s="4" t="s">
        <v>245</v>
      </c>
      <c r="K8" s="42">
        <f ca="1">oct!K7</f>
        <v>39</v>
      </c>
      <c r="L8" s="42" t="str">
        <f>oct!L7</f>
        <v>Javier Sáez</v>
      </c>
      <c r="M8" s="28">
        <f>oct!M7</f>
        <v>141.62</v>
      </c>
      <c r="N8" s="77">
        <f>M8-M9</f>
        <v>52.460000000000008</v>
      </c>
      <c r="O8" s="91">
        <f>M8-N8/2</f>
        <v>115.39</v>
      </c>
      <c r="P8" s="92"/>
      <c r="Q8" s="91">
        <f t="shared" ref="Q8:Q24" ca="1" si="0">R9</f>
        <v>219.32999999999998</v>
      </c>
      <c r="R8" s="92"/>
      <c r="T8" t="s">
        <v>1109</v>
      </c>
      <c r="W8" s="77"/>
      <c r="X8" s="28"/>
    </row>
    <row r="9" spans="2:24" x14ac:dyDescent="0.2">
      <c r="B9" s="4">
        <v>1</v>
      </c>
      <c r="C9" s="28">
        <f>IFERROR(oct!Q7,"")</f>
        <v>97.9</v>
      </c>
      <c r="E9" s="28"/>
      <c r="F9" s="4"/>
      <c r="K9" s="42">
        <f ca="1">oct!K8</f>
        <v>38</v>
      </c>
      <c r="L9" s="42" t="str">
        <f>oct!L8</f>
        <v>Rafael Leiva</v>
      </c>
      <c r="M9" s="28">
        <f>oct!M8</f>
        <v>89.16</v>
      </c>
      <c r="N9" s="77">
        <f t="shared" ref="N9:N46" si="1">M9-M10</f>
        <v>3.9899999999999949</v>
      </c>
      <c r="O9" s="91">
        <f t="shared" ref="O9:O46" si="2">M9-N9/2</f>
        <v>87.164999999999992</v>
      </c>
      <c r="P9" s="92">
        <f>O8</f>
        <v>115.39</v>
      </c>
      <c r="Q9" s="91">
        <f t="shared" ca="1" si="0"/>
        <v>134.65499999999997</v>
      </c>
      <c r="R9" s="92">
        <f ca="1">IF($Q$2=$V$2,$F$21*Tabla43[[#This Row],[límite sup]]-$F$19,($F$22*Tabla43[[#This Row],[límite sup]]-$F$19)/$F$23)</f>
        <v>219.32999999999998</v>
      </c>
      <c r="T9" t="s">
        <v>846</v>
      </c>
      <c r="U9" s="4">
        <f>$U$17-$U$17*$U$18</f>
        <v>61.137000000000008</v>
      </c>
    </row>
    <row r="10" spans="2:24" x14ac:dyDescent="0.2">
      <c r="B10" s="4">
        <v>2</v>
      </c>
      <c r="C10" s="28">
        <f>IFERROR(oct!Q8,"")</f>
        <v>93.59</v>
      </c>
      <c r="K10" s="42">
        <f ca="1">oct!K9</f>
        <v>37</v>
      </c>
      <c r="L10" s="42" t="str">
        <f>oct!L9</f>
        <v>Inés Monroy</v>
      </c>
      <c r="M10" s="28">
        <f>oct!M9</f>
        <v>85.17</v>
      </c>
      <c r="N10" s="77">
        <f t="shared" si="1"/>
        <v>1.1000000000000085</v>
      </c>
      <c r="O10" s="91">
        <f t="shared" si="2"/>
        <v>84.62</v>
      </c>
      <c r="P10" s="92">
        <f t="shared" ref="P10:P46" si="3">O9</f>
        <v>87.164999999999992</v>
      </c>
      <c r="Q10" s="91">
        <f t="shared" ca="1" si="0"/>
        <v>127.02000000000002</v>
      </c>
      <c r="R10" s="92">
        <f ca="1">IF($Q$2=$V$2,$F$21*Tabla43[[#This Row],[límite sup]]-$F$19,($F$22*Tabla43[[#This Row],[límite sup]]-$F$19)/$F$23)</f>
        <v>134.65499999999997</v>
      </c>
      <c r="T10" t="s">
        <v>847</v>
      </c>
      <c r="U10" s="4">
        <f>$U$17+$U$17*$U$18</f>
        <v>74.723000000000013</v>
      </c>
    </row>
    <row r="11" spans="2:24" x14ac:dyDescent="0.2">
      <c r="B11" s="4">
        <v>3</v>
      </c>
      <c r="C11" s="28">
        <f>IFERROR(oct!Q9,"")</f>
        <v>57.92</v>
      </c>
      <c r="K11" s="42">
        <f ca="1">oct!K10</f>
        <v>36</v>
      </c>
      <c r="L11" s="42" t="str">
        <f>oct!L10</f>
        <v>Jesús Aceituno López</v>
      </c>
      <c r="M11" s="28">
        <f>oct!M10</f>
        <v>84.07</v>
      </c>
      <c r="N11" s="77">
        <f t="shared" si="1"/>
        <v>0.25999999999999091</v>
      </c>
      <c r="O11" s="91">
        <f t="shared" si="2"/>
        <v>83.94</v>
      </c>
      <c r="P11" s="92">
        <f t="shared" si="3"/>
        <v>84.62</v>
      </c>
      <c r="Q11" s="91">
        <f t="shared" ca="1" si="0"/>
        <v>124.97999999999998</v>
      </c>
      <c r="R11" s="92">
        <f ca="1">IF($Q$2=$V$2,$F$21*Tabla43[[#This Row],[límite sup]]-$F$19,($F$22*Tabla43[[#This Row],[límite sup]]-$F$19)/$F$23)</f>
        <v>127.02000000000002</v>
      </c>
      <c r="T11" t="s">
        <v>1110</v>
      </c>
    </row>
    <row r="12" spans="2:24" x14ac:dyDescent="0.2">
      <c r="B12" s="4">
        <v>4</v>
      </c>
      <c r="C12" s="28">
        <f>IFERROR(oct!Q10,"")</f>
        <v>98.98</v>
      </c>
      <c r="K12" s="42">
        <f ca="1">oct!K11</f>
        <v>35</v>
      </c>
      <c r="L12" s="42" t="str">
        <f>oct!L11</f>
        <v>Carlos Alcaide Méndez</v>
      </c>
      <c r="M12" s="28">
        <f>oct!M11</f>
        <v>83.81</v>
      </c>
      <c r="N12" s="77">
        <f t="shared" si="1"/>
        <v>6.0000000000002274E-2</v>
      </c>
      <c r="O12" s="91">
        <f t="shared" si="2"/>
        <v>83.78</v>
      </c>
      <c r="P12" s="92">
        <f t="shared" si="3"/>
        <v>83.94</v>
      </c>
      <c r="Q12" s="91">
        <f t="shared" ca="1" si="0"/>
        <v>124.5</v>
      </c>
      <c r="R12" s="92">
        <f ca="1">IF($Q$2=$V$2,$F$21*Tabla43[[#This Row],[límite sup]]-$F$19,($F$22*Tabla43[[#This Row],[límite sup]]-$F$19)/$F$23)</f>
        <v>124.97999999999998</v>
      </c>
      <c r="T12" t="s">
        <v>846</v>
      </c>
      <c r="U12" s="4">
        <f>$U$17-$U$17*$U$19</f>
        <v>54.344000000000008</v>
      </c>
    </row>
    <row r="13" spans="2:24" x14ac:dyDescent="0.2">
      <c r="B13" s="4">
        <v>5</v>
      </c>
      <c r="C13" s="111">
        <f>IFERROR(oct!Q11,"")</f>
        <v>60.4</v>
      </c>
      <c r="F13" s="4"/>
      <c r="K13" s="42">
        <f ca="1">oct!K12</f>
        <v>34</v>
      </c>
      <c r="L13" s="42" t="str">
        <f>oct!L12</f>
        <v>Gorka Arratibel Pastor</v>
      </c>
      <c r="M13" s="28">
        <f>oct!M12</f>
        <v>83.75</v>
      </c>
      <c r="N13" s="77">
        <f t="shared" si="1"/>
        <v>1.25</v>
      </c>
      <c r="O13" s="91">
        <f t="shared" si="2"/>
        <v>83.125</v>
      </c>
      <c r="P13" s="92">
        <f t="shared" si="3"/>
        <v>83.78</v>
      </c>
      <c r="Q13" s="91">
        <f t="shared" ca="1" si="0"/>
        <v>122.535</v>
      </c>
      <c r="R13" s="92">
        <f ca="1">IF($Q$2=$V$2,$F$21*Tabla43[[#This Row],[límite sup]]-$F$19,($F$22*Tabla43[[#This Row],[límite sup]]-$F$19)/$F$23)</f>
        <v>124.5</v>
      </c>
      <c r="T13" t="s">
        <v>847</v>
      </c>
      <c r="U13" s="4">
        <f>$U$17+$U$17*$U$19</f>
        <v>81.516000000000005</v>
      </c>
    </row>
    <row r="14" spans="2:24" x14ac:dyDescent="0.2">
      <c r="B14" s="4">
        <v>6</v>
      </c>
      <c r="C14" s="28">
        <f>IFERROR(oct!Q12,"")</f>
        <v>21.96</v>
      </c>
      <c r="G14" s="21"/>
      <c r="K14" s="42">
        <f ca="1">oct!K13</f>
        <v>33</v>
      </c>
      <c r="L14" s="42" t="str">
        <f>oct!L13</f>
        <v>Javier Espelta</v>
      </c>
      <c r="M14" s="28">
        <f>oct!M13</f>
        <v>82.5</v>
      </c>
      <c r="N14" s="77">
        <f t="shared" si="1"/>
        <v>2.4000000000000057</v>
      </c>
      <c r="O14" s="91">
        <f t="shared" si="2"/>
        <v>81.3</v>
      </c>
      <c r="P14" s="92">
        <f t="shared" si="3"/>
        <v>83.125</v>
      </c>
      <c r="Q14" s="91">
        <f t="shared" ca="1" si="0"/>
        <v>117.05999999999999</v>
      </c>
      <c r="R14" s="92">
        <f ca="1">IF($Q$2=$V$2,$F$21*Tabla43[[#This Row],[límite sup]]-$F$19,($F$22*Tabla43[[#This Row],[límite sup]]-$F$19)/$F$23)</f>
        <v>122.535</v>
      </c>
    </row>
    <row r="15" spans="2:24" ht="12" customHeight="1" x14ac:dyDescent="0.2">
      <c r="B15" s="4">
        <v>7</v>
      </c>
      <c r="C15" s="28">
        <f>IFERROR(oct!Q13,"")</f>
        <v>55.46</v>
      </c>
      <c r="E15" t="s">
        <v>1033</v>
      </c>
      <c r="F15" s="99">
        <f ca="1">oct!B3</f>
        <v>63.42</v>
      </c>
      <c r="K15" s="42">
        <f ca="1">oct!K14</f>
        <v>31</v>
      </c>
      <c r="L15" s="42" t="str">
        <f>oct!L14</f>
        <v>Jose Manuel Otero López</v>
      </c>
      <c r="M15" s="28">
        <f>oct!M14</f>
        <v>80.099999999999994</v>
      </c>
      <c r="N15" s="77">
        <f t="shared" si="1"/>
        <v>0.28000000000000114</v>
      </c>
      <c r="O15" s="91">
        <f t="shared" si="2"/>
        <v>79.959999999999994</v>
      </c>
      <c r="P15" s="92">
        <f t="shared" si="3"/>
        <v>81.3</v>
      </c>
      <c r="Q15" s="91">
        <f t="shared" ca="1" si="0"/>
        <v>113.03999999999996</v>
      </c>
      <c r="R15" s="92">
        <f ca="1">IF($Q$2=$V$2,$F$21*Tabla43[[#This Row],[límite sup]]-$F$19,($F$22*Tabla43[[#This Row],[límite sup]]-$F$19)/$F$23)</f>
        <v>117.05999999999999</v>
      </c>
    </row>
    <row r="16" spans="2:24" ht="12" customHeight="1" x14ac:dyDescent="0.2">
      <c r="B16" s="4">
        <v>8</v>
      </c>
      <c r="C16" s="28">
        <f>IFERROR(oct!Q14,"")</f>
        <v>31.37</v>
      </c>
      <c r="E16" t="s">
        <v>676</v>
      </c>
      <c r="F16" s="65">
        <f ca="1">INDEX(resultados_sep[Apuesta MiniPorra],MATCH(1,resultados_sep[Posición],0))</f>
        <v>73.55</v>
      </c>
      <c r="K16" s="42">
        <f ca="1">oct!K15</f>
        <v>30</v>
      </c>
      <c r="L16" s="42" t="str">
        <f>oct!L15</f>
        <v>Pablo Suárez Sebastián</v>
      </c>
      <c r="M16" s="28">
        <f>oct!M15</f>
        <v>79.819999999999993</v>
      </c>
      <c r="N16" s="77">
        <f t="shared" si="1"/>
        <v>1.5</v>
      </c>
      <c r="O16" s="91">
        <f t="shared" si="2"/>
        <v>79.069999999999993</v>
      </c>
      <c r="P16" s="92">
        <f t="shared" si="3"/>
        <v>79.959999999999994</v>
      </c>
      <c r="Q16" s="91">
        <f t="shared" ca="1" si="0"/>
        <v>110.36999999999998</v>
      </c>
      <c r="R16" s="92">
        <f ca="1">IF($Q$2=$V$2,$F$21*Tabla43[[#This Row],[límite sup]]-$F$19,($F$22*Tabla43[[#This Row],[límite sup]]-$F$19)/$F$23)</f>
        <v>113.03999999999996</v>
      </c>
      <c r="U16" s="87"/>
    </row>
    <row r="17" spans="2:22" x14ac:dyDescent="0.2">
      <c r="B17" s="4">
        <v>9</v>
      </c>
      <c r="C17" s="28">
        <f>IFERROR(oct!Q15,"")</f>
        <v>24.52</v>
      </c>
      <c r="K17" s="42">
        <f ca="1">oct!K16</f>
        <v>29</v>
      </c>
      <c r="L17" s="42" t="str">
        <f>oct!L16</f>
        <v>Elena Muñoz Vioque</v>
      </c>
      <c r="M17" s="28">
        <f>oct!M16</f>
        <v>78.319999999999993</v>
      </c>
      <c r="N17" s="77">
        <f t="shared" si="1"/>
        <v>0.54999999999999716</v>
      </c>
      <c r="O17" s="91">
        <f t="shared" si="2"/>
        <v>78.044999999999987</v>
      </c>
      <c r="P17" s="92">
        <f t="shared" si="3"/>
        <v>79.069999999999993</v>
      </c>
      <c r="Q17" s="91">
        <f t="shared" ca="1" si="0"/>
        <v>107.29499999999993</v>
      </c>
      <c r="R17" s="92">
        <f ca="1">IF($Q$2=$V$2,$F$21*Tabla43[[#This Row],[límite sup]]-$F$19,($F$22*Tabla43[[#This Row],[límite sup]]-$F$19)/$F$23)</f>
        <v>110.36999999999998</v>
      </c>
      <c r="T17" t="s">
        <v>874</v>
      </c>
      <c r="U17" s="65">
        <v>67.930000000000007</v>
      </c>
      <c r="V17" t="s">
        <v>1158</v>
      </c>
    </row>
    <row r="18" spans="2:22" x14ac:dyDescent="0.2">
      <c r="B18" s="4">
        <v>10</v>
      </c>
      <c r="C18" s="28">
        <f>IFERROR(oct!Q16,"")</f>
        <v>76.180000000000007</v>
      </c>
      <c r="E18" t="s">
        <v>670</v>
      </c>
      <c r="F18" s="65">
        <f>oct!H1</f>
        <v>20</v>
      </c>
      <c r="G18" t="s">
        <v>827</v>
      </c>
      <c r="K18" s="42">
        <f ca="1">oct!K17</f>
        <v>28</v>
      </c>
      <c r="L18" s="42" t="str">
        <f>oct!L17</f>
        <v>Jorge Antonio González Sánchez</v>
      </c>
      <c r="M18" s="28">
        <f>oct!M17</f>
        <v>77.77</v>
      </c>
      <c r="N18" s="77">
        <f t="shared" si="1"/>
        <v>0.56999999999999318</v>
      </c>
      <c r="O18" s="91">
        <f t="shared" si="2"/>
        <v>77.484999999999999</v>
      </c>
      <c r="P18" s="92">
        <f t="shared" si="3"/>
        <v>78.044999999999987</v>
      </c>
      <c r="Q18" s="91">
        <f t="shared" ca="1" si="0"/>
        <v>105.61500000000001</v>
      </c>
      <c r="R18" s="92">
        <f ca="1">IF($Q$2=$V$2,$F$21*Tabla43[[#This Row],[límite sup]]-$F$19,($F$22*Tabla43[[#This Row],[límite sup]]-$F$19)/$F$23)</f>
        <v>107.29499999999993</v>
      </c>
      <c r="T18" t="s">
        <v>1159</v>
      </c>
      <c r="U18" s="112">
        <v>0.1</v>
      </c>
    </row>
    <row r="19" spans="2:22" x14ac:dyDescent="0.2">
      <c r="B19" s="4">
        <v>11</v>
      </c>
      <c r="C19" s="28">
        <f>IFERROR(oct!Q17,"")</f>
        <v>90.66</v>
      </c>
      <c r="E19" t="s">
        <v>671</v>
      </c>
      <c r="F19" s="76">
        <f ca="1">SUM(C9:OFFSET($C$9,F18-1,1))</f>
        <v>1268.4000000000001</v>
      </c>
      <c r="G19" t="s">
        <v>828</v>
      </c>
      <c r="K19" s="42">
        <f ca="1">oct!K18</f>
        <v>27</v>
      </c>
      <c r="L19" s="42" t="str">
        <f>oct!L18</f>
        <v>Javier Revuelta Alonso</v>
      </c>
      <c r="M19" s="28">
        <f>oct!M18</f>
        <v>77.2</v>
      </c>
      <c r="N19" s="77">
        <f t="shared" si="1"/>
        <v>2</v>
      </c>
      <c r="O19" s="91">
        <f t="shared" si="2"/>
        <v>76.2</v>
      </c>
      <c r="P19" s="92">
        <f t="shared" si="3"/>
        <v>77.484999999999999</v>
      </c>
      <c r="Q19" s="91">
        <f t="shared" ca="1" si="0"/>
        <v>101.75999999999999</v>
      </c>
      <c r="R19" s="92">
        <f ca="1">IF($Q$2=$V$2,$F$21*Tabla43[[#This Row],[límite sup]]-$F$19,($F$22*Tabla43[[#This Row],[límite sup]]-$F$19)/$F$23)</f>
        <v>105.61500000000001</v>
      </c>
      <c r="T19" t="s">
        <v>1159</v>
      </c>
      <c r="U19" s="112">
        <v>0.2</v>
      </c>
    </row>
    <row r="20" spans="2:22" x14ac:dyDescent="0.2">
      <c r="B20" s="4">
        <v>12</v>
      </c>
      <c r="C20" s="28">
        <f>IFERROR(oct!Q18,"")</f>
        <v>69.86</v>
      </c>
      <c r="E20" t="s">
        <v>829</v>
      </c>
      <c r="F20" s="28">
        <f ca="1">F19/F18</f>
        <v>63.42</v>
      </c>
      <c r="K20" s="42">
        <f ca="1">oct!K19</f>
        <v>26</v>
      </c>
      <c r="L20" s="42" t="str">
        <f>oct!L19</f>
        <v>Paco Cuadrado</v>
      </c>
      <c r="M20" s="28">
        <f>oct!M19</f>
        <v>75.2</v>
      </c>
      <c r="N20" s="77">
        <f t="shared" si="1"/>
        <v>1.0100000000000051</v>
      </c>
      <c r="O20" s="91">
        <f t="shared" si="2"/>
        <v>74.694999999999993</v>
      </c>
      <c r="P20" s="92">
        <f t="shared" si="3"/>
        <v>76.2</v>
      </c>
      <c r="Q20" s="91">
        <f t="shared" ca="1" si="0"/>
        <v>97.244999999999976</v>
      </c>
      <c r="R20" s="92">
        <f ca="1">IF($Q$2=$V$2,$F$21*Tabla43[[#This Row],[límite sup]]-$F$19,($F$22*Tabla43[[#This Row],[límite sup]]-$F$19)/$F$23)</f>
        <v>101.75999999999999</v>
      </c>
    </row>
    <row r="21" spans="2:22" x14ac:dyDescent="0.2">
      <c r="B21" s="4">
        <v>13</v>
      </c>
      <c r="C21" s="28">
        <f>IFERROR(oct!Q19,"")</f>
        <v>52.75</v>
      </c>
      <c r="E21" t="s">
        <v>834</v>
      </c>
      <c r="F21" s="74">
        <f>F18+1</f>
        <v>21</v>
      </c>
      <c r="K21" s="42">
        <f ca="1">oct!K20</f>
        <v>25</v>
      </c>
      <c r="L21" s="42" t="str">
        <f>oct!L20</f>
        <v>Jorge González Arconada</v>
      </c>
      <c r="M21" s="28">
        <f>oct!M20</f>
        <v>74.19</v>
      </c>
      <c r="N21" s="77">
        <f t="shared" si="1"/>
        <v>9.9999999999994316E-2</v>
      </c>
      <c r="O21" s="91">
        <f t="shared" si="2"/>
        <v>74.14</v>
      </c>
      <c r="P21" s="92">
        <f t="shared" si="3"/>
        <v>74.694999999999993</v>
      </c>
      <c r="Q21" s="91">
        <f t="shared" ca="1" si="0"/>
        <v>95.57999999999997</v>
      </c>
      <c r="R21" s="92">
        <f ca="1">IF($Q$2=$V$2,$F$21*Tabla43[[#This Row],[límite sup]]-$F$19,($F$22*Tabla43[[#This Row],[límite sup]]-$F$19)/$F$23)</f>
        <v>97.244999999999976</v>
      </c>
      <c r="T21" t="s">
        <v>1157</v>
      </c>
      <c r="U21" s="23">
        <f>gauss!R44</f>
        <v>72.97</v>
      </c>
    </row>
    <row r="22" spans="2:22" x14ac:dyDescent="0.2">
      <c r="B22" s="4">
        <v>14</v>
      </c>
      <c r="C22" s="28">
        <f>IFERROR(oct!Q20,"")</f>
        <v>104.17</v>
      </c>
      <c r="E22" t="s">
        <v>835</v>
      </c>
      <c r="F22" s="74">
        <f>COUNT(Tabla2336[dia])</f>
        <v>30</v>
      </c>
      <c r="K22" s="42">
        <f ca="1">oct!K21</f>
        <v>24</v>
      </c>
      <c r="L22" s="42" t="str">
        <f>oct!L21</f>
        <v>Roberto Cavero García</v>
      </c>
      <c r="M22" s="28">
        <f>oct!M21</f>
        <v>74.09</v>
      </c>
      <c r="N22" s="77">
        <f t="shared" si="1"/>
        <v>0.34000000000000341</v>
      </c>
      <c r="O22" s="91">
        <f t="shared" si="2"/>
        <v>73.92</v>
      </c>
      <c r="P22" s="92">
        <f t="shared" si="3"/>
        <v>74.14</v>
      </c>
      <c r="Q22" s="91">
        <f t="shared" ca="1" si="0"/>
        <v>94.919999999999987</v>
      </c>
      <c r="R22" s="92">
        <f ca="1">IF($Q$2=$V$2,$F$21*Tabla43[[#This Row],[límite sup]]-$F$19,($F$22*Tabla43[[#This Row],[límite sup]]-$F$19)/$F$23)</f>
        <v>95.57999999999997</v>
      </c>
    </row>
    <row r="23" spans="2:22" x14ac:dyDescent="0.2">
      <c r="B23" s="4">
        <v>15</v>
      </c>
      <c r="C23" s="28">
        <f>IFERROR(oct!Q21,"")</f>
        <v>87.23</v>
      </c>
      <c r="E23" t="s">
        <v>836</v>
      </c>
      <c r="F23" s="74">
        <f>F22-F18</f>
        <v>10</v>
      </c>
      <c r="K23" s="42">
        <f ca="1">oct!K22</f>
        <v>23</v>
      </c>
      <c r="L23" s="42" t="str">
        <f>oct!L22</f>
        <v>Rafael Tejada Bonilla</v>
      </c>
      <c r="M23" s="28">
        <f>oct!M22</f>
        <v>73.75</v>
      </c>
      <c r="N23" s="77">
        <f t="shared" si="1"/>
        <v>1.1700000000000017</v>
      </c>
      <c r="O23" s="91">
        <f t="shared" si="2"/>
        <v>73.164999999999992</v>
      </c>
      <c r="P23" s="92">
        <f t="shared" si="3"/>
        <v>73.92</v>
      </c>
      <c r="Q23" s="91">
        <f t="shared" ca="1" si="0"/>
        <v>92.654999999999973</v>
      </c>
      <c r="R23" s="92">
        <f ca="1">IF($Q$2=$V$2,$F$21*Tabla43[[#This Row],[límite sup]]-$F$19,($F$22*Tabla43[[#This Row],[límite sup]]-$F$19)/$F$23)</f>
        <v>94.919999999999987</v>
      </c>
      <c r="U23" t="str">
        <f>"OMIP: "&amp;U17</f>
        <v>OMIP: 67,93</v>
      </c>
    </row>
    <row r="24" spans="2:22" x14ac:dyDescent="0.2">
      <c r="B24" s="4">
        <v>16</v>
      </c>
      <c r="C24" s="28">
        <f>IFERROR(oct!Q22,"")</f>
        <v>48.84</v>
      </c>
      <c r="K24" s="42">
        <f ca="1">oct!K23</f>
        <v>22</v>
      </c>
      <c r="L24" s="42" t="str">
        <f>oct!L23</f>
        <v>Cristoauditor Monasor Merino</v>
      </c>
      <c r="M24" s="28">
        <f>oct!M23</f>
        <v>72.58</v>
      </c>
      <c r="N24" s="77">
        <f t="shared" si="1"/>
        <v>0.12999999999999545</v>
      </c>
      <c r="O24" s="91">
        <f t="shared" si="2"/>
        <v>72.515000000000001</v>
      </c>
      <c r="P24" s="92">
        <f t="shared" si="3"/>
        <v>73.164999999999992</v>
      </c>
      <c r="Q24" s="91">
        <f t="shared" ca="1" si="0"/>
        <v>90.70499999999997</v>
      </c>
      <c r="R24" s="92">
        <f ca="1">IF($Q$2=$V$2,$F$21*Tabla43[[#This Row],[límite sup]]-$F$19,($F$22*Tabla43[[#This Row],[límite sup]]-$F$19)/$F$23)</f>
        <v>92.654999999999973</v>
      </c>
    </row>
    <row r="25" spans="2:22" x14ac:dyDescent="0.2">
      <c r="B25" s="4">
        <v>17</v>
      </c>
      <c r="C25" s="28">
        <f>IFERROR(oct!Q23,"")</f>
        <v>51.25</v>
      </c>
      <c r="E25" t="s">
        <v>668</v>
      </c>
      <c r="F25" s="75">
        <f>AVERAGE(C9:C38)</f>
        <v>63.42</v>
      </c>
      <c r="K25" s="42">
        <f ca="1">oct!K24</f>
        <v>21</v>
      </c>
      <c r="L25" s="42" t="str">
        <f>oct!L24</f>
        <v>Julián Mateo Muñoz</v>
      </c>
      <c r="M25" s="28">
        <f>oct!M24</f>
        <v>72.45</v>
      </c>
      <c r="N25" s="77">
        <f t="shared" si="1"/>
        <v>0.23000000000000398</v>
      </c>
      <c r="O25" s="91">
        <f t="shared" si="2"/>
        <v>72.335000000000008</v>
      </c>
      <c r="P25" s="92">
        <f t="shared" si="3"/>
        <v>72.515000000000001</v>
      </c>
      <c r="Q25" s="91">
        <f ca="1">R26</f>
        <v>90.165000000000006</v>
      </c>
      <c r="R25" s="92">
        <f ca="1">IF($Q$2=$V$2,$F$21*Tabla43[[#This Row],[límite sup]]-$F$19,($F$22*Tabla43[[#This Row],[límite sup]]-$F$19)/$F$23)</f>
        <v>90.70499999999997</v>
      </c>
    </row>
    <row r="26" spans="2:22" x14ac:dyDescent="0.2">
      <c r="B26" s="4">
        <v>18</v>
      </c>
      <c r="C26" s="28">
        <f>IFERROR(oct!Q24,"")</f>
        <v>51.99</v>
      </c>
      <c r="F26" s="28"/>
      <c r="K26" s="42">
        <f ca="1">oct!K25</f>
        <v>20</v>
      </c>
      <c r="L26" s="42" t="str">
        <f>oct!L25</f>
        <v>Jaime Larrañaga Juez</v>
      </c>
      <c r="M26" s="28">
        <f>oct!M25</f>
        <v>72.22</v>
      </c>
      <c r="N26" s="77">
        <f t="shared" si="1"/>
        <v>0.48000000000000398</v>
      </c>
      <c r="O26" s="91">
        <f t="shared" si="2"/>
        <v>71.97999999999999</v>
      </c>
      <c r="P26" s="92">
        <f t="shared" si="3"/>
        <v>72.335000000000008</v>
      </c>
      <c r="Q26" s="91">
        <f t="shared" ref="Q26:Q46" ca="1" si="4">R27</f>
        <v>89.099999999999952</v>
      </c>
      <c r="R26" s="92">
        <f ca="1">IF($Q$2=$V$2,$F$21*Tabla43[[#This Row],[límite sup]]-$F$19,($F$22*Tabla43[[#This Row],[límite sup]]-$F$19)/$F$23)</f>
        <v>90.165000000000006</v>
      </c>
    </row>
    <row r="27" spans="2:22" x14ac:dyDescent="0.2">
      <c r="B27" s="4">
        <v>19</v>
      </c>
      <c r="C27" s="28">
        <f>IFERROR(oct!Q25,"")</f>
        <v>48.71</v>
      </c>
      <c r="K27" s="42">
        <f ca="1">oct!K26</f>
        <v>19</v>
      </c>
      <c r="L27" s="42" t="str">
        <f>oct!L26</f>
        <v>Carlos Martin</v>
      </c>
      <c r="M27" s="28">
        <f>oct!M26</f>
        <v>71.739999999999995</v>
      </c>
      <c r="N27" s="77">
        <f t="shared" si="1"/>
        <v>0.72999999999998977</v>
      </c>
      <c r="O27" s="91">
        <f t="shared" si="2"/>
        <v>71.375</v>
      </c>
      <c r="P27" s="92">
        <f t="shared" si="3"/>
        <v>71.97999999999999</v>
      </c>
      <c r="Q27" s="91">
        <f t="shared" ca="1" si="4"/>
        <v>87.284999999999997</v>
      </c>
      <c r="R27" s="92">
        <f ca="1">IF($Q$2=$V$2,$F$21*Tabla43[[#This Row],[límite sup]]-$F$19,($F$22*Tabla43[[#This Row],[límite sup]]-$F$19)/$F$23)</f>
        <v>89.099999999999952</v>
      </c>
    </row>
    <row r="28" spans="2:22" x14ac:dyDescent="0.2">
      <c r="B28" s="4">
        <v>20</v>
      </c>
      <c r="C28" s="28">
        <f>IFERROR(oct!Q26,"")</f>
        <v>44.66</v>
      </c>
      <c r="F28">
        <f ca="1">jul!B3/75.23</f>
        <v>0.96118569719526781</v>
      </c>
      <c r="K28" s="42">
        <f ca="1">oct!K27</f>
        <v>18</v>
      </c>
      <c r="L28" s="42" t="str">
        <f>oct!L27</f>
        <v>Javier Colón Cortegoso</v>
      </c>
      <c r="M28" s="28">
        <f>oct!M27</f>
        <v>71.010000000000005</v>
      </c>
      <c r="N28" s="77">
        <f t="shared" si="1"/>
        <v>0.71000000000000796</v>
      </c>
      <c r="O28" s="91">
        <f t="shared" si="2"/>
        <v>70.655000000000001</v>
      </c>
      <c r="P28" s="92">
        <f t="shared" si="3"/>
        <v>71.375</v>
      </c>
      <c r="Q28" s="91">
        <f t="shared" ca="1" si="4"/>
        <v>85.125</v>
      </c>
      <c r="R28" s="92">
        <f ca="1">IF($Q$2=$V$2,$F$21*Tabla43[[#This Row],[límite sup]]-$F$19,($F$22*Tabla43[[#This Row],[límite sup]]-$F$19)/$F$23)</f>
        <v>87.284999999999997</v>
      </c>
    </row>
    <row r="29" spans="2:22" x14ac:dyDescent="0.2">
      <c r="B29" s="4">
        <v>21</v>
      </c>
      <c r="C29" s="28" t="str">
        <f>IFERROR(oct!Q27,"")</f>
        <v/>
      </c>
      <c r="F29" s="43">
        <f ca="1">F28/75.93</f>
        <v>1.2658839683857075E-2</v>
      </c>
      <c r="K29" s="42">
        <f ca="1">oct!K28</f>
        <v>17</v>
      </c>
      <c r="L29" s="42" t="str">
        <f>oct!L28</f>
        <v>Laura Gómez López</v>
      </c>
      <c r="M29" s="28">
        <f>oct!M28</f>
        <v>70.3</v>
      </c>
      <c r="N29" s="77">
        <f t="shared" si="1"/>
        <v>0.23000000000000398</v>
      </c>
      <c r="O29" s="91">
        <f t="shared" si="2"/>
        <v>70.185000000000002</v>
      </c>
      <c r="P29" s="92">
        <f t="shared" si="3"/>
        <v>70.655000000000001</v>
      </c>
      <c r="Q29" s="91">
        <f t="shared" ca="1" si="4"/>
        <v>83.715000000000003</v>
      </c>
      <c r="R29" s="92">
        <f ca="1">IF($Q$2=$V$2,$F$21*Tabla43[[#This Row],[límite sup]]-$F$19,($F$22*Tabla43[[#This Row],[límite sup]]-$F$19)/$F$23)</f>
        <v>85.125</v>
      </c>
    </row>
    <row r="30" spans="2:22" x14ac:dyDescent="0.2">
      <c r="B30" s="4">
        <v>22</v>
      </c>
      <c r="C30" s="28" t="str">
        <f>IFERROR(oct!Q28,"")</f>
        <v/>
      </c>
      <c r="K30" s="42">
        <f ca="1">oct!K29</f>
        <v>16</v>
      </c>
      <c r="L30" s="42" t="str">
        <f>oct!L29</f>
        <v>Sergio Alfonso</v>
      </c>
      <c r="M30" s="28">
        <f>oct!M29</f>
        <v>70.069999999999993</v>
      </c>
      <c r="N30" s="77">
        <f t="shared" si="1"/>
        <v>6.9999999999993179E-2</v>
      </c>
      <c r="O30" s="91">
        <f t="shared" si="2"/>
        <v>70.034999999999997</v>
      </c>
      <c r="P30" s="92">
        <f t="shared" si="3"/>
        <v>70.185000000000002</v>
      </c>
      <c r="Q30" s="91">
        <f t="shared" ca="1" si="4"/>
        <v>83.264999999999958</v>
      </c>
      <c r="R30" s="92">
        <f ca="1">IF($Q$2=$V$2,$F$21*Tabla43[[#This Row],[límite sup]]-$F$19,($F$22*Tabla43[[#This Row],[límite sup]]-$F$19)/$F$23)</f>
        <v>83.715000000000003</v>
      </c>
    </row>
    <row r="31" spans="2:22" x14ac:dyDescent="0.2">
      <c r="B31" s="4">
        <v>23</v>
      </c>
      <c r="C31" s="28" t="str">
        <f>IFERROR(oct!Q29,"")</f>
        <v/>
      </c>
      <c r="K31" s="42">
        <f ca="1">oct!K30</f>
        <v>15</v>
      </c>
      <c r="L31" s="42" t="str">
        <f>oct!L30</f>
        <v>Javier Pérez Salazar</v>
      </c>
      <c r="M31" s="28">
        <f>oct!M30</f>
        <v>70</v>
      </c>
      <c r="N31" s="77">
        <f t="shared" si="1"/>
        <v>4.0000000000006253E-2</v>
      </c>
      <c r="O31" s="91">
        <f t="shared" si="2"/>
        <v>69.97999999999999</v>
      </c>
      <c r="P31" s="92">
        <f t="shared" si="3"/>
        <v>70.034999999999997</v>
      </c>
      <c r="Q31" s="91">
        <f t="shared" ca="1" si="4"/>
        <v>83.099999999999952</v>
      </c>
      <c r="R31" s="92">
        <f ca="1">IF($Q$2=$V$2,$F$21*Tabla43[[#This Row],[límite sup]]-$F$19,($F$22*Tabla43[[#This Row],[límite sup]]-$F$19)/$F$23)</f>
        <v>83.264999999999958</v>
      </c>
      <c r="T31">
        <v>52</v>
      </c>
    </row>
    <row r="32" spans="2:22" x14ac:dyDescent="0.2">
      <c r="B32" s="4">
        <v>24</v>
      </c>
      <c r="C32" s="28" t="str">
        <f>IFERROR(oct!Q30,"")</f>
        <v/>
      </c>
      <c r="F32" s="4"/>
      <c r="H32" s="4"/>
      <c r="K32" s="42">
        <f ca="1">oct!K31</f>
        <v>14</v>
      </c>
      <c r="L32" s="42" t="str">
        <f>oct!L31</f>
        <v>Fernando Sánchez-Rey Maeso</v>
      </c>
      <c r="M32" s="28">
        <f>oct!M31</f>
        <v>69.959999999999994</v>
      </c>
      <c r="N32" s="77">
        <f t="shared" si="1"/>
        <v>0.59999999999999432</v>
      </c>
      <c r="O32" s="91">
        <f t="shared" si="2"/>
        <v>69.66</v>
      </c>
      <c r="P32" s="92">
        <f t="shared" si="3"/>
        <v>69.97999999999999</v>
      </c>
      <c r="Q32" s="91">
        <f t="shared" ca="1" si="4"/>
        <v>82.139999999999958</v>
      </c>
      <c r="R32" s="92">
        <f ca="1">IF($Q$2=$V$2,$F$21*Tabla43[[#This Row],[límite sup]]-$F$19,($F$22*Tabla43[[#This Row],[límite sup]]-$F$19)/$F$23)</f>
        <v>83.099999999999952</v>
      </c>
      <c r="T32">
        <v>75</v>
      </c>
    </row>
    <row r="33" spans="2:21" x14ac:dyDescent="0.2">
      <c r="B33" s="4">
        <v>25</v>
      </c>
      <c r="C33" s="28" t="str">
        <f>IFERROR(oct!Q31,"")</f>
        <v/>
      </c>
      <c r="F33" s="4"/>
      <c r="H33" s="28"/>
      <c r="K33" s="42">
        <f ca="1">oct!K32</f>
        <v>13</v>
      </c>
      <c r="L33" s="42" t="str">
        <f>oct!L32</f>
        <v>Víctor Baeschlin Sánchez</v>
      </c>
      <c r="M33" s="28">
        <f>oct!M32</f>
        <v>69.36</v>
      </c>
      <c r="N33" s="77">
        <f t="shared" si="1"/>
        <v>0.28000000000000114</v>
      </c>
      <c r="O33" s="91">
        <f t="shared" si="2"/>
        <v>69.22</v>
      </c>
      <c r="P33" s="92">
        <f t="shared" si="3"/>
        <v>69.66</v>
      </c>
      <c r="Q33" s="91">
        <f t="shared" ca="1" si="4"/>
        <v>80.819999999999979</v>
      </c>
      <c r="R33" s="92">
        <f ca="1">IF($Q$2=$V$2,$F$21*Tabla43[[#This Row],[límite sup]]-$F$19,($F$22*Tabla43[[#This Row],[límite sup]]-$F$19)/$F$23)</f>
        <v>82.139999999999958</v>
      </c>
      <c r="T33">
        <v>75</v>
      </c>
    </row>
    <row r="34" spans="2:21" x14ac:dyDescent="0.2">
      <c r="B34" s="4">
        <v>26</v>
      </c>
      <c r="C34" s="28" t="str">
        <f>IFERROR(oct!Q32,"")</f>
        <v/>
      </c>
      <c r="F34" s="28"/>
      <c r="H34" s="28"/>
      <c r="K34" s="42">
        <f ca="1">oct!K33</f>
        <v>12</v>
      </c>
      <c r="L34" s="42" t="str">
        <f>oct!L33</f>
        <v>Gladys Rocha Blanco</v>
      </c>
      <c r="M34" s="28">
        <f>oct!M33</f>
        <v>69.08</v>
      </c>
      <c r="N34" s="77">
        <f t="shared" si="1"/>
        <v>4.9999999999997158E-2</v>
      </c>
      <c r="O34" s="91">
        <f t="shared" si="2"/>
        <v>69.055000000000007</v>
      </c>
      <c r="P34" s="92">
        <f t="shared" si="3"/>
        <v>69.22</v>
      </c>
      <c r="Q34" s="91">
        <f t="shared" ca="1" si="4"/>
        <v>80.325000000000003</v>
      </c>
      <c r="R34" s="92">
        <f ca="1">IF($Q$2=$V$2,$F$21*Tabla43[[#This Row],[límite sup]]-$F$19,($F$22*Tabla43[[#This Row],[límite sup]]-$F$19)/$F$23)</f>
        <v>80.819999999999979</v>
      </c>
      <c r="T34">
        <v>75</v>
      </c>
      <c r="U34">
        <f>AVERAGE(T31:T34)</f>
        <v>69.25</v>
      </c>
    </row>
    <row r="35" spans="2:21" x14ac:dyDescent="0.2">
      <c r="B35" s="4">
        <v>27</v>
      </c>
      <c r="C35" s="28" t="str">
        <f>IFERROR(oct!Q33,"")</f>
        <v/>
      </c>
      <c r="F35" s="4"/>
      <c r="H35" s="4"/>
      <c r="K35" s="42">
        <f ca="1">oct!K34</f>
        <v>11</v>
      </c>
      <c r="L35" s="42" t="str">
        <f>oct!L34</f>
        <v>Aitor Folch</v>
      </c>
      <c r="M35" s="28">
        <f>oct!M34</f>
        <v>69.03</v>
      </c>
      <c r="N35" s="77">
        <f t="shared" si="1"/>
        <v>0.34999999999999432</v>
      </c>
      <c r="O35" s="91">
        <f t="shared" si="2"/>
        <v>68.855000000000004</v>
      </c>
      <c r="P35" s="92">
        <f t="shared" si="3"/>
        <v>69.055000000000007</v>
      </c>
      <c r="Q35" s="91">
        <f t="shared" ca="1" si="4"/>
        <v>79.724999999999994</v>
      </c>
      <c r="R35" s="92">
        <f ca="1">IF($Q$2=$V$2,$F$21*Tabla43[[#This Row],[límite sup]]-$F$19,($F$22*Tabla43[[#This Row],[límite sup]]-$F$19)/$F$23)</f>
        <v>80.325000000000003</v>
      </c>
    </row>
    <row r="36" spans="2:21" x14ac:dyDescent="0.2">
      <c r="B36" s="4">
        <v>28</v>
      </c>
      <c r="C36" s="28" t="str">
        <f>IFERROR(oct!Q34,"")</f>
        <v/>
      </c>
      <c r="F36" s="28"/>
      <c r="H36" s="28"/>
      <c r="K36" s="42">
        <f ca="1">oct!K35</f>
        <v>10</v>
      </c>
      <c r="L36" s="42" t="str">
        <f>oct!L35</f>
        <v>Beatriz Muñoz Rioboo</v>
      </c>
      <c r="M36" s="28">
        <f>oct!M35</f>
        <v>68.680000000000007</v>
      </c>
      <c r="N36" s="77">
        <f t="shared" si="1"/>
        <v>0.60000000000000853</v>
      </c>
      <c r="O36" s="91">
        <f t="shared" si="2"/>
        <v>68.38</v>
      </c>
      <c r="P36" s="92">
        <f t="shared" si="3"/>
        <v>68.855000000000004</v>
      </c>
      <c r="Q36" s="91">
        <f t="shared" ca="1" si="4"/>
        <v>78.299999999999955</v>
      </c>
      <c r="R36" s="92">
        <f ca="1">IF($Q$2=$V$2,$F$21*Tabla43[[#This Row],[límite sup]]-$F$19,($F$22*Tabla43[[#This Row],[límite sup]]-$F$19)/$F$23)</f>
        <v>79.724999999999994</v>
      </c>
    </row>
    <row r="37" spans="2:21" x14ac:dyDescent="0.2">
      <c r="B37" s="4">
        <v>29</v>
      </c>
      <c r="C37" s="28" t="str">
        <f>IFERROR(oct!Q35,"")</f>
        <v/>
      </c>
      <c r="K37" s="42">
        <f ca="1">oct!K36</f>
        <v>9</v>
      </c>
      <c r="L37" s="42" t="str">
        <f>oct!L36</f>
        <v>Jose F Vidal</v>
      </c>
      <c r="M37" s="28">
        <f>oct!M36</f>
        <v>68.08</v>
      </c>
      <c r="N37" s="77">
        <f t="shared" si="1"/>
        <v>0.23000000000000398</v>
      </c>
      <c r="O37" s="91">
        <f t="shared" si="2"/>
        <v>67.965000000000003</v>
      </c>
      <c r="P37" s="92">
        <f t="shared" si="3"/>
        <v>68.38</v>
      </c>
      <c r="Q37" s="91">
        <f t="shared" ca="1" si="4"/>
        <v>77.054999999999993</v>
      </c>
      <c r="R37" s="92">
        <f ca="1">IF($Q$2=$V$2,$F$21*Tabla43[[#This Row],[límite sup]]-$F$19,($F$22*Tabla43[[#This Row],[límite sup]]-$F$19)/$F$23)</f>
        <v>78.299999999999955</v>
      </c>
    </row>
    <row r="38" spans="2:21" x14ac:dyDescent="0.2">
      <c r="B38" s="4">
        <v>30</v>
      </c>
      <c r="C38" s="28" t="str">
        <f>IFERROR(oct!Q36,"")</f>
        <v/>
      </c>
      <c r="K38" s="42">
        <f ca="1">oct!K37</f>
        <v>8</v>
      </c>
      <c r="L38" s="42" t="str">
        <f>oct!L37</f>
        <v>Alfonso Lezcano</v>
      </c>
      <c r="M38" s="28">
        <f>oct!M37</f>
        <v>67.849999999999994</v>
      </c>
      <c r="N38" s="77">
        <f t="shared" si="1"/>
        <v>1.4499999999999886</v>
      </c>
      <c r="O38" s="91">
        <f t="shared" si="2"/>
        <v>67.125</v>
      </c>
      <c r="P38" s="92">
        <f t="shared" si="3"/>
        <v>67.965000000000003</v>
      </c>
      <c r="Q38" s="91">
        <f t="shared" ca="1" si="4"/>
        <v>74.534999999999997</v>
      </c>
      <c r="R38" s="92">
        <f ca="1">IF($Q$2=$V$2,$F$21*Tabla43[[#This Row],[límite sup]]-$F$19,($F$22*Tabla43[[#This Row],[límite sup]]-$F$19)/$F$23)</f>
        <v>77.054999999999993</v>
      </c>
    </row>
    <row r="39" spans="2:21" x14ac:dyDescent="0.2">
      <c r="B39" s="4"/>
      <c r="C39" s="28"/>
      <c r="K39" s="42">
        <f ca="1">oct!K38</f>
        <v>5</v>
      </c>
      <c r="L39" s="42" t="str">
        <f>oct!L38</f>
        <v>Roque Alonso Alonso</v>
      </c>
      <c r="M39" s="28">
        <f>oct!M38</f>
        <v>66.400000000000006</v>
      </c>
      <c r="N39" s="77">
        <f t="shared" si="1"/>
        <v>0.15000000000000568</v>
      </c>
      <c r="O39" s="91">
        <f t="shared" si="2"/>
        <v>66.325000000000003</v>
      </c>
      <c r="P39" s="92">
        <f t="shared" si="3"/>
        <v>67.125</v>
      </c>
      <c r="Q39" s="91">
        <f t="shared" ca="1" si="4"/>
        <v>72.134999999999991</v>
      </c>
      <c r="R39" s="92">
        <f ca="1">IF($Q$2=$V$2,$F$21*Tabla43[[#This Row],[límite sup]]-$F$19,($F$22*Tabla43[[#This Row],[límite sup]]-$F$19)/$F$23)</f>
        <v>74.534999999999997</v>
      </c>
    </row>
    <row r="40" spans="2:21" x14ac:dyDescent="0.2">
      <c r="B40" s="4"/>
      <c r="C40" s="28" t="str">
        <f>IFERROR(omie_mayo_miniporra[[#This Row],[€/MWh]],"")</f>
        <v/>
      </c>
      <c r="K40" s="42">
        <f ca="1">oct!K39</f>
        <v>4</v>
      </c>
      <c r="L40" s="42" t="str">
        <f>oct!L39</f>
        <v>Josep Vidal</v>
      </c>
      <c r="M40" s="28">
        <f>oct!M39</f>
        <v>66.25</v>
      </c>
      <c r="N40" s="77">
        <f t="shared" si="1"/>
        <v>0.89000000000000057</v>
      </c>
      <c r="O40" s="91">
        <f t="shared" si="2"/>
        <v>65.805000000000007</v>
      </c>
      <c r="P40" s="92">
        <f t="shared" si="3"/>
        <v>66.325000000000003</v>
      </c>
      <c r="Q40" s="91">
        <f t="shared" ca="1" si="4"/>
        <v>70.575000000000003</v>
      </c>
      <c r="R40" s="92">
        <f ca="1">IF($Q$2=$V$2,$F$21*Tabla43[[#This Row],[límite sup]]-$F$19,($F$22*Tabla43[[#This Row],[límite sup]]-$F$19)/$F$23)</f>
        <v>72.134999999999991</v>
      </c>
    </row>
    <row r="41" spans="2:21" x14ac:dyDescent="0.2">
      <c r="B41" s="4"/>
      <c r="C41" s="28" t="str">
        <f>IFERROR(omie_mayo_miniporra[[#This Row],[€/MWh]],"")</f>
        <v/>
      </c>
      <c r="K41" s="42">
        <f ca="1">oct!K40</f>
        <v>3</v>
      </c>
      <c r="L41" s="42" t="str">
        <f>oct!L40</f>
        <v>Ruben Sanjuan Escribano</v>
      </c>
      <c r="M41" s="28">
        <f>oct!M40</f>
        <v>65.36</v>
      </c>
      <c r="N41" s="77">
        <f t="shared" si="1"/>
        <v>0.12999999999999545</v>
      </c>
      <c r="O41" s="91">
        <f t="shared" si="2"/>
        <v>65.295000000000002</v>
      </c>
      <c r="P41" s="92">
        <f t="shared" si="3"/>
        <v>65.805000000000007</v>
      </c>
      <c r="Q41" s="91">
        <f t="shared" ca="1" si="4"/>
        <v>69.045000000000002</v>
      </c>
      <c r="R41" s="92">
        <f ca="1">IF($Q$2=$V$2,$F$21*Tabla43[[#This Row],[límite sup]]-$F$19,($F$22*Tabla43[[#This Row],[límite sup]]-$F$19)/$F$23)</f>
        <v>70.575000000000003</v>
      </c>
    </row>
    <row r="42" spans="2:21" x14ac:dyDescent="0.2">
      <c r="B42" s="4"/>
      <c r="C42" s="28" t="str">
        <f>IFERROR(omie_mayo_miniporra[[#This Row],[€/MWh]],"")</f>
        <v/>
      </c>
      <c r="K42" s="42">
        <f ca="1">oct!K41</f>
        <v>2</v>
      </c>
      <c r="L42" s="42" t="str">
        <f>oct!L41</f>
        <v>Ricardo Estévez Solís</v>
      </c>
      <c r="M42" s="28">
        <f>oct!M41</f>
        <v>65.23</v>
      </c>
      <c r="N42" s="77">
        <f t="shared" si="1"/>
        <v>2.8300000000000054</v>
      </c>
      <c r="O42" s="91">
        <f t="shared" si="2"/>
        <v>63.814999999999998</v>
      </c>
      <c r="P42" s="92">
        <f t="shared" si="3"/>
        <v>65.295000000000002</v>
      </c>
      <c r="Q42" s="91">
        <f t="shared" ca="1" si="4"/>
        <v>64.604999999999976</v>
      </c>
      <c r="R42" s="92">
        <f ca="1">IF($Q$2=$V$2,$F$21*Tabla43[[#This Row],[límite sup]]-$F$19,($F$22*Tabla43[[#This Row],[límite sup]]-$F$19)/$F$23)</f>
        <v>69.045000000000002</v>
      </c>
    </row>
    <row r="43" spans="2:21" x14ac:dyDescent="0.2">
      <c r="B43" s="4"/>
      <c r="C43" s="28" t="str">
        <f>IFERROR(omie_mayo_miniporra[[#This Row],[€/MWh]],"")</f>
        <v/>
      </c>
      <c r="F43" s="4"/>
      <c r="K43" s="42">
        <f ca="1">oct!K42</f>
        <v>1</v>
      </c>
      <c r="L43" s="42" t="str">
        <f>oct!L42</f>
        <v>Diego Montesino</v>
      </c>
      <c r="M43" s="28">
        <f>oct!M42</f>
        <v>62.4</v>
      </c>
      <c r="N43" s="77">
        <f t="shared" si="1"/>
        <v>2.3999999999999986</v>
      </c>
      <c r="O43" s="91">
        <f t="shared" si="2"/>
        <v>61.2</v>
      </c>
      <c r="P43" s="92">
        <f t="shared" si="3"/>
        <v>63.814999999999998</v>
      </c>
      <c r="Q43" s="91">
        <f t="shared" ca="1" si="4"/>
        <v>56.759999999999991</v>
      </c>
      <c r="R43" s="92">
        <f ca="1">IF($Q$2=$V$2,$F$21*Tabla43[[#This Row],[límite sup]]-$F$19,($F$22*Tabla43[[#This Row],[límite sup]]-$F$19)/$F$23)</f>
        <v>64.604999999999976</v>
      </c>
    </row>
    <row r="44" spans="2:21" x14ac:dyDescent="0.2">
      <c r="K44" s="42">
        <f ca="1">oct!K43</f>
        <v>6</v>
      </c>
      <c r="L44" s="42" t="str">
        <f>oct!L43</f>
        <v>Alfonso Zárate Conde</v>
      </c>
      <c r="M44" s="28">
        <f>oct!M43</f>
        <v>60</v>
      </c>
      <c r="N44" s="77">
        <f t="shared" si="1"/>
        <v>0.20000000000000284</v>
      </c>
      <c r="O44" s="91">
        <f t="shared" si="2"/>
        <v>59.9</v>
      </c>
      <c r="P44" s="92">
        <f t="shared" si="3"/>
        <v>61.2</v>
      </c>
      <c r="Q44" s="91">
        <f t="shared" ca="1" si="4"/>
        <v>52.859999999999992</v>
      </c>
      <c r="R44" s="92">
        <f ca="1">IF($Q$2=$V$2,$F$21*Tabla43[[#This Row],[límite sup]]-$F$19,($F$22*Tabla43[[#This Row],[límite sup]]-$F$19)/$F$23)</f>
        <v>56.759999999999991</v>
      </c>
    </row>
    <row r="45" spans="2:21" x14ac:dyDescent="0.2">
      <c r="K45" s="42">
        <f ca="1">oct!K44</f>
        <v>7</v>
      </c>
      <c r="L45" s="42" t="str">
        <f>oct!L44</f>
        <v>Carles Estruch Puig</v>
      </c>
      <c r="M45" s="28">
        <f>oct!M44</f>
        <v>59.8</v>
      </c>
      <c r="N45" s="77">
        <f t="shared" si="1"/>
        <v>15.18</v>
      </c>
      <c r="O45" s="91">
        <f t="shared" si="2"/>
        <v>52.209999999999994</v>
      </c>
      <c r="P45" s="92">
        <f t="shared" si="3"/>
        <v>59.9</v>
      </c>
      <c r="Q45" s="91">
        <f t="shared" ca="1" si="4"/>
        <v>29.789999999999964</v>
      </c>
      <c r="R45" s="92">
        <f ca="1">IF($Q$2=$V$2,$F$21*Tabla43[[#This Row],[límite sup]]-$F$19,($F$22*Tabla43[[#This Row],[límite sup]]-$F$19)/$F$23)</f>
        <v>52.859999999999992</v>
      </c>
    </row>
    <row r="46" spans="2:21" x14ac:dyDescent="0.2">
      <c r="K46" s="42">
        <f ca="1">oct!K45</f>
        <v>32</v>
      </c>
      <c r="L46" s="42" t="str">
        <f>oct!L45</f>
        <v>Pablo Herrero Del Barrio</v>
      </c>
      <c r="M46" s="28">
        <f>oct!M45</f>
        <v>44.62</v>
      </c>
      <c r="N46" s="77">
        <f t="shared" si="1"/>
        <v>44.62</v>
      </c>
      <c r="O46" s="91">
        <f t="shared" si="2"/>
        <v>22.31</v>
      </c>
      <c r="P46" s="92">
        <f t="shared" si="3"/>
        <v>52.209999999999994</v>
      </c>
      <c r="Q46" s="91">
        <f t="shared" si="4"/>
        <v>0</v>
      </c>
      <c r="R46" s="92">
        <f ca="1">IF($Q$2=$V$2,$F$21*Tabla43[[#This Row],[límite sup]]-$F$19,($F$22*Tabla43[[#This Row],[límite sup]]-$F$19)/$F$23)</f>
        <v>29.789999999999964</v>
      </c>
    </row>
    <row r="47" spans="2:21" x14ac:dyDescent="0.2">
      <c r="K47" s="42"/>
      <c r="L47" s="42"/>
      <c r="M47" s="28"/>
      <c r="N47" s="77"/>
      <c r="O47" s="91"/>
      <c r="P47" s="92"/>
      <c r="Q47" s="91"/>
      <c r="R47" s="92"/>
    </row>
    <row r="48" spans="2:21" x14ac:dyDescent="0.2">
      <c r="K48" s="42"/>
      <c r="L48" s="42"/>
      <c r="M48" s="28"/>
      <c r="N48" s="77"/>
      <c r="O48" s="91"/>
      <c r="P48" s="92"/>
      <c r="Q48" s="91"/>
      <c r="R48" s="92"/>
    </row>
    <row r="49" spans="11:18" x14ac:dyDescent="0.2">
      <c r="K49" s="42"/>
      <c r="L49" s="42"/>
      <c r="M49" s="28"/>
      <c r="N49" s="77"/>
      <c r="O49" s="28"/>
      <c r="P49" s="28"/>
      <c r="Q49" s="28"/>
      <c r="R49" s="28"/>
    </row>
    <row r="50" spans="11:18" x14ac:dyDescent="0.2">
      <c r="K50" s="42"/>
      <c r="L50" s="42"/>
      <c r="M50" s="28"/>
      <c r="N50" s="77"/>
      <c r="O50" s="28"/>
      <c r="P50" s="28"/>
      <c r="Q50" s="28"/>
      <c r="R50" s="28"/>
    </row>
    <row r="51" spans="11:18" x14ac:dyDescent="0.2">
      <c r="K51" s="42"/>
      <c r="L51" s="42"/>
      <c r="M51" s="28"/>
      <c r="N51" s="77"/>
      <c r="O51" s="28"/>
      <c r="P51" s="28"/>
      <c r="Q51" s="28"/>
      <c r="R51" s="28"/>
    </row>
    <row r="52" spans="11:18" x14ac:dyDescent="0.2">
      <c r="K52" s="42"/>
      <c r="L52" s="42"/>
      <c r="M52" s="28"/>
      <c r="N52" s="77"/>
      <c r="O52" s="28"/>
      <c r="P52" s="28"/>
      <c r="Q52" s="28"/>
      <c r="R52" s="28"/>
    </row>
    <row r="53" spans="11:18" x14ac:dyDescent="0.2">
      <c r="K53" s="42"/>
      <c r="L53" s="42"/>
      <c r="M53" s="28"/>
      <c r="N53" s="77"/>
      <c r="O53" s="28"/>
      <c r="P53" s="28"/>
      <c r="Q53" s="28"/>
      <c r="R53" s="28"/>
    </row>
    <row r="54" spans="11:18" x14ac:dyDescent="0.2">
      <c r="K54" s="42"/>
      <c r="L54" s="42"/>
      <c r="M54" s="28"/>
      <c r="N54" s="77"/>
      <c r="O54" s="28"/>
      <c r="P54" s="28"/>
      <c r="Q54" s="28"/>
      <c r="R54" s="28"/>
    </row>
    <row r="55" spans="11:18" x14ac:dyDescent="0.2">
      <c r="K55" s="42"/>
      <c r="L55" s="42"/>
      <c r="M55" s="28"/>
      <c r="N55" s="77"/>
      <c r="O55" s="28"/>
      <c r="P55" s="28"/>
      <c r="Q55" s="28"/>
      <c r="R55" s="28"/>
    </row>
    <row r="56" spans="11:18" x14ac:dyDescent="0.2">
      <c r="K56" s="42"/>
      <c r="L56" s="42"/>
      <c r="M56" s="28"/>
      <c r="N56" s="77"/>
      <c r="O56" s="28"/>
      <c r="P56" s="28"/>
      <c r="Q56" s="28"/>
      <c r="R56" s="28"/>
    </row>
    <row r="57" spans="11:18" x14ac:dyDescent="0.2">
      <c r="K57" s="42"/>
      <c r="L57" s="42"/>
      <c r="M57" s="28"/>
      <c r="N57" s="77"/>
      <c r="O57" s="28"/>
      <c r="P57" s="28"/>
      <c r="Q57" s="28"/>
      <c r="R57" s="28"/>
    </row>
    <row r="58" spans="11:18" x14ac:dyDescent="0.2">
      <c r="K58" s="42"/>
      <c r="L58" s="42"/>
      <c r="M58" s="28"/>
      <c r="N58" s="77"/>
      <c r="O58" s="28"/>
      <c r="P58" s="28"/>
      <c r="Q58" s="28"/>
      <c r="R58" s="28"/>
    </row>
    <row r="59" spans="11:18" x14ac:dyDescent="0.2">
      <c r="L59" s="28"/>
      <c r="M59" s="77"/>
      <c r="N59" s="28"/>
      <c r="O59" s="28"/>
      <c r="P59" s="28"/>
      <c r="Q59" s="28"/>
    </row>
  </sheetData>
  <mergeCells count="5">
    <mergeCell ref="K2:L5"/>
    <mergeCell ref="M3:M5"/>
    <mergeCell ref="O3:O5"/>
    <mergeCell ref="P3:P5"/>
    <mergeCell ref="Q2:R5"/>
  </mergeCells>
  <conditionalFormatting sqref="K8:R58">
    <cfRule type="expression" dxfId="43" priority="1" stopIfTrue="1">
      <formula>$K8:$K58=1</formula>
    </cfRule>
    <cfRule type="expression" priority="2" stopIfTrue="1">
      <formula>$M8:$M58&gt;=$U$13+1</formula>
    </cfRule>
    <cfRule type="expression" dxfId="42" priority="74">
      <formula>$M8:$M58&gt;=$U$10+1</formula>
    </cfRule>
    <cfRule type="expression" dxfId="41" priority="75">
      <formula>$M8:$M58&gt;=$U$9</formula>
    </cfRule>
    <cfRule type="expression" dxfId="40" priority="77">
      <formula>$M8:$M58&gt;=$U$12</formula>
    </cfRule>
  </conditionalFormatting>
  <dataValidations disablePrompts="1" count="1">
    <dataValidation type="list" allowBlank="1" showInputMessage="1" showErrorMessage="1" sqref="Q2:R5" xr:uid="{BC0CB891-09A1-4D23-927D-B78D14233AD7}">
      <formula1>$V$2:$V$3</formula1>
    </dataValidation>
  </dataValidations>
  <pageMargins left="0.7" right="0.7" top="0.75" bottom="0.75" header="0.3" footer="0.3"/>
  <drawing r:id="rId1"/>
  <tableParts count="2">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580A-F108-493D-8DA5-148B8DAE2074}">
  <sheetPr codeName="Hoja7"/>
  <dimension ref="A2:Z97"/>
  <sheetViews>
    <sheetView zoomScaleNormal="100" workbookViewId="0">
      <selection activeCell="S44" sqref="S44"/>
    </sheetView>
  </sheetViews>
  <sheetFormatPr baseColWidth="10" defaultRowHeight="12" x14ac:dyDescent="0.2"/>
  <cols>
    <col min="1" max="1" width="28.5703125" bestFit="1" customWidth="1"/>
    <col min="3" max="3" width="12.140625" bestFit="1" customWidth="1"/>
    <col min="4" max="4" width="12.140625" customWidth="1"/>
  </cols>
  <sheetData>
    <row r="2" spans="1:26" x14ac:dyDescent="0.2">
      <c r="C2" t="s">
        <v>810</v>
      </c>
      <c r="D2" t="s">
        <v>811</v>
      </c>
    </row>
    <row r="3" spans="1:26" x14ac:dyDescent="0.2">
      <c r="A3" t="s">
        <v>1026</v>
      </c>
      <c r="B3" s="80">
        <v>44.62</v>
      </c>
      <c r="C3">
        <f>_xlfn.NORM.DIST(B3,$F$3,$F$4,FALSE)</f>
        <v>6.1075695809999458E-4</v>
      </c>
      <c r="D3">
        <f>_xlfn.NORM.DIST(B3,$F$3,$F$4,TRUE)</f>
        <v>1.8726634117210118E-3</v>
      </c>
      <c r="E3" t="s">
        <v>489</v>
      </c>
      <c r="F3" s="21">
        <f>AVERAGE(B3:B41)</f>
        <v>72.966923076923095</v>
      </c>
    </row>
    <row r="4" spans="1:26" x14ac:dyDescent="0.2">
      <c r="A4" t="s">
        <v>215</v>
      </c>
      <c r="B4" s="81">
        <v>59.8</v>
      </c>
      <c r="C4">
        <f t="shared" ref="C4:C41" si="0">_xlfn.NORM.DIST(B4,$F$3,$F$4,FALSE)</f>
        <v>1.6479056579468087E-2</v>
      </c>
      <c r="D4">
        <f t="shared" ref="D4:D41" si="1">_xlfn.NORM.DIST(B4,$F$3,$F$4,TRUE)</f>
        <v>8.9071695548580188E-2</v>
      </c>
      <c r="E4" t="s">
        <v>809</v>
      </c>
      <c r="F4">
        <f>_xlfn.STDEV.S(B3:B41)</f>
        <v>9.7786750135302878</v>
      </c>
      <c r="Y4" t="s">
        <v>960</v>
      </c>
    </row>
    <row r="5" spans="1:26" x14ac:dyDescent="0.2">
      <c r="A5" t="s">
        <v>1137</v>
      </c>
      <c r="B5" s="80">
        <v>60</v>
      </c>
      <c r="C5">
        <f t="shared" si="0"/>
        <v>1.6935643902894752E-2</v>
      </c>
      <c r="D5">
        <f t="shared" si="1"/>
        <v>9.2413074097179609E-2</v>
      </c>
      <c r="E5" s="45" t="s">
        <v>808</v>
      </c>
      <c r="F5" s="83">
        <f>MEDIAN(B3:B41)</f>
        <v>71.739999999999995</v>
      </c>
      <c r="Y5" t="s">
        <v>553</v>
      </c>
      <c r="Z5" s="23">
        <f>powerrange!U9</f>
        <v>61.137000000000008</v>
      </c>
    </row>
    <row r="6" spans="1:26" x14ac:dyDescent="0.2">
      <c r="A6" t="s">
        <v>1135</v>
      </c>
      <c r="B6" s="81">
        <v>62.4</v>
      </c>
      <c r="C6">
        <f t="shared" si="0"/>
        <v>2.2754318961164997E-2</v>
      </c>
      <c r="D6">
        <f t="shared" si="1"/>
        <v>0.13993556488377709</v>
      </c>
      <c r="Y6" t="s">
        <v>959</v>
      </c>
      <c r="Z6" s="23">
        <f>powerrange!U10</f>
        <v>74.723000000000013</v>
      </c>
    </row>
    <row r="7" spans="1:26" x14ac:dyDescent="0.2">
      <c r="A7" t="s">
        <v>1028</v>
      </c>
      <c r="B7" s="80">
        <v>65.23</v>
      </c>
      <c r="C7">
        <f t="shared" si="0"/>
        <v>2.9832880727356247E-2</v>
      </c>
      <c r="D7">
        <f t="shared" si="1"/>
        <v>0.21441258948052724</v>
      </c>
    </row>
    <row r="8" spans="1:26" x14ac:dyDescent="0.2">
      <c r="A8" t="s">
        <v>1106</v>
      </c>
      <c r="B8" s="81">
        <v>65.36</v>
      </c>
      <c r="C8">
        <f t="shared" si="0"/>
        <v>3.0145668371600112E-2</v>
      </c>
      <c r="D8">
        <f t="shared" si="1"/>
        <v>0.21831121724812755</v>
      </c>
    </row>
    <row r="9" spans="1:26" x14ac:dyDescent="0.2">
      <c r="A9" t="s">
        <v>1103</v>
      </c>
      <c r="B9" s="80">
        <v>66.25</v>
      </c>
      <c r="C9">
        <f t="shared" si="0"/>
        <v>3.2223640890616564E-2</v>
      </c>
      <c r="D9">
        <f t="shared" si="1"/>
        <v>0.24607444565809339</v>
      </c>
    </row>
    <row r="10" spans="1:26" x14ac:dyDescent="0.2">
      <c r="A10" t="s">
        <v>363</v>
      </c>
      <c r="B10" s="81">
        <v>66.400000000000006</v>
      </c>
      <c r="C10">
        <f t="shared" si="0"/>
        <v>3.256113337048612E-2</v>
      </c>
      <c r="D10">
        <f t="shared" si="1"/>
        <v>0.25093335504799574</v>
      </c>
    </row>
    <row r="11" spans="1:26" x14ac:dyDescent="0.2">
      <c r="A11" t="s">
        <v>221</v>
      </c>
      <c r="B11" s="80">
        <v>67.849999999999994</v>
      </c>
      <c r="C11">
        <f t="shared" si="0"/>
        <v>3.5577203719672892E-2</v>
      </c>
      <c r="D11">
        <f t="shared" si="1"/>
        <v>0.30039191361510487</v>
      </c>
    </row>
    <row r="12" spans="1:26" x14ac:dyDescent="0.2">
      <c r="A12" t="s">
        <v>222</v>
      </c>
      <c r="B12" s="81">
        <v>68.08</v>
      </c>
      <c r="C12">
        <f t="shared" si="0"/>
        <v>3.6007821309288278E-2</v>
      </c>
      <c r="D12">
        <f t="shared" si="1"/>
        <v>0.30862447171985369</v>
      </c>
    </row>
    <row r="13" spans="1:26" x14ac:dyDescent="0.2">
      <c r="A13" t="s">
        <v>413</v>
      </c>
      <c r="B13" s="80">
        <v>68.680000000000007</v>
      </c>
      <c r="C13">
        <f t="shared" si="0"/>
        <v>3.7059236696896397E-2</v>
      </c>
      <c r="D13">
        <f t="shared" si="1"/>
        <v>0.33054995388500674</v>
      </c>
      <c r="F13">
        <f>_xlfn.PERCENTILE.INC(C3:C41,0.75)</f>
        <v>3.9176703392770962E-2</v>
      </c>
    </row>
    <row r="14" spans="1:26" x14ac:dyDescent="0.2">
      <c r="A14" t="s">
        <v>328</v>
      </c>
      <c r="B14" s="81">
        <v>69.03</v>
      </c>
      <c r="C14">
        <f t="shared" si="0"/>
        <v>3.762121786047351E-2</v>
      </c>
      <c r="D14">
        <f t="shared" si="1"/>
        <v>0.34362018200632127</v>
      </c>
    </row>
    <row r="15" spans="1:26" x14ac:dyDescent="0.2">
      <c r="A15" t="s">
        <v>409</v>
      </c>
      <c r="B15" s="80">
        <v>69.08</v>
      </c>
      <c r="C15">
        <f t="shared" si="0"/>
        <v>3.7698250962424615E-2</v>
      </c>
      <c r="D15">
        <f t="shared" si="1"/>
        <v>0.34550317217282495</v>
      </c>
    </row>
    <row r="16" spans="1:26" x14ac:dyDescent="0.2">
      <c r="A16" t="s">
        <v>1131</v>
      </c>
      <c r="B16" s="81">
        <v>69.36</v>
      </c>
      <c r="C16">
        <f t="shared" si="0"/>
        <v>3.8114141108429485E-2</v>
      </c>
      <c r="D16">
        <f t="shared" si="1"/>
        <v>0.35611752578906453</v>
      </c>
    </row>
    <row r="17" spans="1:4" x14ac:dyDescent="0.2">
      <c r="A17" t="s">
        <v>217</v>
      </c>
      <c r="B17" s="80">
        <v>69.959999999999994</v>
      </c>
      <c r="C17">
        <f t="shared" si="0"/>
        <v>3.8913266669493629E-2</v>
      </c>
      <c r="D17">
        <f t="shared" si="1"/>
        <v>0.37923216992268538</v>
      </c>
    </row>
    <row r="18" spans="1:4" x14ac:dyDescent="0.2">
      <c r="A18" t="s">
        <v>406</v>
      </c>
      <c r="B18" s="81">
        <v>70</v>
      </c>
      <c r="C18">
        <f t="shared" si="0"/>
        <v>3.896191781160431E-2</v>
      </c>
      <c r="D18">
        <f t="shared" si="1"/>
        <v>0.38078967558142263</v>
      </c>
    </row>
    <row r="19" spans="1:4" x14ac:dyDescent="0.2">
      <c r="A19" t="s">
        <v>542</v>
      </c>
      <c r="B19" s="80">
        <v>70.069999999999993</v>
      </c>
      <c r="C19">
        <f t="shared" si="0"/>
        <v>3.9045631612044385E-2</v>
      </c>
      <c r="D19">
        <f t="shared" si="1"/>
        <v>0.38351995042212184</v>
      </c>
    </row>
    <row r="20" spans="1:4" x14ac:dyDescent="0.2">
      <c r="A20" t="s">
        <v>414</v>
      </c>
      <c r="B20" s="81">
        <v>70.3</v>
      </c>
      <c r="C20">
        <f t="shared" si="0"/>
        <v>3.9307775173497546E-2</v>
      </c>
      <c r="D20">
        <f t="shared" si="1"/>
        <v>0.39253097399551184</v>
      </c>
    </row>
    <row r="21" spans="1:4" x14ac:dyDescent="0.2">
      <c r="A21" t="s">
        <v>474</v>
      </c>
      <c r="B21" s="80">
        <v>71.010000000000005</v>
      </c>
      <c r="C21">
        <f t="shared" si="0"/>
        <v>3.9988361266182874E-2</v>
      </c>
      <c r="D21">
        <f t="shared" si="1"/>
        <v>0.42069278084243761</v>
      </c>
    </row>
    <row r="22" spans="1:4" x14ac:dyDescent="0.2">
      <c r="A22" t="s">
        <v>652</v>
      </c>
      <c r="B22" s="81">
        <v>71.739999999999995</v>
      </c>
      <c r="C22">
        <f t="shared" si="0"/>
        <v>4.047730647107195E-2</v>
      </c>
      <c r="D22">
        <f t="shared" si="1"/>
        <v>0.45007603148313829</v>
      </c>
    </row>
    <row r="23" spans="1:4" x14ac:dyDescent="0.2">
      <c r="A23" t="s">
        <v>219</v>
      </c>
      <c r="B23" s="80">
        <v>72.22</v>
      </c>
      <c r="C23">
        <f t="shared" si="0"/>
        <v>4.0678332518310031E-2</v>
      </c>
      <c r="D23">
        <f t="shared" si="1"/>
        <v>0.46955725631598383</v>
      </c>
    </row>
    <row r="24" spans="1:4" x14ac:dyDescent="0.2">
      <c r="A24" t="s">
        <v>408</v>
      </c>
      <c r="B24" s="81">
        <v>72.45</v>
      </c>
      <c r="C24">
        <f t="shared" si="0"/>
        <v>4.0740208950538745E-2</v>
      </c>
      <c r="D24">
        <f t="shared" si="1"/>
        <v>0.47892081844791357</v>
      </c>
    </row>
    <row r="25" spans="1:4" x14ac:dyDescent="0.2">
      <c r="A25" t="s">
        <v>1126</v>
      </c>
      <c r="B25" s="80">
        <v>72.58</v>
      </c>
      <c r="C25">
        <f t="shared" si="0"/>
        <v>4.0765247232063664E-2</v>
      </c>
      <c r="D25">
        <f t="shared" si="1"/>
        <v>0.4842187509609166</v>
      </c>
    </row>
    <row r="26" spans="1:4" x14ac:dyDescent="0.2">
      <c r="A26" t="s">
        <v>1125</v>
      </c>
      <c r="B26" s="81">
        <v>73.75</v>
      </c>
      <c r="C26">
        <f t="shared" si="0"/>
        <v>4.0666568484847704E-2</v>
      </c>
      <c r="D26">
        <f t="shared" si="1"/>
        <v>0.53191321086692833</v>
      </c>
    </row>
    <row r="27" spans="1:4" x14ac:dyDescent="0.2">
      <c r="A27" t="s">
        <v>381</v>
      </c>
      <c r="B27" s="80">
        <v>74.09</v>
      </c>
      <c r="C27">
        <f t="shared" si="0"/>
        <v>4.0528990573977165E-2</v>
      </c>
      <c r="D27">
        <f t="shared" si="1"/>
        <v>0.54571783336538782</v>
      </c>
    </row>
    <row r="28" spans="1:4" x14ac:dyDescent="0.2">
      <c r="A28" t="s">
        <v>1121</v>
      </c>
      <c r="B28" s="81">
        <v>74.19</v>
      </c>
      <c r="C28">
        <f t="shared" si="0"/>
        <v>4.0479300929641658E-2</v>
      </c>
      <c r="D28">
        <f t="shared" si="1"/>
        <v>0.54976828273142142</v>
      </c>
    </row>
    <row r="29" spans="1:4" x14ac:dyDescent="0.2">
      <c r="A29" t="s">
        <v>784</v>
      </c>
      <c r="B29" s="80">
        <v>75.2</v>
      </c>
      <c r="C29">
        <f t="shared" si="0"/>
        <v>3.9747151122912966E-2</v>
      </c>
      <c r="D29">
        <f t="shared" si="1"/>
        <v>0.59031755151137677</v>
      </c>
    </row>
    <row r="30" spans="1:4" x14ac:dyDescent="0.2">
      <c r="A30" t="s">
        <v>2</v>
      </c>
      <c r="B30" s="81">
        <v>77.2</v>
      </c>
      <c r="C30">
        <f t="shared" si="0"/>
        <v>3.714824320027519E-2</v>
      </c>
      <c r="D30">
        <f t="shared" si="1"/>
        <v>0.66745214833527744</v>
      </c>
    </row>
    <row r="31" spans="1:4" x14ac:dyDescent="0.2">
      <c r="A31" t="s">
        <v>218</v>
      </c>
      <c r="B31" s="80">
        <v>77.77</v>
      </c>
      <c r="C31">
        <f t="shared" si="0"/>
        <v>3.6161119342424629E-2</v>
      </c>
      <c r="D31">
        <f t="shared" si="1"/>
        <v>0.68834997024363831</v>
      </c>
    </row>
    <row r="32" spans="1:4" x14ac:dyDescent="0.2">
      <c r="A32" t="s">
        <v>225</v>
      </c>
      <c r="B32" s="81">
        <v>78.319999999999993</v>
      </c>
      <c r="C32">
        <f t="shared" si="0"/>
        <v>3.5120200660154269E-2</v>
      </c>
      <c r="D32">
        <f t="shared" si="1"/>
        <v>0.70795610780589469</v>
      </c>
    </row>
    <row r="33" spans="1:18" x14ac:dyDescent="0.2">
      <c r="A33" t="s">
        <v>1118</v>
      </c>
      <c r="B33" s="80">
        <v>79.819999999999993</v>
      </c>
      <c r="C33">
        <f t="shared" si="0"/>
        <v>3.1913828923020658E-2</v>
      </c>
      <c r="D33">
        <f t="shared" si="1"/>
        <v>0.7582918725200819</v>
      </c>
    </row>
    <row r="34" spans="1:18" x14ac:dyDescent="0.2">
      <c r="A34" t="s">
        <v>1105</v>
      </c>
      <c r="B34" s="81">
        <v>80.099999999999994</v>
      </c>
      <c r="C34">
        <f t="shared" si="0"/>
        <v>3.1266974894380191E-2</v>
      </c>
      <c r="D34">
        <f t="shared" si="1"/>
        <v>0.76713748034065821</v>
      </c>
    </row>
    <row r="35" spans="1:18" x14ac:dyDescent="0.2">
      <c r="A35" t="s">
        <v>1102</v>
      </c>
      <c r="B35" s="80">
        <v>82.5</v>
      </c>
      <c r="C35">
        <f t="shared" si="0"/>
        <v>2.5366084685935202E-2</v>
      </c>
      <c r="D35">
        <f t="shared" si="1"/>
        <v>0.83519117713931579</v>
      </c>
    </row>
    <row r="36" spans="1:18" x14ac:dyDescent="0.2">
      <c r="A36" t="s">
        <v>792</v>
      </c>
      <c r="B36" s="81">
        <v>83.75</v>
      </c>
      <c r="C36">
        <f t="shared" si="0"/>
        <v>2.2211812046423911E-2</v>
      </c>
      <c r="D36">
        <f t="shared" si="1"/>
        <v>0.86492419826675415</v>
      </c>
    </row>
    <row r="37" spans="1:18" x14ac:dyDescent="0.2">
      <c r="A37" t="s">
        <v>475</v>
      </c>
      <c r="B37" s="80">
        <v>83.81</v>
      </c>
      <c r="C37">
        <f t="shared" si="0"/>
        <v>2.2061618238746687E-2</v>
      </c>
      <c r="D37">
        <f t="shared" si="1"/>
        <v>0.86625240024710715</v>
      </c>
    </row>
    <row r="38" spans="1:18" x14ac:dyDescent="0.2">
      <c r="A38" t="s">
        <v>786</v>
      </c>
      <c r="B38" s="81">
        <v>84.07</v>
      </c>
      <c r="C38">
        <f t="shared" si="0"/>
        <v>2.1413108657017864E-2</v>
      </c>
      <c r="D38">
        <f t="shared" si="1"/>
        <v>0.8719040284590176</v>
      </c>
    </row>
    <row r="39" spans="1:18" x14ac:dyDescent="0.2">
      <c r="A39" t="s">
        <v>362</v>
      </c>
      <c r="B39" s="80">
        <v>85.17</v>
      </c>
      <c r="C39">
        <f t="shared" si="0"/>
        <v>1.8726718415234704E-2</v>
      </c>
      <c r="D39">
        <f t="shared" si="1"/>
        <v>0.89397118551360599</v>
      </c>
    </row>
    <row r="40" spans="1:18" x14ac:dyDescent="0.2">
      <c r="A40" t="s">
        <v>1027</v>
      </c>
      <c r="B40" s="81">
        <v>89.16</v>
      </c>
      <c r="C40">
        <f t="shared" si="0"/>
        <v>1.0355460814994154E-2</v>
      </c>
      <c r="D40">
        <f t="shared" si="1"/>
        <v>0.95113485639503259</v>
      </c>
    </row>
    <row r="41" spans="1:18" x14ac:dyDescent="0.2">
      <c r="A41" t="s">
        <v>944</v>
      </c>
      <c r="B41" s="82">
        <v>104.34</v>
      </c>
      <c r="C41">
        <f t="shared" si="0"/>
        <v>2.3739444870150475E-4</v>
      </c>
      <c r="D41">
        <f t="shared" si="1"/>
        <v>0.99933242582935355</v>
      </c>
    </row>
    <row r="42" spans="1:18" x14ac:dyDescent="0.2">
      <c r="B42" s="28"/>
    </row>
    <row r="43" spans="1:18" x14ac:dyDescent="0.2">
      <c r="B43" s="28"/>
    </row>
    <row r="44" spans="1:18" x14ac:dyDescent="0.2">
      <c r="B44" s="28"/>
      <c r="Q44" t="s">
        <v>874</v>
      </c>
      <c r="R44" s="26">
        <v>72.97</v>
      </c>
    </row>
    <row r="45" spans="1:18" x14ac:dyDescent="0.2">
      <c r="B45" s="28"/>
      <c r="K45" s="15" t="s">
        <v>222</v>
      </c>
      <c r="L45" s="99">
        <v>81.599999999999994</v>
      </c>
      <c r="M45" s="4">
        <v>0</v>
      </c>
      <c r="Q45" t="s">
        <v>4</v>
      </c>
      <c r="R45" s="21">
        <f ca="1">oct!B3</f>
        <v>63.42</v>
      </c>
    </row>
    <row r="46" spans="1:18" x14ac:dyDescent="0.2">
      <c r="B46" s="28"/>
      <c r="L46" s="4">
        <f>L45</f>
        <v>81.599999999999994</v>
      </c>
      <c r="M46" t="e">
        <f>INDEX(C3:C55,MATCH(L46,B3:B53,-1))</f>
        <v>#N/A</v>
      </c>
      <c r="Q46" t="s">
        <v>1034</v>
      </c>
      <c r="R46" s="21">
        <f ca="1">ABS(R44-R45)</f>
        <v>9.5499999999999972</v>
      </c>
    </row>
    <row r="47" spans="1:18" x14ac:dyDescent="0.2">
      <c r="B47" s="28"/>
      <c r="L47" s="4"/>
      <c r="M47" s="4"/>
      <c r="Q47" t="s">
        <v>1035</v>
      </c>
      <c r="R47" s="43">
        <f ca="1">R46/R45</f>
        <v>0.15058341217281609</v>
      </c>
    </row>
    <row r="48" spans="1:18" x14ac:dyDescent="0.2">
      <c r="B48" s="28"/>
      <c r="L48" s="4"/>
      <c r="M48" s="4"/>
    </row>
    <row r="49" spans="1:13" x14ac:dyDescent="0.2">
      <c r="B49" s="28"/>
      <c r="K49" t="s">
        <v>229</v>
      </c>
      <c r="L49" s="44">
        <f ca="1">oct!$B$3</f>
        <v>63.42</v>
      </c>
      <c r="M49" s="4">
        <v>0</v>
      </c>
    </row>
    <row r="50" spans="1:13" x14ac:dyDescent="0.2">
      <c r="B50" s="28"/>
      <c r="L50" s="28">
        <f ca="1">L49</f>
        <v>63.42</v>
      </c>
      <c r="M50" s="4">
        <f ca="1">INDEX(C3:C41,MATCH(L49,C3:C41,1))+0.01</f>
        <v>1.0237394448701505E-2</v>
      </c>
    </row>
    <row r="51" spans="1:13" x14ac:dyDescent="0.2">
      <c r="B51" s="28"/>
    </row>
    <row r="52" spans="1:13" x14ac:dyDescent="0.2">
      <c r="B52" s="28"/>
    </row>
    <row r="53" spans="1:13" x14ac:dyDescent="0.2">
      <c r="B53" s="28"/>
    </row>
    <row r="54" spans="1:13" x14ac:dyDescent="0.2">
      <c r="B54" s="28"/>
    </row>
    <row r="55" spans="1:13" x14ac:dyDescent="0.2">
      <c r="B55" s="28"/>
    </row>
    <row r="58" spans="1:13" x14ac:dyDescent="0.2">
      <c r="A58" t="s">
        <v>233</v>
      </c>
      <c r="B58" t="s">
        <v>669</v>
      </c>
    </row>
    <row r="59" spans="1:13" x14ac:dyDescent="0.2">
      <c r="A59" t="s">
        <v>1026</v>
      </c>
      <c r="B59" s="81">
        <v>44.62</v>
      </c>
    </row>
    <row r="60" spans="1:13" x14ac:dyDescent="0.2">
      <c r="A60" t="s">
        <v>215</v>
      </c>
      <c r="B60" s="80">
        <v>59.8</v>
      </c>
    </row>
    <row r="61" spans="1:13" x14ac:dyDescent="0.2">
      <c r="A61" t="s">
        <v>1137</v>
      </c>
      <c r="B61" s="81">
        <v>60</v>
      </c>
    </row>
    <row r="62" spans="1:13" x14ac:dyDescent="0.2">
      <c r="A62" t="s">
        <v>1135</v>
      </c>
      <c r="B62" s="80">
        <v>62.4</v>
      </c>
    </row>
    <row r="63" spans="1:13" x14ac:dyDescent="0.2">
      <c r="A63" t="s">
        <v>1028</v>
      </c>
      <c r="B63" s="81">
        <v>65.23</v>
      </c>
    </row>
    <row r="64" spans="1:13" x14ac:dyDescent="0.2">
      <c r="A64" t="s">
        <v>1106</v>
      </c>
      <c r="B64" s="80">
        <v>65.36</v>
      </c>
    </row>
    <row r="65" spans="1:2" x14ac:dyDescent="0.2">
      <c r="A65" t="s">
        <v>1103</v>
      </c>
      <c r="B65" s="81">
        <v>66.25</v>
      </c>
    </row>
    <row r="66" spans="1:2" x14ac:dyDescent="0.2">
      <c r="A66" t="s">
        <v>363</v>
      </c>
      <c r="B66" s="80">
        <v>66.400000000000006</v>
      </c>
    </row>
    <row r="67" spans="1:2" x14ac:dyDescent="0.2">
      <c r="A67" t="s">
        <v>221</v>
      </c>
      <c r="B67" s="81">
        <v>67.849999999999994</v>
      </c>
    </row>
    <row r="68" spans="1:2" x14ac:dyDescent="0.2">
      <c r="A68" t="s">
        <v>222</v>
      </c>
      <c r="B68" s="81">
        <v>68.08</v>
      </c>
    </row>
    <row r="69" spans="1:2" x14ac:dyDescent="0.2">
      <c r="A69" t="s">
        <v>413</v>
      </c>
      <c r="B69" s="81">
        <v>68.680000000000007</v>
      </c>
    </row>
    <row r="70" spans="1:2" x14ac:dyDescent="0.2">
      <c r="A70" t="s">
        <v>328</v>
      </c>
      <c r="B70" s="80">
        <v>69.03</v>
      </c>
    </row>
    <row r="71" spans="1:2" x14ac:dyDescent="0.2">
      <c r="A71" t="s">
        <v>409</v>
      </c>
      <c r="B71" s="80">
        <v>69.08</v>
      </c>
    </row>
    <row r="72" spans="1:2" x14ac:dyDescent="0.2">
      <c r="A72" t="s">
        <v>1131</v>
      </c>
      <c r="B72" s="81">
        <v>69.36</v>
      </c>
    </row>
    <row r="73" spans="1:2" x14ac:dyDescent="0.2">
      <c r="A73" t="s">
        <v>217</v>
      </c>
      <c r="B73" s="81">
        <v>69.959999999999994</v>
      </c>
    </row>
    <row r="74" spans="1:2" x14ac:dyDescent="0.2">
      <c r="A74" t="s">
        <v>406</v>
      </c>
      <c r="B74" s="80">
        <v>70</v>
      </c>
    </row>
    <row r="75" spans="1:2" x14ac:dyDescent="0.2">
      <c r="A75" t="s">
        <v>542</v>
      </c>
      <c r="B75" s="80">
        <v>70.069999999999993</v>
      </c>
    </row>
    <row r="76" spans="1:2" x14ac:dyDescent="0.2">
      <c r="A76" t="s">
        <v>414</v>
      </c>
      <c r="B76" s="81">
        <v>70.3</v>
      </c>
    </row>
    <row r="77" spans="1:2" x14ac:dyDescent="0.2">
      <c r="A77" t="s">
        <v>474</v>
      </c>
      <c r="B77" s="81">
        <v>71.010000000000005</v>
      </c>
    </row>
    <row r="78" spans="1:2" x14ac:dyDescent="0.2">
      <c r="A78" t="s">
        <v>652</v>
      </c>
      <c r="B78" s="80">
        <v>71.739999999999995</v>
      </c>
    </row>
    <row r="79" spans="1:2" x14ac:dyDescent="0.2">
      <c r="A79" t="s">
        <v>219</v>
      </c>
      <c r="B79" s="80">
        <v>72.22</v>
      </c>
    </row>
    <row r="80" spans="1:2" x14ac:dyDescent="0.2">
      <c r="A80" t="s">
        <v>408</v>
      </c>
      <c r="B80" s="80">
        <v>72.45</v>
      </c>
    </row>
    <row r="81" spans="1:2" x14ac:dyDescent="0.2">
      <c r="A81" t="s">
        <v>1126</v>
      </c>
      <c r="B81" s="80">
        <v>72.58</v>
      </c>
    </row>
    <row r="82" spans="1:2" x14ac:dyDescent="0.2">
      <c r="A82" t="s">
        <v>1125</v>
      </c>
      <c r="B82" s="81">
        <v>73.75</v>
      </c>
    </row>
    <row r="83" spans="1:2" x14ac:dyDescent="0.2">
      <c r="A83" t="s">
        <v>381</v>
      </c>
      <c r="B83" s="81">
        <v>74.09</v>
      </c>
    </row>
    <row r="84" spans="1:2" x14ac:dyDescent="0.2">
      <c r="A84" t="s">
        <v>1121</v>
      </c>
      <c r="B84" s="80">
        <v>74.19</v>
      </c>
    </row>
    <row r="85" spans="1:2" x14ac:dyDescent="0.2">
      <c r="A85" t="s">
        <v>784</v>
      </c>
      <c r="B85" s="80">
        <v>75.2</v>
      </c>
    </row>
    <row r="86" spans="1:2" x14ac:dyDescent="0.2">
      <c r="A86" t="s">
        <v>2</v>
      </c>
      <c r="B86" s="80">
        <v>77.2</v>
      </c>
    </row>
    <row r="87" spans="1:2" x14ac:dyDescent="0.2">
      <c r="A87" t="s">
        <v>218</v>
      </c>
      <c r="B87" s="80">
        <v>77.77</v>
      </c>
    </row>
    <row r="88" spans="1:2" x14ac:dyDescent="0.2">
      <c r="A88" t="s">
        <v>225</v>
      </c>
      <c r="B88" s="80">
        <v>78.319999999999993</v>
      </c>
    </row>
    <row r="89" spans="1:2" x14ac:dyDescent="0.2">
      <c r="A89" t="s">
        <v>1118</v>
      </c>
      <c r="B89" s="81">
        <v>79.819999999999993</v>
      </c>
    </row>
    <row r="90" spans="1:2" x14ac:dyDescent="0.2">
      <c r="A90" t="s">
        <v>1105</v>
      </c>
      <c r="B90" s="81">
        <v>80.099999999999994</v>
      </c>
    </row>
    <row r="91" spans="1:2" x14ac:dyDescent="0.2">
      <c r="A91" t="s">
        <v>1102</v>
      </c>
      <c r="B91" s="80">
        <v>82.5</v>
      </c>
    </row>
    <row r="92" spans="1:2" x14ac:dyDescent="0.2">
      <c r="A92" t="s">
        <v>792</v>
      </c>
      <c r="B92" s="81">
        <v>83.75</v>
      </c>
    </row>
    <row r="93" spans="1:2" x14ac:dyDescent="0.2">
      <c r="A93" t="s">
        <v>475</v>
      </c>
      <c r="B93" s="80">
        <v>83.81</v>
      </c>
    </row>
    <row r="94" spans="1:2" x14ac:dyDescent="0.2">
      <c r="A94" t="s">
        <v>786</v>
      </c>
      <c r="B94" s="80">
        <v>84.07</v>
      </c>
    </row>
    <row r="95" spans="1:2" x14ac:dyDescent="0.2">
      <c r="A95" t="s">
        <v>362</v>
      </c>
      <c r="B95" s="81">
        <v>85.17</v>
      </c>
    </row>
    <row r="96" spans="1:2" x14ac:dyDescent="0.2">
      <c r="A96" t="s">
        <v>1027</v>
      </c>
      <c r="B96" s="81">
        <v>89.16</v>
      </c>
    </row>
    <row r="97" spans="1:2" x14ac:dyDescent="0.2">
      <c r="A97" t="s">
        <v>1113</v>
      </c>
      <c r="B97" s="80">
        <v>141.62</v>
      </c>
    </row>
  </sheetData>
  <conditionalFormatting sqref="B3:B45 B47:B55 B59:B97">
    <cfRule type="expression" dxfId="39" priority="7">
      <formula>$L3=3</formula>
    </cfRule>
    <cfRule type="expression" dxfId="38" priority="8">
      <formula>$L3=2</formula>
    </cfRule>
    <cfRule type="expression" dxfId="37" priority="9">
      <formula>$L3=1</formula>
    </cfRule>
  </conditionalFormatting>
  <conditionalFormatting sqref="B46">
    <cfRule type="expression" dxfId="36" priority="49">
      <formula>#REF!=3</formula>
    </cfRule>
    <cfRule type="expression" dxfId="35" priority="50">
      <formula>#REF!=2</formula>
    </cfRule>
    <cfRule type="expression" dxfId="34" priority="51">
      <formula>#REF!=1</formula>
    </cfRule>
  </conditionalFormatting>
  <dataValidations disablePrompts="1" count="1">
    <dataValidation type="list" allowBlank="1" showInputMessage="1" showErrorMessage="1" sqref="K45" xr:uid="{3DB28D2D-F34E-4831-8BA8-BFF217720A5B}">
      <formula1>$A$59:$A$97</formula1>
    </dataValidation>
  </dataValidations>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U14" sqref="U14"/>
    </sheetView>
  </sheetViews>
  <sheetFormatPr baseColWidth="10" defaultRowHeight="12" x14ac:dyDescent="0.2"/>
  <cols>
    <col min="1" max="1" width="3.7109375" style="4" bestFit="1" customWidth="1"/>
    <col min="2" max="2" width="6" style="4" bestFit="1" customWidth="1"/>
    <col min="3" max="5" width="7"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57" t="s">
        <v>254</v>
      </c>
      <c r="B1" s="157"/>
      <c r="C1" s="157"/>
      <c r="D1" s="157"/>
      <c r="E1" s="157"/>
    </row>
    <row r="2" spans="1:31" x14ac:dyDescent="0.2">
      <c r="O2" s="63" t="s">
        <v>666</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B4" s="4">
        <v>60.38</v>
      </c>
      <c r="D4" s="4">
        <v>80.94</v>
      </c>
      <c r="E4" s="4">
        <v>72.22</v>
      </c>
      <c r="G4" s="4">
        <v>1</v>
      </c>
      <c r="H4" s="4">
        <v>38.940000000000019</v>
      </c>
      <c r="I4" s="4">
        <v>39.51</v>
      </c>
      <c r="K4" s="4">
        <v>1</v>
      </c>
      <c r="L4" s="4">
        <v>63.22000000000002</v>
      </c>
      <c r="M4" s="4">
        <v>62.64</v>
      </c>
      <c r="O4" s="4">
        <v>1</v>
      </c>
      <c r="P4" s="4">
        <v>63.418999999999997</v>
      </c>
      <c r="Q4" s="4">
        <v>97.901249999999962</v>
      </c>
      <c r="R4" s="4">
        <v>0.125</v>
      </c>
      <c r="S4" s="4">
        <v>0.45600000000000002</v>
      </c>
      <c r="T4" s="4">
        <v>8.3333333333333329E-2</v>
      </c>
      <c r="U4" s="4">
        <v>0.04</v>
      </c>
      <c r="V4" s="4">
        <v>0.58333333333333337</v>
      </c>
      <c r="W4" s="4">
        <v>0.41</v>
      </c>
      <c r="X4" s="4">
        <v>640</v>
      </c>
      <c r="Y4" s="4">
        <v>84.756666666666661</v>
      </c>
      <c r="Z4" s="4">
        <v>48.28</v>
      </c>
      <c r="AA4" s="4">
        <v>144.89499999999998</v>
      </c>
      <c r="AB4" s="4">
        <v>54.177</v>
      </c>
      <c r="AC4" s="4">
        <v>93.67714285714284</v>
      </c>
      <c r="AD4" s="4">
        <v>75.311000000000007</v>
      </c>
      <c r="AE4" s="4">
        <f>IF(ISBLANK(t_omie_evol[[#This Row],[Omie media diaria]]),$X$39,t_omie_evol[[#This Row],[demanda GWh]])</f>
        <v>640</v>
      </c>
    </row>
    <row r="5" spans="1:31" x14ac:dyDescent="0.2">
      <c r="A5" s="4">
        <v>2</v>
      </c>
      <c r="B5" s="4">
        <v>49.28</v>
      </c>
      <c r="D5" s="4">
        <v>81.38</v>
      </c>
      <c r="E5" s="4">
        <v>63.51</v>
      </c>
      <c r="G5" s="4">
        <v>2</v>
      </c>
      <c r="H5" s="4">
        <v>39.360000000000007</v>
      </c>
      <c r="I5" s="4">
        <v>39.51</v>
      </c>
      <c r="K5" s="4">
        <v>2</v>
      </c>
      <c r="L5" s="4">
        <v>62.210000000000015</v>
      </c>
      <c r="M5" s="4">
        <v>62.64</v>
      </c>
      <c r="O5" s="4">
        <v>2</v>
      </c>
      <c r="P5" s="4">
        <v>63.418999999999997</v>
      </c>
      <c r="Q5" s="4">
        <v>93.593750000000014</v>
      </c>
      <c r="R5" s="4">
        <v>0.33333333333333331</v>
      </c>
      <c r="S5" s="4">
        <v>0.45600000000000002</v>
      </c>
      <c r="T5" s="4">
        <v>8.3333333333333329E-2</v>
      </c>
      <c r="U5" s="4">
        <v>3.6999999999999998E-2</v>
      </c>
      <c r="V5" s="4">
        <v>0.45833333333333326</v>
      </c>
      <c r="W5" s="4">
        <v>0.40100000000000002</v>
      </c>
      <c r="X5" s="4">
        <v>657</v>
      </c>
      <c r="Y5" s="4">
        <v>97.902500000000003</v>
      </c>
      <c r="Z5" s="4">
        <v>48.28</v>
      </c>
      <c r="AA5" s="4">
        <v>121.86</v>
      </c>
      <c r="AB5" s="4">
        <v>54.177</v>
      </c>
      <c r="AC5" s="4">
        <v>85.851818181818189</v>
      </c>
      <c r="AD5" s="4">
        <v>75.311000000000007</v>
      </c>
      <c r="AE5" s="4">
        <f>IF(ISBLANK(t_omie_evol[[#This Row],[Omie media diaria]]),$X$39,t_omie_evol[[#This Row],[demanda GWh]])</f>
        <v>657</v>
      </c>
    </row>
    <row r="6" spans="1:31" x14ac:dyDescent="0.2">
      <c r="A6" s="4">
        <v>3</v>
      </c>
      <c r="B6" s="4">
        <v>25.31</v>
      </c>
      <c r="D6" s="4">
        <v>74.84</v>
      </c>
      <c r="E6" s="4">
        <v>60.57</v>
      </c>
      <c r="G6" s="4">
        <v>3</v>
      </c>
      <c r="H6" s="4">
        <v>38.639999999999993</v>
      </c>
      <c r="I6" s="4">
        <v>39.51</v>
      </c>
      <c r="K6" s="4">
        <v>3</v>
      </c>
      <c r="L6" s="4">
        <v>62.27999999999998</v>
      </c>
      <c r="M6" s="4">
        <v>62.64</v>
      </c>
      <c r="O6" s="4">
        <v>3</v>
      </c>
      <c r="P6" s="4">
        <v>63.418999999999997</v>
      </c>
      <c r="Q6" s="4">
        <v>57.919999999999987</v>
      </c>
      <c r="R6" s="4">
        <v>0.54166666666666663</v>
      </c>
      <c r="S6" s="4">
        <v>0.45600000000000002</v>
      </c>
      <c r="T6" s="4">
        <v>4.1666666666666664E-2</v>
      </c>
      <c r="U6" s="4">
        <v>3.5000000000000003E-2</v>
      </c>
      <c r="V6" s="4">
        <v>0.375</v>
      </c>
      <c r="W6" s="4">
        <v>0.39800000000000002</v>
      </c>
      <c r="X6" s="4">
        <v>648</v>
      </c>
      <c r="Y6" s="4">
        <v>33.095384615384617</v>
      </c>
      <c r="Z6" s="4">
        <v>48.28</v>
      </c>
      <c r="AA6" s="4">
        <v>91.88</v>
      </c>
      <c r="AB6" s="4">
        <v>54.177</v>
      </c>
      <c r="AC6" s="4">
        <v>87.814444444444447</v>
      </c>
      <c r="AD6" s="4">
        <v>75.311000000000007</v>
      </c>
      <c r="AE6" s="4">
        <f>IF(ISBLANK(t_omie_evol[[#This Row],[Omie media diaria]]),$X$39,t_omie_evol[[#This Row],[demanda GWh]])</f>
        <v>648</v>
      </c>
    </row>
    <row r="7" spans="1:31" x14ac:dyDescent="0.2">
      <c r="A7" s="4">
        <v>4</v>
      </c>
      <c r="B7" s="4">
        <v>33.19</v>
      </c>
      <c r="D7" s="4">
        <v>86.08</v>
      </c>
      <c r="E7" s="4">
        <v>54.49</v>
      </c>
      <c r="G7" s="4">
        <v>4</v>
      </c>
      <c r="H7" s="4">
        <v>39.49</v>
      </c>
      <c r="I7" s="4">
        <v>39.51</v>
      </c>
      <c r="K7" s="4">
        <v>4</v>
      </c>
      <c r="L7" s="4">
        <v>61</v>
      </c>
      <c r="M7" s="4">
        <v>62.64</v>
      </c>
      <c r="O7" s="4">
        <v>4</v>
      </c>
      <c r="P7" s="4">
        <v>63.418999999999997</v>
      </c>
      <c r="Q7" s="4">
        <v>98.975833333333313</v>
      </c>
      <c r="R7" s="4">
        <v>0.375</v>
      </c>
      <c r="S7" s="4">
        <v>0.45600000000000002</v>
      </c>
      <c r="T7" s="4">
        <v>0</v>
      </c>
      <c r="U7" s="4">
        <v>3.4000000000000002E-2</v>
      </c>
      <c r="V7" s="4">
        <v>0.58333333333333337</v>
      </c>
      <c r="W7" s="4">
        <v>0.39900000000000002</v>
      </c>
      <c r="X7" s="4">
        <v>632</v>
      </c>
      <c r="Y7" s="4">
        <v>81.785555555555561</v>
      </c>
      <c r="Z7" s="4">
        <v>48.28</v>
      </c>
      <c r="AA7" s="4">
        <v>0</v>
      </c>
      <c r="AB7" s="4">
        <v>54.177</v>
      </c>
      <c r="AC7" s="4">
        <v>107.29357142857144</v>
      </c>
      <c r="AD7" s="4">
        <v>75.311000000000007</v>
      </c>
      <c r="AE7" s="4">
        <f>IF(ISBLANK(t_omie_evol[[#This Row],[Omie media diaria]]),$X$39,t_omie_evol[[#This Row],[demanda GWh]])</f>
        <v>632</v>
      </c>
    </row>
    <row r="8" spans="1:31" x14ac:dyDescent="0.2">
      <c r="A8" s="4">
        <v>5</v>
      </c>
      <c r="B8" s="4">
        <v>35.520000000000003</v>
      </c>
      <c r="C8" s="4">
        <v>84.72</v>
      </c>
      <c r="D8" s="4">
        <v>80.67</v>
      </c>
      <c r="E8" s="4">
        <v>52.14</v>
      </c>
      <c r="G8" s="4">
        <v>5</v>
      </c>
      <c r="H8" s="4">
        <v>40.74</v>
      </c>
      <c r="I8" s="4">
        <v>39.51</v>
      </c>
      <c r="K8" s="4">
        <v>5</v>
      </c>
      <c r="L8" s="4">
        <v>61</v>
      </c>
      <c r="M8" s="4">
        <v>62.64</v>
      </c>
      <c r="O8" s="4">
        <v>5</v>
      </c>
      <c r="P8" s="4">
        <v>63.418999999999997</v>
      </c>
      <c r="Q8" s="4">
        <v>60.395416666666669</v>
      </c>
      <c r="R8" s="4">
        <v>0.33333333333333331</v>
      </c>
      <c r="S8" s="4">
        <v>0.45600000000000002</v>
      </c>
      <c r="T8" s="4">
        <v>0</v>
      </c>
      <c r="U8" s="4">
        <v>3.5999999999999997E-2</v>
      </c>
      <c r="V8" s="4">
        <v>0.45833333333333326</v>
      </c>
      <c r="W8" s="4">
        <v>0.38800000000000001</v>
      </c>
      <c r="X8" s="4">
        <v>564</v>
      </c>
      <c r="Y8" s="4">
        <v>50.582500000000003</v>
      </c>
      <c r="Z8" s="4">
        <v>48.28</v>
      </c>
      <c r="AA8" s="4">
        <v>0</v>
      </c>
      <c r="AB8" s="4">
        <v>54.177</v>
      </c>
      <c r="AC8" s="4">
        <v>57.695454545454545</v>
      </c>
      <c r="AD8" s="4">
        <v>75.311000000000007</v>
      </c>
      <c r="AE8" s="4">
        <f>IF(ISBLANK(t_omie_evol[[#This Row],[Omie media diaria]]),$X$39,t_omie_evol[[#This Row],[demanda GWh]])</f>
        <v>564</v>
      </c>
    </row>
    <row r="9" spans="1:31" x14ac:dyDescent="0.2">
      <c r="A9" s="4">
        <v>6</v>
      </c>
      <c r="B9" s="4">
        <v>40.119999999999997</v>
      </c>
      <c r="D9" s="4">
        <v>85.71</v>
      </c>
      <c r="E9" s="4">
        <v>55.85</v>
      </c>
      <c r="G9" s="4">
        <v>6</v>
      </c>
      <c r="H9" s="4">
        <v>40.730000000000011</v>
      </c>
      <c r="I9" s="4">
        <v>39.51</v>
      </c>
      <c r="K9" s="4">
        <v>6</v>
      </c>
      <c r="L9" s="4">
        <v>61</v>
      </c>
      <c r="M9" s="4">
        <v>62.64</v>
      </c>
      <c r="O9" s="4">
        <v>6</v>
      </c>
      <c r="P9" s="4">
        <v>63.418999999999997</v>
      </c>
      <c r="Q9" s="4">
        <v>21.961666666666662</v>
      </c>
      <c r="R9" s="4">
        <v>0.58333333333333337</v>
      </c>
      <c r="S9" s="4">
        <v>0.45600000000000002</v>
      </c>
      <c r="T9" s="4">
        <v>0</v>
      </c>
      <c r="U9" s="4">
        <v>3.9E-2</v>
      </c>
      <c r="V9" s="4">
        <v>0.41666666666666674</v>
      </c>
      <c r="W9" s="4">
        <v>0.38300000000000001</v>
      </c>
      <c r="X9" s="4">
        <v>537</v>
      </c>
      <c r="Y9" s="4">
        <v>15.50285714285714</v>
      </c>
      <c r="Z9" s="4">
        <v>48.28</v>
      </c>
      <c r="AA9" s="4">
        <v>0</v>
      </c>
      <c r="AB9" s="4">
        <v>54.177</v>
      </c>
      <c r="AC9" s="4">
        <v>31.004000000000001</v>
      </c>
      <c r="AD9" s="4">
        <v>75.311000000000007</v>
      </c>
      <c r="AE9" s="4">
        <f>IF(ISBLANK(t_omie_evol[[#This Row],[Omie media diaria]]),$X$39,t_omie_evol[[#This Row],[demanda GWh]])</f>
        <v>537</v>
      </c>
    </row>
    <row r="10" spans="1:31" x14ac:dyDescent="0.2">
      <c r="A10" s="4">
        <v>7</v>
      </c>
      <c r="B10" s="4">
        <v>53.54</v>
      </c>
      <c r="C10" s="4">
        <v>99.95</v>
      </c>
      <c r="D10" s="4">
        <v>102</v>
      </c>
      <c r="E10" s="4">
        <v>67.56</v>
      </c>
      <c r="G10" s="4">
        <v>7</v>
      </c>
      <c r="H10" s="4">
        <v>41.24</v>
      </c>
      <c r="I10" s="4">
        <v>39.51</v>
      </c>
      <c r="K10" s="4">
        <v>7</v>
      </c>
      <c r="L10" s="4">
        <v>61.920000000000016</v>
      </c>
      <c r="M10" s="4">
        <v>62.64</v>
      </c>
      <c r="O10" s="4">
        <v>7</v>
      </c>
      <c r="P10" s="4">
        <v>63.418999999999997</v>
      </c>
      <c r="Q10" s="4">
        <v>55.454999999999991</v>
      </c>
      <c r="R10" s="4">
        <v>0.5</v>
      </c>
      <c r="S10" s="4">
        <v>0.45600000000000002</v>
      </c>
      <c r="T10" s="4">
        <v>0</v>
      </c>
      <c r="U10" s="4">
        <v>4.2000000000000003E-2</v>
      </c>
      <c r="V10" s="4">
        <v>0.41666666666666674</v>
      </c>
      <c r="W10" s="4">
        <v>0.38</v>
      </c>
      <c r="X10" s="4">
        <v>647</v>
      </c>
      <c r="Y10" s="4">
        <v>46.293333333333329</v>
      </c>
      <c r="Z10" s="4">
        <v>48.28</v>
      </c>
      <c r="AA10" s="4">
        <v>0</v>
      </c>
      <c r="AB10" s="4">
        <v>54.177</v>
      </c>
      <c r="AC10" s="4">
        <v>62.44100000000001</v>
      </c>
      <c r="AD10" s="4">
        <v>75.311000000000007</v>
      </c>
      <c r="AE10" s="4">
        <f>IF(ISBLANK(t_omie_evol[[#This Row],[Omie media diaria]]),$X$39,t_omie_evol[[#This Row],[demanda GWh]])</f>
        <v>647</v>
      </c>
    </row>
    <row r="11" spans="1:31" x14ac:dyDescent="0.2">
      <c r="A11" s="4">
        <v>8</v>
      </c>
      <c r="B11" s="4">
        <v>78.33</v>
      </c>
      <c r="C11" s="4">
        <v>121.17</v>
      </c>
      <c r="D11" s="4">
        <v>109.18</v>
      </c>
      <c r="E11" s="4">
        <v>86.82</v>
      </c>
      <c r="G11" s="4">
        <v>8</v>
      </c>
      <c r="H11" s="4">
        <v>40.299999999999983</v>
      </c>
      <c r="I11" s="4">
        <v>39.51</v>
      </c>
      <c r="K11" s="4">
        <v>8</v>
      </c>
      <c r="L11" s="4">
        <v>59.869999999999969</v>
      </c>
      <c r="M11" s="4">
        <v>62.64</v>
      </c>
      <c r="O11" s="4">
        <v>8</v>
      </c>
      <c r="P11" s="4">
        <v>63.418999999999997</v>
      </c>
      <c r="Q11" s="4">
        <v>31.374583333333337</v>
      </c>
      <c r="R11" s="4">
        <v>0.70833333333333337</v>
      </c>
      <c r="S11" s="4">
        <v>0.45600000000000002</v>
      </c>
      <c r="T11" s="4">
        <v>0</v>
      </c>
      <c r="U11" s="4">
        <v>4.4999999999999998E-2</v>
      </c>
      <c r="V11" s="4">
        <v>0.25</v>
      </c>
      <c r="W11" s="4">
        <v>0.378</v>
      </c>
      <c r="X11" s="4">
        <v>642</v>
      </c>
      <c r="Y11" s="4">
        <v>22.908823529411759</v>
      </c>
      <c r="Z11" s="4">
        <v>48.28</v>
      </c>
      <c r="AA11" s="4">
        <v>0</v>
      </c>
      <c r="AB11" s="4">
        <v>54.177</v>
      </c>
      <c r="AC11" s="4">
        <v>51.759999999999991</v>
      </c>
      <c r="AD11" s="4">
        <v>75.311000000000007</v>
      </c>
      <c r="AE11" s="4">
        <f>IF(ISBLANK(t_omie_evol[[#This Row],[Omie media diaria]]),$X$39,t_omie_evol[[#This Row],[demanda GWh]])</f>
        <v>642</v>
      </c>
    </row>
    <row r="12" spans="1:31" x14ac:dyDescent="0.2">
      <c r="A12" s="4">
        <v>9</v>
      </c>
      <c r="B12" s="4">
        <v>59.57</v>
      </c>
      <c r="C12" s="4">
        <v>119.78</v>
      </c>
      <c r="D12" s="4">
        <v>105.18</v>
      </c>
      <c r="E12" s="4">
        <v>99.95</v>
      </c>
      <c r="G12" s="4">
        <v>9</v>
      </c>
      <c r="H12" s="4">
        <v>38.590000000000025</v>
      </c>
      <c r="I12" s="4">
        <v>39.51</v>
      </c>
      <c r="K12" s="4">
        <v>9</v>
      </c>
      <c r="L12" s="4">
        <v>61.75</v>
      </c>
      <c r="M12" s="4">
        <v>62.64</v>
      </c>
      <c r="O12" s="4">
        <v>9</v>
      </c>
      <c r="P12" s="4">
        <v>63.418999999999997</v>
      </c>
      <c r="Q12" s="4">
        <v>24.51541666666667</v>
      </c>
      <c r="R12" s="4">
        <v>0.58333333333333337</v>
      </c>
      <c r="S12" s="4">
        <v>0.45600000000000002</v>
      </c>
      <c r="T12" s="4">
        <v>0</v>
      </c>
      <c r="U12" s="4">
        <v>4.9000000000000002E-2</v>
      </c>
      <c r="V12" s="4">
        <v>0.33333333333333331</v>
      </c>
      <c r="W12" s="4">
        <v>0.38800000000000001</v>
      </c>
      <c r="X12" s="4">
        <v>640</v>
      </c>
      <c r="Y12" s="4">
        <v>11.890714285714283</v>
      </c>
      <c r="Z12" s="4">
        <v>48.28</v>
      </c>
      <c r="AA12" s="4">
        <v>0</v>
      </c>
      <c r="AB12" s="4">
        <v>54.177</v>
      </c>
      <c r="AC12" s="4">
        <v>42.737499999999997</v>
      </c>
      <c r="AD12" s="4">
        <v>75.311000000000007</v>
      </c>
      <c r="AE12" s="4">
        <f>IF(ISBLANK(t_omie_evol[[#This Row],[Omie media diaria]]),$X$39,t_omie_evol[[#This Row],[demanda GWh]])</f>
        <v>640</v>
      </c>
    </row>
    <row r="13" spans="1:31" x14ac:dyDescent="0.2">
      <c r="A13" s="4">
        <v>10</v>
      </c>
      <c r="B13" s="4">
        <v>69.150000000000006</v>
      </c>
      <c r="C13" s="4">
        <v>122.86</v>
      </c>
      <c r="D13" s="4">
        <v>78.38</v>
      </c>
      <c r="E13" s="4">
        <v>82.43</v>
      </c>
      <c r="G13" s="4">
        <v>10</v>
      </c>
      <c r="H13" s="4">
        <v>38.119999999999997</v>
      </c>
      <c r="I13" s="4">
        <v>39.51</v>
      </c>
      <c r="K13" s="4">
        <v>10</v>
      </c>
      <c r="L13" s="4">
        <v>64.539999999999978</v>
      </c>
      <c r="M13" s="4">
        <v>62.64</v>
      </c>
      <c r="O13" s="4">
        <v>10</v>
      </c>
      <c r="P13" s="4">
        <v>63.418999999999997</v>
      </c>
      <c r="Q13" s="4">
        <v>76.181666666666658</v>
      </c>
      <c r="R13" s="4">
        <v>0.58333333333333337</v>
      </c>
      <c r="S13" s="4">
        <v>0.45600000000000002</v>
      </c>
      <c r="T13" s="4">
        <v>0.16666666666666666</v>
      </c>
      <c r="U13" s="4">
        <v>5.2999999999999999E-2</v>
      </c>
      <c r="V13" s="4">
        <v>0.20833333333333337</v>
      </c>
      <c r="W13" s="4">
        <v>0.39300000000000002</v>
      </c>
      <c r="X13" s="4">
        <v>628</v>
      </c>
      <c r="Y13" s="4">
        <v>46.634285714285717</v>
      </c>
      <c r="Z13" s="4">
        <v>48.28</v>
      </c>
      <c r="AA13" s="4">
        <v>142.75</v>
      </c>
      <c r="AB13" s="4">
        <v>54.177</v>
      </c>
      <c r="AC13" s="4">
        <v>100.896</v>
      </c>
      <c r="AD13" s="4">
        <v>75.311000000000007</v>
      </c>
      <c r="AE13" s="4">
        <f>IF(ISBLANK(t_omie_evol[[#This Row],[Omie media diaria]]),$X$39,t_omie_evol[[#This Row],[demanda GWh]])</f>
        <v>628</v>
      </c>
    </row>
    <row r="14" spans="1:31" x14ac:dyDescent="0.2">
      <c r="A14" s="4">
        <v>11</v>
      </c>
      <c r="B14" s="4">
        <v>58.32</v>
      </c>
      <c r="D14" s="4">
        <v>78.86</v>
      </c>
      <c r="E14" s="4">
        <v>66.61</v>
      </c>
      <c r="G14" s="4">
        <v>11</v>
      </c>
      <c r="H14" s="4">
        <v>39.789999999999985</v>
      </c>
      <c r="I14" s="4">
        <v>39.51</v>
      </c>
      <c r="K14" s="4">
        <v>11</v>
      </c>
      <c r="L14" s="4">
        <v>64.279999999999987</v>
      </c>
      <c r="M14" s="4">
        <v>62.64</v>
      </c>
      <c r="O14" s="4">
        <v>11</v>
      </c>
      <c r="P14" s="4">
        <v>63.418999999999997</v>
      </c>
      <c r="Q14" s="4">
        <v>90.663750000000036</v>
      </c>
      <c r="R14" s="4">
        <v>0.29166666666666669</v>
      </c>
      <c r="S14" s="4">
        <v>0.45600000000000002</v>
      </c>
      <c r="T14" s="4">
        <v>0.125</v>
      </c>
      <c r="U14" s="4">
        <v>4.2000000000000003E-2</v>
      </c>
      <c r="V14" s="4">
        <v>0.45833333333333326</v>
      </c>
      <c r="W14" s="4">
        <v>0.41199999999999998</v>
      </c>
      <c r="X14" s="4">
        <v>622</v>
      </c>
      <c r="Y14" s="4">
        <v>82.934285714285707</v>
      </c>
      <c r="Z14" s="4">
        <v>48.28</v>
      </c>
      <c r="AA14" s="4">
        <v>97.893333333333331</v>
      </c>
      <c r="AB14" s="4">
        <v>54.177</v>
      </c>
      <c r="AC14" s="4">
        <v>93.008181818181825</v>
      </c>
      <c r="AD14" s="4">
        <v>75.311000000000007</v>
      </c>
      <c r="AE14" s="4">
        <f>IF(ISBLANK(t_omie_evol[[#This Row],[Omie media diaria]]),$X$39,t_omie_evol[[#This Row],[demanda GWh]])</f>
        <v>622</v>
      </c>
    </row>
    <row r="15" spans="1:31" x14ac:dyDescent="0.2">
      <c r="A15" s="4">
        <v>12</v>
      </c>
      <c r="B15" s="4">
        <v>37.14</v>
      </c>
      <c r="D15" s="4">
        <v>64.94</v>
      </c>
      <c r="E15" s="4">
        <v>52.96</v>
      </c>
      <c r="G15" s="4">
        <v>12</v>
      </c>
      <c r="H15" s="4">
        <v>39.269999999999989</v>
      </c>
      <c r="I15" s="4">
        <v>39.51</v>
      </c>
      <c r="K15" s="4">
        <v>12</v>
      </c>
      <c r="L15" s="4">
        <v>64.279999999999987</v>
      </c>
      <c r="M15" s="4">
        <v>62.64</v>
      </c>
      <c r="O15" s="4">
        <v>12</v>
      </c>
      <c r="P15" s="4">
        <v>63.418999999999997</v>
      </c>
      <c r="Q15" s="4">
        <v>69.856250000000003</v>
      </c>
      <c r="R15" s="4">
        <v>0.5</v>
      </c>
      <c r="S15" s="4">
        <v>0.45600000000000002</v>
      </c>
      <c r="T15" s="4">
        <v>0</v>
      </c>
      <c r="U15" s="4">
        <v>3.2000000000000001E-2</v>
      </c>
      <c r="V15" s="4">
        <v>0.45833333333333326</v>
      </c>
      <c r="W15" s="4">
        <v>0.40699999999999997</v>
      </c>
      <c r="X15" s="4">
        <v>550</v>
      </c>
      <c r="Y15" s="4">
        <v>58.34</v>
      </c>
      <c r="Z15" s="4">
        <v>48.28</v>
      </c>
      <c r="AA15" s="4">
        <v>0</v>
      </c>
      <c r="AB15" s="4">
        <v>54.177</v>
      </c>
      <c r="AC15" s="4">
        <v>83.224545454545449</v>
      </c>
      <c r="AD15" s="4">
        <v>75.311000000000007</v>
      </c>
      <c r="AE15" s="4">
        <f>IF(ISBLANK(t_omie_evol[[#This Row],[Omie media diaria]]),$X$39,t_omie_evol[[#This Row],[demanda GWh]])</f>
        <v>550</v>
      </c>
    </row>
    <row r="16" spans="1:31" x14ac:dyDescent="0.2">
      <c r="A16" s="4">
        <v>13</v>
      </c>
      <c r="B16" s="4">
        <v>42.92</v>
      </c>
      <c r="D16" s="4">
        <v>48.68</v>
      </c>
      <c r="E16" s="4">
        <v>44.84</v>
      </c>
      <c r="G16" s="4">
        <v>13</v>
      </c>
      <c r="H16" s="4">
        <v>38.950000000000017</v>
      </c>
      <c r="I16" s="4">
        <v>39.51</v>
      </c>
      <c r="K16" s="4">
        <v>13</v>
      </c>
      <c r="L16" s="4">
        <v>64.279999999999987</v>
      </c>
      <c r="M16" s="4">
        <v>62.64</v>
      </c>
      <c r="O16" s="4">
        <v>13</v>
      </c>
      <c r="P16" s="4">
        <v>63.418999999999997</v>
      </c>
      <c r="Q16" s="4">
        <v>52.750416666666673</v>
      </c>
      <c r="R16" s="4">
        <v>0.58333333333333337</v>
      </c>
      <c r="S16" s="4">
        <v>0.45600000000000002</v>
      </c>
      <c r="T16" s="4">
        <v>4.1666666666666664E-2</v>
      </c>
      <c r="U16" s="4">
        <v>3.5999999999999997E-2</v>
      </c>
      <c r="V16" s="4">
        <v>0.29166666666666669</v>
      </c>
      <c r="W16" s="4">
        <v>0.4</v>
      </c>
      <c r="X16" s="4">
        <v>511</v>
      </c>
      <c r="Y16" s="4">
        <v>39.748571428571431</v>
      </c>
      <c r="Z16" s="4">
        <v>48.28</v>
      </c>
      <c r="AA16" s="4">
        <v>121.28</v>
      </c>
      <c r="AB16" s="4">
        <v>54.177</v>
      </c>
      <c r="AC16" s="4">
        <v>61.495714285714293</v>
      </c>
      <c r="AD16" s="4">
        <v>75.311000000000007</v>
      </c>
      <c r="AE16" s="4">
        <f>IF(ISBLANK(t_omie_evol[[#This Row],[Omie media diaria]]),$X$39,t_omie_evol[[#This Row],[demanda GWh]])</f>
        <v>511</v>
      </c>
    </row>
    <row r="17" spans="1:31" x14ac:dyDescent="0.2">
      <c r="A17" s="4">
        <v>14</v>
      </c>
      <c r="B17" s="4">
        <v>45.28</v>
      </c>
      <c r="D17" s="4">
        <v>29.86</v>
      </c>
      <c r="E17" s="4">
        <v>40.14</v>
      </c>
      <c r="G17" s="4">
        <v>14</v>
      </c>
      <c r="H17" s="4">
        <v>40.039999999999985</v>
      </c>
      <c r="I17" s="4">
        <v>39.51</v>
      </c>
      <c r="K17" s="4">
        <v>14</v>
      </c>
      <c r="L17" s="4">
        <v>65.52</v>
      </c>
      <c r="M17" s="4">
        <v>62.64</v>
      </c>
      <c r="O17" s="4">
        <v>14</v>
      </c>
      <c r="P17" s="4">
        <v>63.418999999999997</v>
      </c>
      <c r="Q17" s="4">
        <v>104.16708333333332</v>
      </c>
      <c r="R17" s="4">
        <v>0.29166666666666669</v>
      </c>
      <c r="S17" s="4">
        <v>0.45600000000000002</v>
      </c>
      <c r="T17" s="4">
        <v>0.16666666666666666</v>
      </c>
      <c r="U17" s="4">
        <v>3.5999999999999997E-2</v>
      </c>
      <c r="V17" s="4">
        <v>0.45833333333333326</v>
      </c>
      <c r="W17" s="4">
        <v>0.41599999999999998</v>
      </c>
      <c r="X17" s="4">
        <v>626</v>
      </c>
      <c r="Y17" s="4">
        <v>79.001428571428576</v>
      </c>
      <c r="Z17" s="4">
        <v>48.28</v>
      </c>
      <c r="AA17" s="4">
        <v>131.14250000000001</v>
      </c>
      <c r="AB17" s="4">
        <v>54.177</v>
      </c>
      <c r="AC17" s="4">
        <v>112.24636363636364</v>
      </c>
      <c r="AD17" s="4">
        <v>75.311000000000007</v>
      </c>
      <c r="AE17" s="4">
        <f>IF(ISBLANK(t_omie_evol[[#This Row],[Omie media diaria]]),$X$39,t_omie_evol[[#This Row],[demanda GWh]])</f>
        <v>626</v>
      </c>
    </row>
    <row r="18" spans="1:31" x14ac:dyDescent="0.2">
      <c r="A18" s="4">
        <v>15</v>
      </c>
      <c r="B18" s="4">
        <v>41.2</v>
      </c>
      <c r="D18" s="4">
        <v>26.18</v>
      </c>
      <c r="E18" s="4">
        <v>36.119999999999997</v>
      </c>
      <c r="G18" s="4">
        <v>15</v>
      </c>
      <c r="H18" s="4">
        <v>39.929999999999978</v>
      </c>
      <c r="I18" s="4">
        <v>39.51</v>
      </c>
      <c r="K18" s="4">
        <v>15</v>
      </c>
      <c r="L18" s="4">
        <v>64.65000000000002</v>
      </c>
      <c r="M18" s="4">
        <v>62.64</v>
      </c>
      <c r="O18" s="4">
        <v>15</v>
      </c>
      <c r="P18" s="4">
        <v>63.418999999999997</v>
      </c>
      <c r="Q18" s="4">
        <v>87.225416666666661</v>
      </c>
      <c r="R18" s="4">
        <v>0.29166666666666669</v>
      </c>
      <c r="S18" s="4">
        <v>0.45600000000000002</v>
      </c>
      <c r="T18" s="4">
        <v>4.1666666666666664E-2</v>
      </c>
      <c r="U18" s="4">
        <v>1.4E-2</v>
      </c>
      <c r="V18" s="4">
        <v>0.5</v>
      </c>
      <c r="W18" s="4">
        <v>0.40899999999999997</v>
      </c>
      <c r="X18" s="4">
        <v>647</v>
      </c>
      <c r="Y18" s="4">
        <v>83.111428571428561</v>
      </c>
      <c r="Z18" s="4">
        <v>48.28</v>
      </c>
      <c r="AA18" s="4">
        <v>122.28</v>
      </c>
      <c r="AB18" s="4">
        <v>54.177</v>
      </c>
      <c r="AC18" s="4">
        <v>84.702499999999986</v>
      </c>
      <c r="AD18" s="4">
        <v>75.311000000000007</v>
      </c>
      <c r="AE18" s="4">
        <f>IF(ISBLANK(t_omie_evol[[#This Row],[Omie media diaria]]),$X$39,t_omie_evol[[#This Row],[demanda GWh]])</f>
        <v>647</v>
      </c>
    </row>
    <row r="19" spans="1:31" x14ac:dyDescent="0.2">
      <c r="A19" s="4">
        <v>16</v>
      </c>
      <c r="B19" s="4">
        <v>33.28</v>
      </c>
      <c r="D19" s="4">
        <v>37.979999999999997</v>
      </c>
      <c r="E19" s="4">
        <v>34.85</v>
      </c>
      <c r="G19" s="4">
        <v>16</v>
      </c>
      <c r="H19" s="4">
        <v>39.480000000000011</v>
      </c>
      <c r="I19" s="4">
        <v>39.51</v>
      </c>
      <c r="K19" s="4">
        <v>16</v>
      </c>
      <c r="L19" s="4">
        <v>62.619999999999969</v>
      </c>
      <c r="M19" s="4">
        <v>62.64</v>
      </c>
      <c r="O19" s="4">
        <v>16</v>
      </c>
      <c r="P19" s="4">
        <v>63.418999999999997</v>
      </c>
      <c r="Q19" s="4">
        <v>48.837083333333332</v>
      </c>
      <c r="R19" s="4">
        <v>0.625</v>
      </c>
      <c r="S19" s="4">
        <v>0.45600000000000002</v>
      </c>
      <c r="T19" s="4">
        <v>0</v>
      </c>
      <c r="U19" s="4">
        <v>8.0000000000000002E-3</v>
      </c>
      <c r="V19" s="4">
        <v>0.25</v>
      </c>
      <c r="W19" s="4">
        <v>0.39</v>
      </c>
      <c r="X19" s="4">
        <v>648</v>
      </c>
      <c r="Y19" s="4">
        <v>32.772666666666666</v>
      </c>
      <c r="Z19" s="4">
        <v>48.28</v>
      </c>
      <c r="AA19" s="4">
        <v>0</v>
      </c>
      <c r="AB19" s="4">
        <v>54.177</v>
      </c>
      <c r="AC19" s="4">
        <v>70.668333333333322</v>
      </c>
      <c r="AD19" s="4">
        <v>75.311000000000007</v>
      </c>
      <c r="AE19" s="4">
        <f>IF(ISBLANK(t_omie_evol[[#This Row],[Omie media diaria]]),$X$39,t_omie_evol[[#This Row],[demanda GWh]])</f>
        <v>648</v>
      </c>
    </row>
    <row r="20" spans="1:31" x14ac:dyDescent="0.2">
      <c r="A20" s="4">
        <v>17</v>
      </c>
      <c r="B20" s="4">
        <v>32.93</v>
      </c>
      <c r="D20" s="4">
        <v>46.03</v>
      </c>
      <c r="E20" s="4">
        <v>38.119999999999997</v>
      </c>
      <c r="G20" s="4">
        <v>17</v>
      </c>
      <c r="H20" s="4">
        <v>38.919999999999987</v>
      </c>
      <c r="I20" s="4">
        <v>39.51</v>
      </c>
      <c r="K20" s="4">
        <v>17</v>
      </c>
      <c r="L20" s="4">
        <v>62.52999999999998</v>
      </c>
      <c r="M20" s="4">
        <v>62.64</v>
      </c>
      <c r="O20" s="4">
        <v>17</v>
      </c>
      <c r="P20" s="4">
        <v>63.418999999999997</v>
      </c>
      <c r="Q20" s="4">
        <v>51.250416666666666</v>
      </c>
      <c r="R20" s="4">
        <v>0.43478260869565216</v>
      </c>
      <c r="S20" s="4">
        <v>0.45600000000000002</v>
      </c>
      <c r="T20" s="4">
        <v>0</v>
      </c>
      <c r="U20" s="4">
        <v>0.01</v>
      </c>
      <c r="V20" s="4">
        <v>0.34782608695652173</v>
      </c>
      <c r="W20" s="4">
        <v>0.42499999999999999</v>
      </c>
      <c r="X20" s="4">
        <v>638</v>
      </c>
      <c r="Y20" s="4">
        <v>19.145999999999997</v>
      </c>
      <c r="Z20" s="4">
        <v>48.28</v>
      </c>
      <c r="AA20" s="4">
        <v>0</v>
      </c>
      <c r="AB20" s="4">
        <v>54.177</v>
      </c>
      <c r="AC20" s="4">
        <v>76.097499999999997</v>
      </c>
      <c r="AD20" s="4">
        <v>75.311000000000007</v>
      </c>
      <c r="AE20" s="4">
        <f>IF(ISBLANK(t_omie_evol[[#This Row],[Omie media diaria]]),$X$39,t_omie_evol[[#This Row],[demanda GWh]])</f>
        <v>638</v>
      </c>
    </row>
    <row r="21" spans="1:31" x14ac:dyDescent="0.2">
      <c r="A21" s="4">
        <v>18</v>
      </c>
      <c r="B21" s="4">
        <v>38.35</v>
      </c>
      <c r="D21" s="4">
        <v>65.55</v>
      </c>
      <c r="E21" s="4">
        <v>51.05</v>
      </c>
      <c r="G21" s="4">
        <v>18</v>
      </c>
      <c r="H21" s="4">
        <v>39.369999999999997</v>
      </c>
      <c r="I21" s="4">
        <v>39.51</v>
      </c>
      <c r="K21" s="4">
        <v>18</v>
      </c>
      <c r="L21" s="4">
        <v>61.97000000000002</v>
      </c>
      <c r="M21" s="4">
        <v>62.64</v>
      </c>
      <c r="O21" s="4">
        <v>18</v>
      </c>
      <c r="P21" s="4">
        <v>63.418999999999997</v>
      </c>
      <c r="Q21" s="4">
        <v>51.98749999999999</v>
      </c>
      <c r="R21" s="4">
        <v>0.5</v>
      </c>
      <c r="S21" s="4">
        <v>0.45600000000000002</v>
      </c>
      <c r="T21" s="4">
        <v>4.1666666666666664E-2</v>
      </c>
      <c r="U21" s="4">
        <v>1.4E-2</v>
      </c>
      <c r="V21" s="4">
        <v>0.375</v>
      </c>
      <c r="W21" s="4">
        <v>0.45100000000000001</v>
      </c>
      <c r="X21" s="4">
        <v>459</v>
      </c>
      <c r="Y21" s="4">
        <v>25.685833333333335</v>
      </c>
      <c r="Z21" s="4">
        <v>48.28</v>
      </c>
      <c r="AA21" s="4">
        <v>109.56</v>
      </c>
      <c r="AB21" s="4">
        <v>54.177</v>
      </c>
      <c r="AC21" s="4">
        <v>75.545555555555552</v>
      </c>
      <c r="AD21" s="4">
        <v>75.311000000000007</v>
      </c>
      <c r="AE21" s="4">
        <f>IF(ISBLANK(t_omie_evol[[#This Row],[Omie media diaria]]),$X$39,t_omie_evol[[#This Row],[demanda GWh]])</f>
        <v>459</v>
      </c>
    </row>
    <row r="22" spans="1:31" x14ac:dyDescent="0.2">
      <c r="A22" s="4">
        <v>19</v>
      </c>
      <c r="B22" s="4">
        <v>48.11</v>
      </c>
      <c r="D22" s="4">
        <v>86.04</v>
      </c>
      <c r="E22" s="4">
        <v>75.38</v>
      </c>
      <c r="G22" s="4">
        <v>19</v>
      </c>
      <c r="H22" s="4">
        <v>38.869999999999997</v>
      </c>
      <c r="I22" s="4">
        <v>39.51</v>
      </c>
      <c r="K22" s="4">
        <v>19</v>
      </c>
      <c r="L22" s="4">
        <v>61.97000000000002</v>
      </c>
      <c r="M22" s="4">
        <v>62.64</v>
      </c>
      <c r="O22" s="4">
        <v>19</v>
      </c>
      <c r="P22" s="4">
        <v>63.418999999999997</v>
      </c>
      <c r="Q22" s="4">
        <v>48.707916666666669</v>
      </c>
      <c r="R22" s="4">
        <v>0.47826086956521746</v>
      </c>
      <c r="S22" s="4">
        <v>0.45600000000000002</v>
      </c>
      <c r="T22" s="4">
        <v>0</v>
      </c>
      <c r="U22" s="4">
        <v>0</v>
      </c>
      <c r="V22" s="4">
        <v>0.47826086956521746</v>
      </c>
      <c r="W22" s="4">
        <v>0.48899999999999999</v>
      </c>
      <c r="X22" s="4">
        <v>0</v>
      </c>
      <c r="Y22" s="4">
        <v>30.633636363636366</v>
      </c>
      <c r="Z22" s="4">
        <v>48.28</v>
      </c>
      <c r="AA22" s="4">
        <v>0</v>
      </c>
      <c r="AB22" s="4">
        <v>54.177</v>
      </c>
      <c r="AC22" s="4">
        <v>63.365454545454547</v>
      </c>
      <c r="AD22" s="4">
        <v>75.311000000000007</v>
      </c>
      <c r="AE22" s="4">
        <f>IF(ISBLANK(t_omie_evol[[#This Row],[Omie media diaria]]),$X$39,t_omie_evol[[#This Row],[demanda GWh]])</f>
        <v>0</v>
      </c>
    </row>
    <row r="23" spans="1:31" x14ac:dyDescent="0.2">
      <c r="A23" s="4">
        <v>20</v>
      </c>
      <c r="B23" s="4">
        <v>94</v>
      </c>
      <c r="D23" s="4">
        <v>106.96</v>
      </c>
      <c r="E23" s="4">
        <v>101.79</v>
      </c>
      <c r="G23" s="4">
        <v>20</v>
      </c>
      <c r="I23" s="4">
        <v>39.51</v>
      </c>
      <c r="K23" s="4">
        <v>20</v>
      </c>
      <c r="L23" s="4">
        <v>61.97000000000002</v>
      </c>
      <c r="M23" s="4">
        <v>62.64</v>
      </c>
      <c r="O23" s="4">
        <v>20</v>
      </c>
      <c r="P23" s="4">
        <v>63.418999999999997</v>
      </c>
      <c r="Q23" s="4">
        <v>44.662916666666661</v>
      </c>
      <c r="R23" s="4">
        <v>0.45833333333333326</v>
      </c>
      <c r="S23" s="4">
        <v>0.45600000000000002</v>
      </c>
      <c r="T23" s="4">
        <v>0</v>
      </c>
      <c r="U23" s="4">
        <v>0</v>
      </c>
      <c r="V23" s="4">
        <v>0.5</v>
      </c>
      <c r="W23" s="4">
        <v>0.5</v>
      </c>
      <c r="X23" s="4">
        <v>0</v>
      </c>
      <c r="Y23" s="4">
        <v>22.784545454545452</v>
      </c>
      <c r="Z23" s="4">
        <v>48.28</v>
      </c>
      <c r="AA23" s="4">
        <v>0</v>
      </c>
      <c r="AB23" s="4">
        <v>54.177</v>
      </c>
      <c r="AC23" s="4">
        <v>64.69</v>
      </c>
      <c r="AD23" s="4">
        <v>75.311000000000007</v>
      </c>
      <c r="AE23" s="4">
        <f>IF(ISBLANK(t_omie_evol[[#This Row],[Omie media diaria]]),$X$39,t_omie_evol[[#This Row],[demanda GWh]])</f>
        <v>0</v>
      </c>
    </row>
    <row r="24" spans="1:31" x14ac:dyDescent="0.2">
      <c r="A24" s="4">
        <v>21</v>
      </c>
      <c r="B24" s="4">
        <v>96.83</v>
      </c>
      <c r="C24" s="4">
        <v>155.87</v>
      </c>
      <c r="D24" s="4">
        <v>119.8</v>
      </c>
      <c r="E24" s="4">
        <v>120.1</v>
      </c>
      <c r="G24" s="4">
        <v>21</v>
      </c>
      <c r="I24" s="4">
        <v>39.51</v>
      </c>
      <c r="K24" s="4">
        <v>21</v>
      </c>
      <c r="M24" s="4">
        <v>62.64</v>
      </c>
      <c r="O24" s="4">
        <v>21</v>
      </c>
      <c r="P24" s="4">
        <v>63.418999999999997</v>
      </c>
      <c r="S24" s="4">
        <v>0.45600000000000002</v>
      </c>
      <c r="U24" s="4">
        <v>0</v>
      </c>
      <c r="W24" s="4">
        <v>0.5</v>
      </c>
      <c r="Y24" s="4" t="s">
        <v>1111</v>
      </c>
      <c r="Z24" s="4">
        <v>48.28</v>
      </c>
      <c r="AA24" s="4" t="s">
        <v>1111</v>
      </c>
      <c r="AB24" s="4">
        <v>54.177</v>
      </c>
      <c r="AC24" s="4" t="s">
        <v>1111</v>
      </c>
      <c r="AD24" s="4">
        <v>75.311000000000007</v>
      </c>
      <c r="AE24" s="4">
        <f>IF(ISBLANK(t_omie_evol[[#This Row],[Omie media diaria]]),$X$39,t_omie_evol[[#This Row],[demanda GWh]])</f>
        <v>546.79999999999995</v>
      </c>
    </row>
    <row r="25" spans="1:31" x14ac:dyDescent="0.2">
      <c r="A25" s="4">
        <v>22</v>
      </c>
      <c r="B25" s="4">
        <v>83.19</v>
      </c>
      <c r="C25" s="4">
        <v>153.55000000000001</v>
      </c>
      <c r="D25" s="4">
        <v>99.46</v>
      </c>
      <c r="E25" s="4">
        <v>109.56</v>
      </c>
      <c r="G25" s="4">
        <v>22</v>
      </c>
      <c r="I25" s="4">
        <v>39.51</v>
      </c>
      <c r="K25" s="4">
        <v>22</v>
      </c>
      <c r="M25" s="4">
        <v>62.64</v>
      </c>
      <c r="O25" s="4">
        <v>22</v>
      </c>
      <c r="P25" s="4">
        <v>63.418999999999997</v>
      </c>
      <c r="S25" s="4">
        <v>0.45600000000000002</v>
      </c>
      <c r="U25" s="4">
        <v>0</v>
      </c>
      <c r="W25" s="4">
        <v>0.5</v>
      </c>
      <c r="Y25" s="4" t="s">
        <v>1111</v>
      </c>
      <c r="Z25" s="4">
        <v>48.28</v>
      </c>
      <c r="AA25" s="4" t="s">
        <v>1111</v>
      </c>
      <c r="AB25" s="4">
        <v>54.177</v>
      </c>
      <c r="AC25" s="4" t="s">
        <v>1111</v>
      </c>
      <c r="AD25" s="4">
        <v>75.311000000000007</v>
      </c>
      <c r="AE25" s="4">
        <f>IF(ISBLANK(t_omie_evol[[#This Row],[Omie media diaria]]),$X$39,t_omie_evol[[#This Row],[demanda GWh]])</f>
        <v>546.79999999999995</v>
      </c>
    </row>
    <row r="26" spans="1:31" x14ac:dyDescent="0.2">
      <c r="A26" s="4">
        <v>23</v>
      </c>
      <c r="C26" s="4">
        <v>100.24</v>
      </c>
      <c r="D26" s="4">
        <v>87.16</v>
      </c>
      <c r="E26" s="4">
        <v>89.07</v>
      </c>
      <c r="G26" s="4">
        <v>23</v>
      </c>
      <c r="I26" s="4">
        <v>39.51</v>
      </c>
      <c r="K26" s="4">
        <v>23</v>
      </c>
      <c r="M26" s="4">
        <v>62.64</v>
      </c>
      <c r="O26" s="4">
        <v>23</v>
      </c>
      <c r="P26" s="4">
        <v>63.418999999999997</v>
      </c>
      <c r="S26" s="4">
        <v>0.45600000000000002</v>
      </c>
      <c r="U26" s="4">
        <v>0</v>
      </c>
      <c r="W26" s="4">
        <v>0.5</v>
      </c>
      <c r="Y26" s="4" t="s">
        <v>1111</v>
      </c>
      <c r="Z26" s="4">
        <v>48.28</v>
      </c>
      <c r="AA26" s="4" t="s">
        <v>1111</v>
      </c>
      <c r="AB26" s="4">
        <v>54.177</v>
      </c>
      <c r="AC26" s="4" t="s">
        <v>1111</v>
      </c>
      <c r="AD26" s="4">
        <v>75.311000000000007</v>
      </c>
      <c r="AE26" s="4">
        <f>IF(ISBLANK(t_omie_evol[[#This Row],[Omie media diaria]]),$X$39,t_omie_evol[[#This Row],[demanda GWh]])</f>
        <v>546.79999999999995</v>
      </c>
    </row>
    <row r="27" spans="1:31" x14ac:dyDescent="0.2">
      <c r="A27" s="4">
        <v>24</v>
      </c>
      <c r="B27" s="4">
        <v>78.42</v>
      </c>
      <c r="C27" s="4">
        <v>100.34</v>
      </c>
      <c r="D27" s="4">
        <v>73.81</v>
      </c>
      <c r="E27" s="4">
        <v>80.569999999999993</v>
      </c>
      <c r="G27" s="4">
        <v>24</v>
      </c>
      <c r="I27" s="4">
        <v>39.51</v>
      </c>
      <c r="K27" s="4">
        <v>24</v>
      </c>
      <c r="M27" s="4">
        <v>62.64</v>
      </c>
      <c r="O27" s="4">
        <v>24</v>
      </c>
      <c r="P27" s="4">
        <v>63.418999999999997</v>
      </c>
      <c r="S27" s="4">
        <v>0.45600000000000002</v>
      </c>
      <c r="U27" s="4">
        <v>0</v>
      </c>
      <c r="W27" s="4">
        <v>0.5</v>
      </c>
      <c r="Y27" s="4" t="s">
        <v>1111</v>
      </c>
      <c r="Z27" s="4">
        <v>48.28</v>
      </c>
      <c r="AA27" s="4" t="s">
        <v>1111</v>
      </c>
      <c r="AB27" s="4">
        <v>54.177</v>
      </c>
      <c r="AC27" s="4" t="s">
        <v>1111</v>
      </c>
      <c r="AD27" s="4">
        <v>75.311000000000007</v>
      </c>
      <c r="AE27" s="4">
        <f>IF(ISBLANK(t_omie_evol[[#This Row],[Omie media diaria]]),$X$39,t_omie_evol[[#This Row],[demanda GWh]])</f>
        <v>546.79999999999995</v>
      </c>
    </row>
    <row r="28" spans="1:31" x14ac:dyDescent="0.2">
      <c r="G28" s="4">
        <v>25</v>
      </c>
      <c r="I28" s="4">
        <v>39.51</v>
      </c>
      <c r="K28" s="4">
        <v>25</v>
      </c>
      <c r="M28" s="4">
        <v>62.64</v>
      </c>
      <c r="O28" s="4">
        <v>25</v>
      </c>
      <c r="P28" s="4">
        <v>63.418999999999997</v>
      </c>
      <c r="S28" s="4">
        <v>0.45600000000000002</v>
      </c>
      <c r="U28" s="4">
        <v>0</v>
      </c>
      <c r="W28" s="4">
        <v>0.5</v>
      </c>
      <c r="Y28" s="4" t="s">
        <v>1111</v>
      </c>
      <c r="Z28" s="4">
        <v>48.28</v>
      </c>
      <c r="AA28" s="4" t="s">
        <v>1111</v>
      </c>
      <c r="AB28" s="4">
        <v>54.177</v>
      </c>
      <c r="AC28" s="4" t="s">
        <v>1111</v>
      </c>
      <c r="AD28" s="4">
        <v>75.311000000000007</v>
      </c>
      <c r="AE28" s="4">
        <f>IF(ISBLANK(t_omie_evol[[#This Row],[Omie media diaria]]),$X$39,t_omie_evol[[#This Row],[demanda GWh]])</f>
        <v>546.79999999999995</v>
      </c>
    </row>
    <row r="29" spans="1:31" ht="11.45" customHeight="1" x14ac:dyDescent="0.2">
      <c r="G29" s="4">
        <v>26</v>
      </c>
      <c r="I29" s="4">
        <v>39.51</v>
      </c>
      <c r="K29" s="4">
        <v>26</v>
      </c>
      <c r="M29" s="4">
        <v>62.64</v>
      </c>
      <c r="O29" s="4">
        <v>26</v>
      </c>
      <c r="P29" s="4">
        <v>63.418999999999997</v>
      </c>
      <c r="S29" s="4">
        <v>0.45600000000000002</v>
      </c>
      <c r="U29" s="4">
        <v>0</v>
      </c>
      <c r="W29" s="4">
        <v>0.5</v>
      </c>
      <c r="Y29" s="4" t="s">
        <v>1111</v>
      </c>
      <c r="Z29" s="4">
        <v>48.28</v>
      </c>
      <c r="AA29" s="4" t="s">
        <v>1111</v>
      </c>
      <c r="AB29" s="4">
        <v>54.177</v>
      </c>
      <c r="AC29" s="4" t="s">
        <v>1111</v>
      </c>
      <c r="AD29" s="4">
        <v>75.311000000000007</v>
      </c>
      <c r="AE29" s="4">
        <f>IF(ISBLANK(t_omie_evol[[#This Row],[Omie media diaria]]),$X$39,t_omie_evol[[#This Row],[demanda GWh]])</f>
        <v>546.79999999999995</v>
      </c>
    </row>
    <row r="30" spans="1:31" ht="11.45" customHeight="1" x14ac:dyDescent="0.2">
      <c r="G30" s="4">
        <v>27</v>
      </c>
      <c r="I30" s="4">
        <v>39.51</v>
      </c>
      <c r="K30" s="4">
        <v>27</v>
      </c>
      <c r="M30" s="4">
        <v>62.64</v>
      </c>
      <c r="O30" s="4">
        <v>27</v>
      </c>
      <c r="P30" s="4">
        <v>63.418999999999997</v>
      </c>
      <c r="S30" s="4">
        <v>0.45600000000000002</v>
      </c>
      <c r="U30" s="4">
        <v>0</v>
      </c>
      <c r="W30" s="4">
        <v>0.5</v>
      </c>
      <c r="Y30" s="4" t="s">
        <v>1111</v>
      </c>
      <c r="Z30" s="4">
        <v>48.28</v>
      </c>
      <c r="AA30" s="4" t="s">
        <v>1111</v>
      </c>
      <c r="AB30" s="4">
        <v>54.177</v>
      </c>
      <c r="AC30" s="4" t="s">
        <v>1111</v>
      </c>
      <c r="AD30" s="4">
        <v>75.311000000000007</v>
      </c>
      <c r="AE30" s="4">
        <f>IF(ISBLANK(t_omie_evol[[#This Row],[Omie media diaria]]),$X$39,t_omie_evol[[#This Row],[demanda GWh]])</f>
        <v>546.79999999999995</v>
      </c>
    </row>
    <row r="31" spans="1:31" ht="11.45" customHeight="1" x14ac:dyDescent="0.2">
      <c r="G31" s="4">
        <v>28</v>
      </c>
      <c r="I31" s="4">
        <v>39.51</v>
      </c>
      <c r="K31" s="4">
        <v>28</v>
      </c>
      <c r="M31" s="4">
        <v>62.64</v>
      </c>
      <c r="O31" s="4">
        <v>28</v>
      </c>
      <c r="P31" s="4">
        <v>63.418999999999997</v>
      </c>
      <c r="S31" s="4">
        <v>0.45600000000000002</v>
      </c>
      <c r="U31" s="4">
        <v>0</v>
      </c>
      <c r="W31" s="4">
        <v>0.5</v>
      </c>
      <c r="Y31" s="4" t="s">
        <v>1111</v>
      </c>
      <c r="Z31" s="4">
        <v>48.28</v>
      </c>
      <c r="AA31" s="4" t="s">
        <v>1111</v>
      </c>
      <c r="AB31" s="4">
        <v>54.177</v>
      </c>
      <c r="AC31" s="4" t="s">
        <v>1111</v>
      </c>
      <c r="AD31" s="4">
        <v>75.311000000000007</v>
      </c>
      <c r="AE31" s="4">
        <f>IF(ISBLANK(t_omie_evol[[#This Row],[Omie media diaria]]),$X$39,t_omie_evol[[#This Row],[demanda GWh]])</f>
        <v>546.79999999999995</v>
      </c>
    </row>
    <row r="32" spans="1:31" ht="11.45" customHeight="1" x14ac:dyDescent="0.2">
      <c r="G32" s="4">
        <v>29</v>
      </c>
      <c r="I32" s="4">
        <v>39.51</v>
      </c>
      <c r="K32" s="4">
        <v>29</v>
      </c>
      <c r="M32" s="4">
        <v>62.64</v>
      </c>
      <c r="O32" s="4">
        <v>29</v>
      </c>
      <c r="P32" s="4">
        <v>63.418999999999997</v>
      </c>
      <c r="S32" s="4">
        <v>0.45600000000000002</v>
      </c>
      <c r="U32" s="4">
        <v>0</v>
      </c>
      <c r="W32" s="4">
        <v>0.5</v>
      </c>
      <c r="Y32" s="4" t="s">
        <v>1111</v>
      </c>
      <c r="Z32" s="4">
        <v>48.28</v>
      </c>
      <c r="AA32" s="4" t="s">
        <v>1111</v>
      </c>
      <c r="AB32" s="4">
        <v>54.177</v>
      </c>
      <c r="AC32" s="4" t="s">
        <v>1111</v>
      </c>
      <c r="AD32" s="4">
        <v>75.311000000000007</v>
      </c>
      <c r="AE32" s="4">
        <f>IF(ISBLANK(t_omie_evol[[#This Row],[Omie media diaria]]),$X$39,t_omie_evol[[#This Row],[demanda GWh]])</f>
        <v>546.79999999999995</v>
      </c>
    </row>
    <row r="33" spans="7:31" ht="11.45" customHeight="1" x14ac:dyDescent="0.2">
      <c r="G33" s="4">
        <v>30</v>
      </c>
      <c r="I33" s="4">
        <v>39.51</v>
      </c>
      <c r="K33" s="4">
        <v>30</v>
      </c>
      <c r="M33" s="4">
        <v>62.64</v>
      </c>
      <c r="O33" s="4">
        <v>30</v>
      </c>
      <c r="P33" s="4">
        <v>63.418999999999997</v>
      </c>
      <c r="S33" s="4">
        <v>0.45600000000000002</v>
      </c>
      <c r="U33" s="4">
        <v>0</v>
      </c>
      <c r="W33" s="4">
        <v>0.5</v>
      </c>
      <c r="Y33" s="4" t="s">
        <v>1111</v>
      </c>
      <c r="Z33" s="4">
        <v>48.28</v>
      </c>
      <c r="AA33" s="4" t="s">
        <v>1111</v>
      </c>
      <c r="AB33" s="4">
        <v>54.177</v>
      </c>
      <c r="AC33" s="4" t="s">
        <v>1111</v>
      </c>
      <c r="AD33" s="4">
        <v>75.311000000000007</v>
      </c>
      <c r="AE33" s="4">
        <f>IF(ISBLANK(t_omie_evol[[#This Row],[Omie media diaria]]),$X$39,t_omie_evol[[#This Row],[demanda GWh]])</f>
        <v>546.79999999999995</v>
      </c>
    </row>
    <row r="34" spans="7:31" ht="11.45" customHeight="1" x14ac:dyDescent="0.2">
      <c r="G34" s="4">
        <v>31</v>
      </c>
      <c r="K34" s="4">
        <v>31</v>
      </c>
      <c r="M34" s="4">
        <v>62.64</v>
      </c>
      <c r="O34" s="4">
        <v>31</v>
      </c>
      <c r="P34" s="4">
        <v>63.418999999999997</v>
      </c>
      <c r="S34" s="4">
        <v>0.45600000000000002</v>
      </c>
      <c r="U34" s="4">
        <v>0</v>
      </c>
      <c r="W34" s="4">
        <v>0.5</v>
      </c>
      <c r="Y34" s="4" t="s">
        <v>1111</v>
      </c>
      <c r="Z34" s="4">
        <v>48.28</v>
      </c>
      <c r="AA34" s="4" t="s">
        <v>1111</v>
      </c>
      <c r="AB34" s="4">
        <v>54.177</v>
      </c>
      <c r="AC34" s="4" t="s">
        <v>1111</v>
      </c>
      <c r="AD34" s="4">
        <v>75.311000000000007</v>
      </c>
      <c r="AE34" s="4">
        <f>IF(ISBLANK(t_omie_evol[[#This Row],[Omie media diaria]]),$X$39,t_omie_evol[[#This Row],[demanda GWh]])</f>
        <v>546.79999999999995</v>
      </c>
    </row>
    <row r="38" spans="7:31" x14ac:dyDescent="0.2">
      <c r="W38" s="4" t="s">
        <v>488</v>
      </c>
      <c r="X38" s="4">
        <f>SUM(t_omie_evol[demanda GWh])</f>
        <v>10936</v>
      </c>
    </row>
    <row r="39" spans="7:31" x14ac:dyDescent="0.2">
      <c r="W39" s="4" t="s">
        <v>489</v>
      </c>
      <c r="X39" s="4">
        <f>AVERAGE(t_omie_evol[demanda GWh])</f>
        <v>546.79999999999995</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H94"/>
  <sheetViews>
    <sheetView topLeftCell="A16" workbookViewId="0">
      <selection activeCell="D21" sqref="D21"/>
    </sheetView>
  </sheetViews>
  <sheetFormatPr baseColWidth="10" defaultRowHeight="12" x14ac:dyDescent="0.2"/>
  <cols>
    <col min="1" max="1" width="8.42578125" bestFit="1" customWidth="1"/>
    <col min="2" max="2" width="10.140625" bestFit="1" customWidth="1"/>
    <col min="3" max="3" width="28.7109375"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 min="28" max="28" width="3.42578125" customWidth="1"/>
  </cols>
  <sheetData>
    <row r="1" spans="1:34"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c r="AC1" t="s">
        <v>3</v>
      </c>
      <c r="AD1" t="s">
        <v>12</v>
      </c>
      <c r="AE1" t="s">
        <v>0</v>
      </c>
      <c r="AF1" t="s">
        <v>1</v>
      </c>
      <c r="AG1" t="s">
        <v>5</v>
      </c>
      <c r="AH1" t="s">
        <v>7</v>
      </c>
    </row>
    <row r="2" spans="1:34"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c r="AC2" t="s">
        <v>563</v>
      </c>
      <c r="AD2">
        <v>4</v>
      </c>
      <c r="AE2" t="s">
        <v>328</v>
      </c>
      <c r="AF2">
        <v>30</v>
      </c>
      <c r="AG2">
        <v>-0.39999999999999858</v>
      </c>
      <c r="AH2">
        <v>1.3157894736842059E-2</v>
      </c>
    </row>
    <row r="3" spans="1:34"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c r="AC3" t="s">
        <v>563</v>
      </c>
      <c r="AD3">
        <v>29</v>
      </c>
      <c r="AE3" t="s">
        <v>226</v>
      </c>
      <c r="AF3">
        <v>24.39</v>
      </c>
      <c r="AG3">
        <v>-6.009999999999998</v>
      </c>
      <c r="AH3">
        <v>0.19769736842105257</v>
      </c>
    </row>
    <row r="4" spans="1:34"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c r="AC4" t="s">
        <v>563</v>
      </c>
      <c r="AD4">
        <v>28</v>
      </c>
      <c r="AE4" t="s">
        <v>221</v>
      </c>
      <c r="AF4">
        <v>24.93</v>
      </c>
      <c r="AG4">
        <v>-5.4699999999999989</v>
      </c>
      <c r="AH4">
        <v>0.17993421052631575</v>
      </c>
    </row>
    <row r="5" spans="1:34"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c r="AC5" t="s">
        <v>563</v>
      </c>
      <c r="AD5">
        <v>21</v>
      </c>
      <c r="AE5" t="s">
        <v>9</v>
      </c>
      <c r="AF5">
        <v>35</v>
      </c>
      <c r="AG5">
        <v>4.6000000000000014</v>
      </c>
      <c r="AH5">
        <v>0.15131578947368426</v>
      </c>
    </row>
    <row r="6" spans="1:34"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c r="AC6" t="s">
        <v>563</v>
      </c>
      <c r="AD6">
        <v>13</v>
      </c>
      <c r="AE6" t="s">
        <v>413</v>
      </c>
      <c r="AF6">
        <v>33.340000000000003</v>
      </c>
      <c r="AG6">
        <v>2.9400000000000048</v>
      </c>
      <c r="AH6">
        <v>9.6710526315789636E-2</v>
      </c>
    </row>
    <row r="7" spans="1:34"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c r="AC7" t="s">
        <v>563</v>
      </c>
      <c r="AD7">
        <v>35</v>
      </c>
      <c r="AE7" t="s">
        <v>215</v>
      </c>
      <c r="AF7">
        <v>41.1</v>
      </c>
      <c r="AG7">
        <v>10.700000000000003</v>
      </c>
      <c r="AH7">
        <v>0.35197368421052644</v>
      </c>
    </row>
    <row r="8" spans="1:34"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c r="AC8" t="s">
        <v>563</v>
      </c>
      <c r="AD8">
        <v>18</v>
      </c>
      <c r="AE8" t="s">
        <v>335</v>
      </c>
      <c r="AF8">
        <v>34.21</v>
      </c>
      <c r="AG8">
        <v>3.8100000000000023</v>
      </c>
      <c r="AH8">
        <v>0.12532894736842112</v>
      </c>
    </row>
    <row r="9" spans="1:34"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c r="AC9" t="s">
        <v>563</v>
      </c>
      <c r="AD9">
        <v>19</v>
      </c>
      <c r="AE9" t="s">
        <v>652</v>
      </c>
      <c r="AF9">
        <v>34.47</v>
      </c>
      <c r="AG9">
        <v>4.07</v>
      </c>
      <c r="AH9">
        <v>0.13388157894736843</v>
      </c>
    </row>
    <row r="10" spans="1:34"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c r="AC10" t="s">
        <v>563</v>
      </c>
      <c r="AD10">
        <v>39</v>
      </c>
      <c r="AE10" t="s">
        <v>651</v>
      </c>
      <c r="AF10">
        <v>13.1</v>
      </c>
      <c r="AG10">
        <v>-17.299999999999997</v>
      </c>
      <c r="AH10">
        <v>0.56907894736842102</v>
      </c>
    </row>
    <row r="11" spans="1:34"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c r="AC11" t="s">
        <v>563</v>
      </c>
      <c r="AD11">
        <v>24</v>
      </c>
      <c r="AE11" t="s">
        <v>541</v>
      </c>
      <c r="AF11">
        <v>35.33</v>
      </c>
      <c r="AG11">
        <v>4.93</v>
      </c>
      <c r="AH11">
        <v>0.16217105263157894</v>
      </c>
    </row>
    <row r="12" spans="1:34"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c r="AC12" t="s">
        <v>563</v>
      </c>
      <c r="AD12">
        <v>41</v>
      </c>
      <c r="AE12" t="s">
        <v>225</v>
      </c>
      <c r="AF12">
        <v>11.11</v>
      </c>
      <c r="AG12">
        <v>-19.29</v>
      </c>
      <c r="AH12">
        <v>0.63453947368421049</v>
      </c>
    </row>
    <row r="13" spans="1:34"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c r="AC13" t="s">
        <v>563</v>
      </c>
      <c r="AD13">
        <v>12</v>
      </c>
      <c r="AE13" t="s">
        <v>217</v>
      </c>
      <c r="AF13">
        <v>33.33</v>
      </c>
      <c r="AG13">
        <v>2.9299999999999997</v>
      </c>
      <c r="AH13">
        <v>9.6381578947368415E-2</v>
      </c>
    </row>
    <row r="14" spans="1:34"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c r="AC14" t="s">
        <v>563</v>
      </c>
      <c r="AD14">
        <v>25</v>
      </c>
      <c r="AE14" t="s">
        <v>337</v>
      </c>
      <c r="AF14">
        <v>35.53</v>
      </c>
      <c r="AG14">
        <v>5.1300000000000026</v>
      </c>
      <c r="AH14">
        <v>0.16875000000000009</v>
      </c>
    </row>
    <row r="15" spans="1:34"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c r="AC15" t="s">
        <v>563</v>
      </c>
      <c r="AD15">
        <v>30</v>
      </c>
      <c r="AE15" t="s">
        <v>788</v>
      </c>
      <c r="AF15">
        <v>23.7</v>
      </c>
      <c r="AG15">
        <v>-6.6999999999999993</v>
      </c>
      <c r="AH15">
        <v>0.22039473684210525</v>
      </c>
    </row>
    <row r="16" spans="1:34"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c r="AC16" t="s">
        <v>563</v>
      </c>
      <c r="AD16">
        <v>5</v>
      </c>
      <c r="AE16" t="s">
        <v>409</v>
      </c>
      <c r="AF16">
        <v>29.69</v>
      </c>
      <c r="AG16">
        <v>-0.7099999999999973</v>
      </c>
      <c r="AH16">
        <v>2.335526315789465E-2</v>
      </c>
    </row>
    <row r="17" spans="1:34"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c r="AC17" t="s">
        <v>563</v>
      </c>
      <c r="AD17">
        <v>9</v>
      </c>
      <c r="AE17" t="s">
        <v>362</v>
      </c>
      <c r="AF17">
        <v>28.3</v>
      </c>
      <c r="AG17">
        <v>-2.0999999999999979</v>
      </c>
      <c r="AH17">
        <v>6.907894736842099E-2</v>
      </c>
    </row>
    <row r="18" spans="1:34"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c r="AC18" t="s">
        <v>563</v>
      </c>
      <c r="AD18">
        <v>26</v>
      </c>
      <c r="AE18" t="s">
        <v>650</v>
      </c>
      <c r="AF18">
        <v>35.6</v>
      </c>
      <c r="AG18">
        <v>5.2000000000000028</v>
      </c>
      <c r="AH18">
        <v>0.17105263157894746</v>
      </c>
    </row>
    <row r="19" spans="1:34"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c r="AC19" t="s">
        <v>563</v>
      </c>
      <c r="AD19">
        <v>14</v>
      </c>
      <c r="AE19" t="s">
        <v>219</v>
      </c>
      <c r="AF19">
        <v>33.35</v>
      </c>
      <c r="AG19">
        <v>2.9500000000000028</v>
      </c>
      <c r="AH19">
        <v>9.703947368421062E-2</v>
      </c>
    </row>
    <row r="20" spans="1:34"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c r="AC20" t="s">
        <v>563</v>
      </c>
      <c r="AD20">
        <v>22</v>
      </c>
      <c r="AE20" t="s">
        <v>474</v>
      </c>
      <c r="AF20">
        <v>35.1</v>
      </c>
      <c r="AG20">
        <v>4.7000000000000028</v>
      </c>
      <c r="AH20">
        <v>0.15460526315789483</v>
      </c>
    </row>
    <row r="21" spans="1:34"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c r="AC21" t="s">
        <v>563</v>
      </c>
      <c r="AD21">
        <v>43</v>
      </c>
      <c r="AE21" t="s">
        <v>242</v>
      </c>
      <c r="AF21">
        <v>7.5</v>
      </c>
      <c r="AG21">
        <v>-22.9</v>
      </c>
      <c r="AH21">
        <v>0.75328947368421051</v>
      </c>
    </row>
    <row r="22" spans="1:34"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c r="AC22" t="s">
        <v>563</v>
      </c>
      <c r="AD22">
        <v>27</v>
      </c>
      <c r="AE22" t="s">
        <v>406</v>
      </c>
      <c r="AF22">
        <v>25</v>
      </c>
      <c r="AG22">
        <v>-5.3999999999999986</v>
      </c>
      <c r="AH22">
        <v>0.17763157894736839</v>
      </c>
    </row>
    <row r="23" spans="1:34"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c r="AC23" t="s">
        <v>563</v>
      </c>
      <c r="AD23">
        <v>3</v>
      </c>
      <c r="AE23" t="s">
        <v>336</v>
      </c>
      <c r="AF23">
        <v>30.01</v>
      </c>
      <c r="AG23">
        <v>-0.38999999999999702</v>
      </c>
      <c r="AH23">
        <v>1.2828947368420955E-2</v>
      </c>
    </row>
    <row r="24" spans="1:34"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c r="AC24" t="s">
        <v>563</v>
      </c>
      <c r="AD24">
        <v>33</v>
      </c>
      <c r="AE24" t="s">
        <v>411</v>
      </c>
      <c r="AF24">
        <v>22.02</v>
      </c>
      <c r="AG24">
        <v>-8.379999999999999</v>
      </c>
      <c r="AH24">
        <v>0.2756578947368421</v>
      </c>
    </row>
    <row r="25" spans="1:34"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c r="AC25" t="s">
        <v>563</v>
      </c>
      <c r="AD25">
        <v>38</v>
      </c>
      <c r="AE25" t="s">
        <v>218</v>
      </c>
      <c r="AF25">
        <v>15.5</v>
      </c>
      <c r="AG25">
        <v>-14.899999999999999</v>
      </c>
      <c r="AH25">
        <v>0.49013157894736842</v>
      </c>
    </row>
    <row r="26" spans="1:34"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c r="AC26" t="s">
        <v>563</v>
      </c>
      <c r="AD26">
        <v>32</v>
      </c>
      <c r="AE26" t="s">
        <v>645</v>
      </c>
      <c r="AF26">
        <v>38.14</v>
      </c>
      <c r="AG26">
        <v>7.740000000000002</v>
      </c>
      <c r="AH26">
        <v>0.25460526315789483</v>
      </c>
    </row>
    <row r="27" spans="1:34"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c r="AC27" t="s">
        <v>563</v>
      </c>
      <c r="AD27">
        <v>20</v>
      </c>
      <c r="AE27" t="s">
        <v>222</v>
      </c>
      <c r="AF27">
        <v>26.15</v>
      </c>
      <c r="AG27">
        <v>-4.25</v>
      </c>
      <c r="AH27">
        <v>0.13980263157894737</v>
      </c>
    </row>
    <row r="28" spans="1:34"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c r="AC28" t="s">
        <v>563</v>
      </c>
      <c r="AD28">
        <v>40</v>
      </c>
      <c r="AE28" t="s">
        <v>412</v>
      </c>
      <c r="AF28">
        <v>48.6</v>
      </c>
      <c r="AG28">
        <v>18.200000000000003</v>
      </c>
      <c r="AH28">
        <v>0.59868421052631593</v>
      </c>
    </row>
    <row r="29" spans="1:34"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c r="AC29" t="s">
        <v>563</v>
      </c>
      <c r="AD29">
        <v>1</v>
      </c>
      <c r="AE29" t="s">
        <v>404</v>
      </c>
      <c r="AF29">
        <v>30.5</v>
      </c>
      <c r="AG29">
        <v>0.10000000000000142</v>
      </c>
      <c r="AH29">
        <v>3.2894736842105734E-3</v>
      </c>
    </row>
    <row r="30" spans="1:34"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c r="AC30" t="s">
        <v>563</v>
      </c>
      <c r="AD30">
        <v>42</v>
      </c>
      <c r="AE30" t="s">
        <v>401</v>
      </c>
      <c r="AF30">
        <v>8.8800000000000008</v>
      </c>
      <c r="AG30">
        <v>-21.519999999999996</v>
      </c>
      <c r="AH30">
        <v>0.70789473684210513</v>
      </c>
    </row>
    <row r="31" spans="1:34" x14ac:dyDescent="0.2">
      <c r="A31" t="s">
        <v>99</v>
      </c>
      <c r="B31">
        <v>27</v>
      </c>
      <c r="C31" t="s">
        <v>227</v>
      </c>
      <c r="D31">
        <v>87.45</v>
      </c>
      <c r="E31">
        <v>13.350000000000009</v>
      </c>
      <c r="F31" s="43">
        <v>0.18016194331983817</v>
      </c>
      <c r="H31" t="s">
        <v>266</v>
      </c>
      <c r="I31">
        <v>34</v>
      </c>
      <c r="J31" t="s">
        <v>416</v>
      </c>
      <c r="K31">
        <v>87.55</v>
      </c>
      <c r="L31">
        <v>47.55</v>
      </c>
      <c r="M31" s="43">
        <v>1.18875</v>
      </c>
      <c r="AC31" t="s">
        <v>563</v>
      </c>
      <c r="AD31">
        <v>6</v>
      </c>
      <c r="AE31" t="s">
        <v>408</v>
      </c>
      <c r="AF31">
        <v>29.6</v>
      </c>
      <c r="AG31">
        <v>-0.79999999999999716</v>
      </c>
      <c r="AH31">
        <v>2.6315789473684119E-2</v>
      </c>
    </row>
    <row r="32" spans="1:34" x14ac:dyDescent="0.2">
      <c r="A32" t="s">
        <v>99</v>
      </c>
      <c r="B32">
        <v>12</v>
      </c>
      <c r="C32" t="s">
        <v>381</v>
      </c>
      <c r="D32">
        <v>76.5</v>
      </c>
      <c r="E32">
        <v>2.4000000000000057</v>
      </c>
      <c r="F32" s="43">
        <v>3.2388663967611413E-2</v>
      </c>
      <c r="H32" t="s">
        <v>266</v>
      </c>
      <c r="I32">
        <v>14</v>
      </c>
      <c r="J32" t="s">
        <v>543</v>
      </c>
      <c r="K32">
        <v>67.2</v>
      </c>
      <c r="L32">
        <v>27.200000000000003</v>
      </c>
      <c r="M32" s="43">
        <v>0.68</v>
      </c>
      <c r="AC32" t="s">
        <v>563</v>
      </c>
      <c r="AD32">
        <v>10</v>
      </c>
      <c r="AE32" t="s">
        <v>414</v>
      </c>
      <c r="AF32">
        <v>28.1</v>
      </c>
      <c r="AG32">
        <v>-2.2999999999999972</v>
      </c>
      <c r="AH32">
        <v>7.5657894736842021E-2</v>
      </c>
    </row>
    <row r="33" spans="1:34" ht="11.45"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c r="AC33" t="s">
        <v>563</v>
      </c>
      <c r="AD33">
        <v>2</v>
      </c>
      <c r="AE33" t="s">
        <v>403</v>
      </c>
      <c r="AF33">
        <v>30.7</v>
      </c>
      <c r="AG33">
        <v>0.30000000000000071</v>
      </c>
      <c r="AH33">
        <v>9.8684210526316027E-3</v>
      </c>
    </row>
    <row r="34" spans="1:34" x14ac:dyDescent="0.2">
      <c r="A34" t="s">
        <v>99</v>
      </c>
      <c r="B34">
        <v>3</v>
      </c>
      <c r="C34" t="s">
        <v>399</v>
      </c>
      <c r="D34">
        <v>74.56</v>
      </c>
      <c r="E34">
        <v>0.46000000000000796</v>
      </c>
      <c r="F34" s="43">
        <v>6.2078272604589469E-3</v>
      </c>
      <c r="H34" t="s">
        <v>266</v>
      </c>
      <c r="I34">
        <v>13</v>
      </c>
      <c r="J34" t="s">
        <v>399</v>
      </c>
      <c r="K34">
        <v>65.86</v>
      </c>
      <c r="L34">
        <v>25.86</v>
      </c>
      <c r="M34" s="43">
        <v>0.64649999999999996</v>
      </c>
      <c r="AC34" t="s">
        <v>563</v>
      </c>
      <c r="AD34">
        <v>31</v>
      </c>
      <c r="AE34" t="s">
        <v>400</v>
      </c>
      <c r="AF34">
        <v>37.799999999999997</v>
      </c>
      <c r="AG34">
        <v>7.3999999999999986</v>
      </c>
      <c r="AH34">
        <v>0.2434210526315789</v>
      </c>
    </row>
    <row r="35" spans="1:34" ht="11.45" x14ac:dyDescent="0.2">
      <c r="A35" t="s">
        <v>99</v>
      </c>
      <c r="B35">
        <v>9</v>
      </c>
      <c r="C35" t="s">
        <v>407</v>
      </c>
      <c r="D35">
        <v>75.650000000000006</v>
      </c>
      <c r="E35">
        <v>1.5500000000000114</v>
      </c>
      <c r="F35" s="43">
        <v>2.091767881241581E-2</v>
      </c>
      <c r="H35" t="s">
        <v>266</v>
      </c>
      <c r="I35">
        <v>33</v>
      </c>
      <c r="J35" t="s">
        <v>339</v>
      </c>
      <c r="K35">
        <v>86.2</v>
      </c>
      <c r="L35">
        <v>46.2</v>
      </c>
      <c r="M35" s="43">
        <v>1.155</v>
      </c>
      <c r="AC35" t="s">
        <v>563</v>
      </c>
      <c r="AD35">
        <v>7</v>
      </c>
      <c r="AE35" t="s">
        <v>364</v>
      </c>
      <c r="AF35">
        <v>31.88</v>
      </c>
      <c r="AG35">
        <v>1.4800000000000004</v>
      </c>
      <c r="AH35">
        <v>4.8684210526315809E-2</v>
      </c>
    </row>
    <row r="36" spans="1:34" ht="11.45" x14ac:dyDescent="0.2">
      <c r="A36" t="s">
        <v>99</v>
      </c>
      <c r="B36">
        <v>33</v>
      </c>
      <c r="C36" t="s">
        <v>239</v>
      </c>
      <c r="D36">
        <v>90.1</v>
      </c>
      <c r="E36">
        <v>16</v>
      </c>
      <c r="F36" s="43">
        <v>0.21592442645074225</v>
      </c>
      <c r="H36" t="s">
        <v>266</v>
      </c>
      <c r="I36">
        <v>24</v>
      </c>
      <c r="J36" t="s">
        <v>407</v>
      </c>
      <c r="K36">
        <v>70.22</v>
      </c>
      <c r="L36">
        <v>30.22</v>
      </c>
      <c r="M36" s="43">
        <v>0.75549999999999995</v>
      </c>
      <c r="AC36" t="s">
        <v>563</v>
      </c>
      <c r="AD36">
        <v>15</v>
      </c>
      <c r="AE36" t="s">
        <v>647</v>
      </c>
      <c r="AF36">
        <v>33.36</v>
      </c>
      <c r="AG36">
        <v>2.9600000000000009</v>
      </c>
      <c r="AH36">
        <v>9.7368421052631618E-2</v>
      </c>
    </row>
    <row r="37" spans="1:34" ht="11.45" x14ac:dyDescent="0.2">
      <c r="AC37" t="s">
        <v>563</v>
      </c>
      <c r="AD37">
        <v>16</v>
      </c>
      <c r="AE37" t="s">
        <v>646</v>
      </c>
      <c r="AF37">
        <v>27.25</v>
      </c>
      <c r="AG37">
        <v>-3.1499999999999986</v>
      </c>
      <c r="AH37">
        <v>0.10361842105263154</v>
      </c>
    </row>
    <row r="38" spans="1:34" x14ac:dyDescent="0.2">
      <c r="AC38" t="s">
        <v>563</v>
      </c>
      <c r="AD38">
        <v>11</v>
      </c>
      <c r="AE38" t="s">
        <v>381</v>
      </c>
      <c r="AF38">
        <v>27.57</v>
      </c>
      <c r="AG38">
        <v>-2.8299999999999983</v>
      </c>
      <c r="AH38">
        <v>9.3092105263157837E-2</v>
      </c>
    </row>
    <row r="39" spans="1:34" x14ac:dyDescent="0.2">
      <c r="AC39" t="s">
        <v>563</v>
      </c>
      <c r="AD39">
        <v>8</v>
      </c>
      <c r="AE39" t="s">
        <v>543</v>
      </c>
      <c r="AF39">
        <v>28.62</v>
      </c>
      <c r="AG39">
        <v>-1.7799999999999976</v>
      </c>
      <c r="AH39">
        <v>5.8552631578947294E-2</v>
      </c>
    </row>
    <row r="40" spans="1:34" ht="11.45" x14ac:dyDescent="0.2">
      <c r="AC40" t="s">
        <v>563</v>
      </c>
      <c r="AD40">
        <v>34</v>
      </c>
      <c r="AE40" t="s">
        <v>363</v>
      </c>
      <c r="AF40">
        <v>21.6</v>
      </c>
      <c r="AG40">
        <v>-8.7999999999999972</v>
      </c>
      <c r="AH40">
        <v>0.28947368421052622</v>
      </c>
    </row>
    <row r="41" spans="1:34" x14ac:dyDescent="0.2">
      <c r="A41" t="s">
        <v>3</v>
      </c>
      <c r="B41" t="s">
        <v>12</v>
      </c>
      <c r="C41" t="s">
        <v>0</v>
      </c>
      <c r="D41" t="s">
        <v>1</v>
      </c>
      <c r="E41" t="s">
        <v>5</v>
      </c>
      <c r="F41" t="s">
        <v>7</v>
      </c>
      <c r="AC41" t="s">
        <v>563</v>
      </c>
      <c r="AD41">
        <v>17</v>
      </c>
      <c r="AE41" t="s">
        <v>542</v>
      </c>
      <c r="AF41">
        <v>26.62</v>
      </c>
      <c r="AG41">
        <v>-3.7799999999999976</v>
      </c>
      <c r="AH41">
        <v>0.12434210526315782</v>
      </c>
    </row>
    <row r="42" spans="1:34" x14ac:dyDescent="0.2">
      <c r="A42" t="s">
        <v>681</v>
      </c>
      <c r="B42">
        <v>53</v>
      </c>
      <c r="C42" t="s">
        <v>786</v>
      </c>
      <c r="D42">
        <v>99.95</v>
      </c>
      <c r="E42">
        <v>47.900000000000006</v>
      </c>
      <c r="F42">
        <v>0.92026897214217118</v>
      </c>
      <c r="AC42" t="s">
        <v>563</v>
      </c>
      <c r="AD42">
        <v>36</v>
      </c>
      <c r="AE42" t="s">
        <v>653</v>
      </c>
      <c r="AF42">
        <v>18.760000000000002</v>
      </c>
      <c r="AG42">
        <v>-11.639999999999997</v>
      </c>
      <c r="AH42">
        <v>0.38289473684210518</v>
      </c>
    </row>
    <row r="43" spans="1:34" x14ac:dyDescent="0.2">
      <c r="A43" t="s">
        <v>681</v>
      </c>
      <c r="B43">
        <v>52</v>
      </c>
      <c r="C43" t="s">
        <v>650</v>
      </c>
      <c r="D43">
        <v>86.46</v>
      </c>
      <c r="E43">
        <v>34.409999999999997</v>
      </c>
      <c r="F43">
        <v>0.66109510086455325</v>
      </c>
      <c r="AC43" t="s">
        <v>563</v>
      </c>
      <c r="AD43">
        <v>23</v>
      </c>
      <c r="AE43" t="s">
        <v>399</v>
      </c>
      <c r="AF43">
        <v>35.229999999999997</v>
      </c>
      <c r="AG43">
        <v>4.8299999999999983</v>
      </c>
      <c r="AH43">
        <v>0.15888157894736837</v>
      </c>
    </row>
    <row r="44" spans="1:34" x14ac:dyDescent="0.2">
      <c r="A44" t="s">
        <v>681</v>
      </c>
      <c r="B44">
        <v>48</v>
      </c>
      <c r="C44" t="s">
        <v>218</v>
      </c>
      <c r="D44">
        <v>69</v>
      </c>
      <c r="E44">
        <v>16.950000000000003</v>
      </c>
      <c r="F44">
        <v>0.32564841498559083</v>
      </c>
      <c r="AC44" t="s">
        <v>563</v>
      </c>
      <c r="AD44">
        <v>37</v>
      </c>
      <c r="AE44" t="s">
        <v>648</v>
      </c>
      <c r="AF44">
        <v>18.12</v>
      </c>
      <c r="AG44">
        <v>-12.279999999999998</v>
      </c>
      <c r="AH44">
        <v>0.40394736842105256</v>
      </c>
    </row>
    <row r="45" spans="1:34" x14ac:dyDescent="0.2">
      <c r="A45" t="s">
        <v>681</v>
      </c>
      <c r="B45">
        <v>41</v>
      </c>
      <c r="C45" t="s">
        <v>785</v>
      </c>
      <c r="D45">
        <v>63.57</v>
      </c>
      <c r="E45">
        <v>11.520000000000003</v>
      </c>
      <c r="F45">
        <v>0.22132564841498567</v>
      </c>
    </row>
    <row r="46" spans="1:34" x14ac:dyDescent="0.2">
      <c r="A46" t="s">
        <v>681</v>
      </c>
      <c r="B46">
        <v>40</v>
      </c>
      <c r="C46" t="s">
        <v>803</v>
      </c>
      <c r="D46">
        <v>63.18</v>
      </c>
      <c r="E46">
        <v>11.130000000000003</v>
      </c>
      <c r="F46">
        <v>0.21383285302593666</v>
      </c>
    </row>
    <row r="47" spans="1:34" x14ac:dyDescent="0.2">
      <c r="A47" t="s">
        <v>681</v>
      </c>
      <c r="B47">
        <v>31</v>
      </c>
      <c r="C47" t="s">
        <v>784</v>
      </c>
      <c r="D47">
        <v>60.31</v>
      </c>
      <c r="E47">
        <v>8.2600000000000051</v>
      </c>
      <c r="F47">
        <v>0.15869356388088388</v>
      </c>
    </row>
    <row r="48" spans="1:34" x14ac:dyDescent="0.2">
      <c r="A48" t="s">
        <v>681</v>
      </c>
      <c r="B48">
        <v>29</v>
      </c>
      <c r="C48" t="s">
        <v>403</v>
      </c>
      <c r="D48">
        <v>60.1</v>
      </c>
      <c r="E48">
        <v>8.0500000000000043</v>
      </c>
      <c r="F48">
        <v>0.15465898174831902</v>
      </c>
    </row>
    <row r="49" spans="1:6" x14ac:dyDescent="0.2">
      <c r="A49" t="s">
        <v>681</v>
      </c>
      <c r="B49">
        <v>26</v>
      </c>
      <c r="C49" t="s">
        <v>328</v>
      </c>
      <c r="D49">
        <v>59</v>
      </c>
      <c r="E49">
        <v>6.9500000000000028</v>
      </c>
      <c r="F49">
        <v>0.13352545629202697</v>
      </c>
    </row>
    <row r="50" spans="1:6" x14ac:dyDescent="0.2">
      <c r="A50" t="s">
        <v>681</v>
      </c>
      <c r="B50">
        <v>25</v>
      </c>
      <c r="C50" t="s">
        <v>219</v>
      </c>
      <c r="D50">
        <v>58.88</v>
      </c>
      <c r="E50">
        <v>6.8300000000000054</v>
      </c>
      <c r="F50">
        <v>0.13121998078770425</v>
      </c>
    </row>
    <row r="51" spans="1:6" x14ac:dyDescent="0.2">
      <c r="A51" t="s">
        <v>681</v>
      </c>
      <c r="B51">
        <v>22</v>
      </c>
      <c r="C51" t="s">
        <v>789</v>
      </c>
      <c r="D51">
        <v>56.3</v>
      </c>
      <c r="E51">
        <v>4.25</v>
      </c>
      <c r="F51">
        <v>8.1652257444764648E-2</v>
      </c>
    </row>
    <row r="52" spans="1:6" x14ac:dyDescent="0.2">
      <c r="A52" t="s">
        <v>681</v>
      </c>
      <c r="B52">
        <v>20</v>
      </c>
      <c r="C52" t="s">
        <v>791</v>
      </c>
      <c r="D52">
        <v>56.2</v>
      </c>
      <c r="E52">
        <v>4.1500000000000057</v>
      </c>
      <c r="F52">
        <v>7.9731027857829123E-2</v>
      </c>
    </row>
    <row r="53" spans="1:6" x14ac:dyDescent="0.2">
      <c r="A53" t="s">
        <v>681</v>
      </c>
      <c r="B53">
        <v>18</v>
      </c>
      <c r="C53" t="s">
        <v>215</v>
      </c>
      <c r="D53">
        <v>55.55</v>
      </c>
      <c r="E53">
        <v>3.5</v>
      </c>
      <c r="F53">
        <v>6.7243035542747367E-2</v>
      </c>
    </row>
    <row r="54" spans="1:6" x14ac:dyDescent="0.2">
      <c r="A54" t="s">
        <v>681</v>
      </c>
      <c r="B54">
        <v>17</v>
      </c>
      <c r="C54" t="s">
        <v>653</v>
      </c>
      <c r="D54">
        <v>55.33</v>
      </c>
      <c r="E54">
        <v>3.2800000000000011</v>
      </c>
      <c r="F54">
        <v>6.301633045148898E-2</v>
      </c>
    </row>
    <row r="55" spans="1:6" x14ac:dyDescent="0.2">
      <c r="A55" t="s">
        <v>681</v>
      </c>
      <c r="B55">
        <v>16</v>
      </c>
      <c r="C55" t="s">
        <v>790</v>
      </c>
      <c r="D55">
        <v>55.32</v>
      </c>
      <c r="E55">
        <v>3.2700000000000031</v>
      </c>
      <c r="F55">
        <v>6.282420749279545E-2</v>
      </c>
    </row>
    <row r="56" spans="1:6" x14ac:dyDescent="0.2">
      <c r="A56" t="s">
        <v>681</v>
      </c>
      <c r="B56">
        <v>15</v>
      </c>
      <c r="C56" t="s">
        <v>792</v>
      </c>
      <c r="D56">
        <v>55.3</v>
      </c>
      <c r="E56">
        <v>3.25</v>
      </c>
      <c r="F56">
        <v>6.2439961575408265E-2</v>
      </c>
    </row>
    <row r="57" spans="1:6" x14ac:dyDescent="0.2">
      <c r="A57" t="s">
        <v>681</v>
      </c>
      <c r="B57">
        <v>14</v>
      </c>
      <c r="C57" t="s">
        <v>406</v>
      </c>
      <c r="D57">
        <v>55</v>
      </c>
      <c r="E57">
        <v>2.9500000000000028</v>
      </c>
      <c r="F57">
        <v>5.66762728146014E-2</v>
      </c>
    </row>
    <row r="58" spans="1:6" x14ac:dyDescent="0.2">
      <c r="A58" t="s">
        <v>681</v>
      </c>
      <c r="B58">
        <v>12</v>
      </c>
      <c r="C58" t="s">
        <v>401</v>
      </c>
      <c r="D58">
        <v>54.56</v>
      </c>
      <c r="E58">
        <v>2.5100000000000051</v>
      </c>
      <c r="F58">
        <v>4.8222862632084633E-2</v>
      </c>
    </row>
    <row r="59" spans="1:6" x14ac:dyDescent="0.2">
      <c r="A59" t="s">
        <v>681</v>
      </c>
      <c r="B59">
        <v>11</v>
      </c>
      <c r="C59" t="s">
        <v>412</v>
      </c>
      <c r="D59">
        <v>54.22</v>
      </c>
      <c r="E59">
        <v>2.1700000000000017</v>
      </c>
      <c r="F59">
        <v>4.1690682036503397E-2</v>
      </c>
    </row>
    <row r="60" spans="1:6" x14ac:dyDescent="0.2">
      <c r="A60" t="s">
        <v>681</v>
      </c>
      <c r="B60">
        <v>10</v>
      </c>
      <c r="C60" t="s">
        <v>787</v>
      </c>
      <c r="D60">
        <v>53.41</v>
      </c>
      <c r="E60">
        <v>1.3599999999999994</v>
      </c>
      <c r="F60">
        <v>2.6128722382324679E-2</v>
      </c>
    </row>
    <row r="61" spans="1:6" x14ac:dyDescent="0.2">
      <c r="A61" t="s">
        <v>681</v>
      </c>
      <c r="B61">
        <v>9</v>
      </c>
      <c r="C61" t="s">
        <v>788</v>
      </c>
      <c r="D61">
        <v>53.4</v>
      </c>
      <c r="E61">
        <v>1.3500000000000014</v>
      </c>
      <c r="F61">
        <v>2.5936599423631152E-2</v>
      </c>
    </row>
    <row r="62" spans="1:6" x14ac:dyDescent="0.2">
      <c r="A62" t="s">
        <v>681</v>
      </c>
      <c r="B62">
        <v>7</v>
      </c>
      <c r="C62" t="s">
        <v>335</v>
      </c>
      <c r="D62">
        <v>53.21</v>
      </c>
      <c r="E62">
        <v>1.1600000000000037</v>
      </c>
      <c r="F62">
        <v>2.2286263208453481E-2</v>
      </c>
    </row>
    <row r="63" spans="1:6" x14ac:dyDescent="0.2">
      <c r="A63" t="s">
        <v>681</v>
      </c>
      <c r="B63">
        <v>6</v>
      </c>
      <c r="C63" t="s">
        <v>414</v>
      </c>
      <c r="D63">
        <v>53.2</v>
      </c>
      <c r="E63">
        <v>1.1500000000000057</v>
      </c>
      <c r="F63">
        <v>2.2094140249759957E-2</v>
      </c>
    </row>
    <row r="64" spans="1:6" x14ac:dyDescent="0.2">
      <c r="A64" t="s">
        <v>681</v>
      </c>
      <c r="B64">
        <v>5</v>
      </c>
      <c r="C64" t="s">
        <v>381</v>
      </c>
      <c r="D64">
        <v>52.95</v>
      </c>
      <c r="E64">
        <v>0.90000000000000568</v>
      </c>
      <c r="F64">
        <v>1.7291066282420858E-2</v>
      </c>
    </row>
    <row r="65" spans="1:6" x14ac:dyDescent="0.2">
      <c r="A65" t="s">
        <v>681</v>
      </c>
      <c r="B65">
        <v>2</v>
      </c>
      <c r="C65" t="s">
        <v>409</v>
      </c>
      <c r="D65">
        <v>52.5</v>
      </c>
      <c r="E65">
        <v>0.45000000000000284</v>
      </c>
      <c r="F65">
        <v>8.6455331412104292E-3</v>
      </c>
    </row>
    <row r="66" spans="1:6" x14ac:dyDescent="0.2">
      <c r="A66" t="s">
        <v>681</v>
      </c>
      <c r="B66">
        <v>1</v>
      </c>
      <c r="C66" t="s">
        <v>404</v>
      </c>
      <c r="D66">
        <v>52.24</v>
      </c>
      <c r="E66">
        <v>0.19000000000000483</v>
      </c>
      <c r="F66">
        <v>3.6503362151778067E-3</v>
      </c>
    </row>
    <row r="67" spans="1:6" x14ac:dyDescent="0.2">
      <c r="A67" t="s">
        <v>681</v>
      </c>
      <c r="B67">
        <v>3</v>
      </c>
      <c r="C67" t="s">
        <v>652</v>
      </c>
      <c r="D67">
        <v>51.49</v>
      </c>
      <c r="E67">
        <v>-0.55999999999999517</v>
      </c>
      <c r="F67">
        <v>1.0758885686839486E-2</v>
      </c>
    </row>
    <row r="68" spans="1:6" x14ac:dyDescent="0.2">
      <c r="A68" t="s">
        <v>681</v>
      </c>
      <c r="B68">
        <v>4</v>
      </c>
      <c r="C68" t="s">
        <v>336</v>
      </c>
      <c r="D68">
        <v>51.4</v>
      </c>
      <c r="E68">
        <v>-0.64999999999999858</v>
      </c>
      <c r="F68">
        <v>1.2487992315081626E-2</v>
      </c>
    </row>
    <row r="69" spans="1:6" x14ac:dyDescent="0.2">
      <c r="A69" t="s">
        <v>681</v>
      </c>
      <c r="B69">
        <v>8</v>
      </c>
      <c r="C69" t="s">
        <v>225</v>
      </c>
      <c r="D69">
        <v>50.8</v>
      </c>
      <c r="E69">
        <v>-1.25</v>
      </c>
      <c r="F69">
        <v>2.4015369836695485E-2</v>
      </c>
    </row>
    <row r="70" spans="1:6" x14ac:dyDescent="0.2">
      <c r="A70" t="s">
        <v>681</v>
      </c>
      <c r="B70">
        <v>13</v>
      </c>
      <c r="C70" t="s">
        <v>543</v>
      </c>
      <c r="D70">
        <v>49.29</v>
      </c>
      <c r="E70">
        <v>-2.759999999999998</v>
      </c>
      <c r="F70">
        <v>5.3025936599423597E-2</v>
      </c>
    </row>
    <row r="71" spans="1:6" x14ac:dyDescent="0.2">
      <c r="A71" t="s">
        <v>681</v>
      </c>
      <c r="B71">
        <v>19</v>
      </c>
      <c r="C71" t="s">
        <v>364</v>
      </c>
      <c r="D71">
        <v>48.01</v>
      </c>
      <c r="E71">
        <v>-4.0399999999999991</v>
      </c>
      <c r="F71">
        <v>7.7617675312199791E-2</v>
      </c>
    </row>
    <row r="72" spans="1:6" x14ac:dyDescent="0.2">
      <c r="A72" t="s">
        <v>681</v>
      </c>
      <c r="B72">
        <v>21</v>
      </c>
      <c r="C72" t="s">
        <v>222</v>
      </c>
      <c r="D72">
        <v>47.82</v>
      </c>
      <c r="E72">
        <v>-4.2299999999999969</v>
      </c>
      <c r="F72">
        <v>8.1268011527377462E-2</v>
      </c>
    </row>
    <row r="73" spans="1:6" x14ac:dyDescent="0.2">
      <c r="A73" t="s">
        <v>681</v>
      </c>
      <c r="B73">
        <v>23</v>
      </c>
      <c r="C73" t="s">
        <v>407</v>
      </c>
      <c r="D73">
        <v>46.66</v>
      </c>
      <c r="E73">
        <v>-5.3900000000000006</v>
      </c>
      <c r="F73">
        <v>0.10355427473583095</v>
      </c>
    </row>
    <row r="74" spans="1:6" x14ac:dyDescent="0.2">
      <c r="A74" t="s">
        <v>681</v>
      </c>
      <c r="B74">
        <v>24</v>
      </c>
      <c r="C74" t="s">
        <v>242</v>
      </c>
      <c r="D74">
        <v>46.5</v>
      </c>
      <c r="E74">
        <v>-5.5499999999999972</v>
      </c>
      <c r="F74">
        <v>0.10662824207492791</v>
      </c>
    </row>
    <row r="75" spans="1:6" x14ac:dyDescent="0.2">
      <c r="A75" t="s">
        <v>681</v>
      </c>
      <c r="B75">
        <v>27</v>
      </c>
      <c r="C75" t="s">
        <v>542</v>
      </c>
      <c r="D75">
        <v>44.45</v>
      </c>
      <c r="E75">
        <v>-7.5999999999999943</v>
      </c>
      <c r="F75">
        <v>0.14601344860710844</v>
      </c>
    </row>
    <row r="76" spans="1:6" x14ac:dyDescent="0.2">
      <c r="A76" t="s">
        <v>681</v>
      </c>
      <c r="B76">
        <v>28</v>
      </c>
      <c r="C76" t="s">
        <v>337</v>
      </c>
      <c r="D76">
        <v>44.44</v>
      </c>
      <c r="E76">
        <v>-7.6099999999999994</v>
      </c>
      <c r="F76">
        <v>0.14620557156580211</v>
      </c>
    </row>
    <row r="77" spans="1:6" x14ac:dyDescent="0.2">
      <c r="A77" t="s">
        <v>681</v>
      </c>
      <c r="B77">
        <v>30</v>
      </c>
      <c r="C77" t="s">
        <v>292</v>
      </c>
      <c r="D77">
        <v>43.83</v>
      </c>
      <c r="E77">
        <v>-8.2199999999999989</v>
      </c>
      <c r="F77">
        <v>0.1579250720461095</v>
      </c>
    </row>
    <row r="78" spans="1:6" x14ac:dyDescent="0.2">
      <c r="A78" t="s">
        <v>681</v>
      </c>
      <c r="B78">
        <v>32</v>
      </c>
      <c r="C78" t="s">
        <v>782</v>
      </c>
      <c r="D78">
        <v>43.73</v>
      </c>
      <c r="E78">
        <v>-8.32</v>
      </c>
      <c r="F78">
        <v>0.15984630163304517</v>
      </c>
    </row>
    <row r="79" spans="1:6" x14ac:dyDescent="0.2">
      <c r="A79" t="s">
        <v>681</v>
      </c>
      <c r="B79">
        <v>33</v>
      </c>
      <c r="C79" t="s">
        <v>645</v>
      </c>
      <c r="D79">
        <v>43.71</v>
      </c>
      <c r="E79">
        <v>-8.3399999999999963</v>
      </c>
      <c r="F79">
        <v>0.1602305475504322</v>
      </c>
    </row>
    <row r="80" spans="1:6" x14ac:dyDescent="0.2">
      <c r="A80" t="s">
        <v>681</v>
      </c>
      <c r="B80">
        <v>34</v>
      </c>
      <c r="C80" t="s">
        <v>779</v>
      </c>
      <c r="D80">
        <v>43.28</v>
      </c>
      <c r="E80">
        <v>-8.769999999999996</v>
      </c>
      <c r="F80">
        <v>0.16849183477425544</v>
      </c>
    </row>
    <row r="81" spans="1:6" x14ac:dyDescent="0.2">
      <c r="A81" t="s">
        <v>681</v>
      </c>
      <c r="B81">
        <v>35</v>
      </c>
      <c r="C81" t="s">
        <v>399</v>
      </c>
      <c r="D81">
        <v>43.2</v>
      </c>
      <c r="E81">
        <v>-8.8499999999999943</v>
      </c>
      <c r="F81">
        <v>0.17002881844380394</v>
      </c>
    </row>
    <row r="82" spans="1:6" x14ac:dyDescent="0.2">
      <c r="A82" t="s">
        <v>681</v>
      </c>
      <c r="B82">
        <v>36</v>
      </c>
      <c r="C82" t="s">
        <v>474</v>
      </c>
      <c r="D82">
        <v>42.25</v>
      </c>
      <c r="E82">
        <v>-9.7999999999999972</v>
      </c>
      <c r="F82">
        <v>0.18828049951969256</v>
      </c>
    </row>
    <row r="83" spans="1:6" x14ac:dyDescent="0.2">
      <c r="A83" t="s">
        <v>681</v>
      </c>
      <c r="B83">
        <v>37</v>
      </c>
      <c r="C83" t="s">
        <v>362</v>
      </c>
      <c r="D83">
        <v>42.11</v>
      </c>
      <c r="E83">
        <v>-9.9399999999999977</v>
      </c>
      <c r="F83">
        <v>0.19097022094140245</v>
      </c>
    </row>
    <row r="84" spans="1:6" x14ac:dyDescent="0.2">
      <c r="A84" t="s">
        <v>681</v>
      </c>
      <c r="B84">
        <v>38</v>
      </c>
      <c r="C84" t="s">
        <v>363</v>
      </c>
      <c r="D84">
        <v>42.1</v>
      </c>
      <c r="E84">
        <v>-9.9499999999999957</v>
      </c>
      <c r="F84">
        <v>0.19116234390009598</v>
      </c>
    </row>
    <row r="85" spans="1:6" x14ac:dyDescent="0.2">
      <c r="A85" t="s">
        <v>681</v>
      </c>
      <c r="B85">
        <v>39</v>
      </c>
      <c r="C85" t="s">
        <v>408</v>
      </c>
      <c r="D85">
        <v>41.91</v>
      </c>
      <c r="E85">
        <v>-10.14</v>
      </c>
      <c r="F85">
        <v>0.19481268011527381</v>
      </c>
    </row>
    <row r="86" spans="1:6" x14ac:dyDescent="0.2">
      <c r="A86" t="s">
        <v>681</v>
      </c>
      <c r="B86">
        <v>42</v>
      </c>
      <c r="C86" t="s">
        <v>217</v>
      </c>
      <c r="D86">
        <v>39.93</v>
      </c>
      <c r="E86">
        <v>-12.119999999999997</v>
      </c>
      <c r="F86">
        <v>0.2328530259365994</v>
      </c>
    </row>
    <row r="87" spans="1:6" x14ac:dyDescent="0.2">
      <c r="A87" t="s">
        <v>681</v>
      </c>
      <c r="B87">
        <v>43</v>
      </c>
      <c r="C87" t="s">
        <v>221</v>
      </c>
      <c r="D87">
        <v>39.590000000000003</v>
      </c>
      <c r="E87">
        <v>-12.459999999999994</v>
      </c>
      <c r="F87">
        <v>0.23938520653218048</v>
      </c>
    </row>
    <row r="88" spans="1:6" x14ac:dyDescent="0.2">
      <c r="A88" t="s">
        <v>681</v>
      </c>
      <c r="B88">
        <v>44</v>
      </c>
      <c r="C88" t="s">
        <v>651</v>
      </c>
      <c r="D88">
        <v>38.9</v>
      </c>
      <c r="E88">
        <v>-13.149999999999999</v>
      </c>
      <c r="F88">
        <v>0.25264169068203651</v>
      </c>
    </row>
    <row r="89" spans="1:6" x14ac:dyDescent="0.2">
      <c r="A89" t="s">
        <v>681</v>
      </c>
      <c r="B89">
        <v>45</v>
      </c>
      <c r="C89" t="s">
        <v>780</v>
      </c>
      <c r="D89">
        <v>38.5</v>
      </c>
      <c r="E89">
        <v>-13.549999999999997</v>
      </c>
      <c r="F89">
        <v>0.260326609029779</v>
      </c>
    </row>
    <row r="90" spans="1:6" x14ac:dyDescent="0.2">
      <c r="A90" t="s">
        <v>681</v>
      </c>
      <c r="B90">
        <v>46</v>
      </c>
      <c r="C90" t="s">
        <v>783</v>
      </c>
      <c r="D90">
        <v>35.880000000000003</v>
      </c>
      <c r="E90">
        <v>-16.169999999999995</v>
      </c>
      <c r="F90">
        <v>0.31066282420749269</v>
      </c>
    </row>
    <row r="91" spans="1:6" x14ac:dyDescent="0.2">
      <c r="A91" t="s">
        <v>681</v>
      </c>
      <c r="B91">
        <v>47</v>
      </c>
      <c r="C91" t="s">
        <v>541</v>
      </c>
      <c r="D91">
        <v>35.15</v>
      </c>
      <c r="E91">
        <v>-16.899999999999999</v>
      </c>
      <c r="F91">
        <v>0.32468780019212296</v>
      </c>
    </row>
    <row r="92" spans="1:6" x14ac:dyDescent="0.2">
      <c r="A92" t="s">
        <v>681</v>
      </c>
      <c r="B92">
        <v>49</v>
      </c>
      <c r="C92" t="s">
        <v>9</v>
      </c>
      <c r="D92">
        <v>35</v>
      </c>
      <c r="E92">
        <v>-17.049999999999997</v>
      </c>
      <c r="F92">
        <v>0.32756964457252635</v>
      </c>
    </row>
    <row r="93" spans="1:6" x14ac:dyDescent="0.2">
      <c r="A93" t="s">
        <v>681</v>
      </c>
      <c r="B93">
        <v>50</v>
      </c>
      <c r="C93" t="s">
        <v>781</v>
      </c>
      <c r="D93">
        <v>31.85</v>
      </c>
      <c r="E93">
        <v>-20.199999999999996</v>
      </c>
      <c r="F93">
        <v>0.38808837656099898</v>
      </c>
    </row>
    <row r="94" spans="1:6" x14ac:dyDescent="0.2">
      <c r="A94" t="s">
        <v>681</v>
      </c>
      <c r="B94">
        <v>51</v>
      </c>
      <c r="C94" t="s">
        <v>411</v>
      </c>
      <c r="D94">
        <v>29.45</v>
      </c>
      <c r="E94">
        <v>-22.599999999999998</v>
      </c>
      <c r="F94">
        <v>0.43419788664745435</v>
      </c>
    </row>
  </sheetData>
  <phoneticPr fontId="9" type="noConversion"/>
  <pageMargins left="0.7" right="0.7" top="0.75" bottom="0.75" header="0.3" footer="0.3"/>
  <tableParts count="5">
    <tablePart r:id="rId1"/>
    <tablePart r:id="rId2"/>
    <tablePart r:id="rId3"/>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AA118"/>
  <sheetViews>
    <sheetView showGridLines="0" tabSelected="1" workbookViewId="0">
      <selection activeCell="H6" sqref="H6"/>
    </sheetView>
  </sheetViews>
  <sheetFormatPr baseColWidth="10" defaultRowHeight="12" x14ac:dyDescent="0.2"/>
  <cols>
    <col min="1" max="1" width="28.5703125" bestFit="1" customWidth="1"/>
    <col min="2" max="2" width="12" bestFit="1" customWidth="1"/>
    <col min="3" max="3" width="8.28515625" bestFit="1" customWidth="1"/>
    <col min="4" max="11" width="12" bestFit="1" customWidth="1"/>
    <col min="12" max="12" width="10.5703125" style="110" bestFit="1" customWidth="1"/>
    <col min="13" max="13" width="12.85546875" bestFit="1" customWidth="1"/>
    <col min="14" max="14" width="31.140625" bestFit="1" customWidth="1"/>
    <col min="15" max="19" width="12" bestFit="1" customWidth="1"/>
    <col min="20" max="21" width="12" customWidth="1"/>
    <col min="22" max="22" width="10.5703125" style="4" bestFit="1" customWidth="1"/>
    <col min="23" max="23" width="12.85546875" style="4" bestFit="1" customWidth="1"/>
    <col min="24" max="24" width="31.140625" bestFit="1" customWidth="1"/>
  </cols>
  <sheetData>
    <row r="1" spans="1:27" x14ac:dyDescent="0.2">
      <c r="A1" t="s">
        <v>0</v>
      </c>
      <c r="B1" t="s">
        <v>1147</v>
      </c>
      <c r="C1" t="s">
        <v>1148</v>
      </c>
      <c r="D1" t="s">
        <v>1149</v>
      </c>
      <c r="E1" t="s">
        <v>1150</v>
      </c>
      <c r="F1" t="s">
        <v>1151</v>
      </c>
      <c r="G1" t="s">
        <v>1152</v>
      </c>
      <c r="H1" t="s">
        <v>1153</v>
      </c>
      <c r="I1" t="s">
        <v>1154</v>
      </c>
      <c r="J1" t="s">
        <v>1155</v>
      </c>
      <c r="K1" t="s">
        <v>1156</v>
      </c>
      <c r="L1" s="107" t="s">
        <v>558</v>
      </c>
      <c r="M1" s="62" t="s">
        <v>667</v>
      </c>
      <c r="N1" s="61" t="s">
        <v>560</v>
      </c>
      <c r="V1"/>
      <c r="W1"/>
    </row>
    <row r="2" spans="1:27" x14ac:dyDescent="0.2">
      <c r="A2" s="47" t="s">
        <v>9</v>
      </c>
      <c r="B2">
        <v>7.9622132253711286E-2</v>
      </c>
      <c r="C2">
        <v>0.7</v>
      </c>
      <c r="D2">
        <v>1.2189349112426033</v>
      </c>
      <c r="E2">
        <v>1.9261155815654718</v>
      </c>
      <c r="F2">
        <v>0.15131578947368426</v>
      </c>
      <c r="G2">
        <v>0.37589158345221113</v>
      </c>
      <c r="H2">
        <v>0.17023924768358459</v>
      </c>
      <c r="I2">
        <v>0.34102141680395387</v>
      </c>
      <c r="J2">
        <v>0.10492977141283398</v>
      </c>
      <c r="K2">
        <v>5.3926206244087067E-2</v>
      </c>
      <c r="L2" s="108">
        <f>$AA$2- COUNTIF(acumulado_porcentaje[[#This Row],[ene-24]:[oct-24]],"")</f>
        <v>10</v>
      </c>
      <c r="M2" s="69" t="e">
        <f>IF(acumulado_porcentaje[[#This Row],[contar]]&gt;=$AA$3,SUM(SMALL(#REF!,1),SMALL(#REF!,2),SMALL(#REF!,3),SMALL(#REF!,4),SMALL(#REF!,5),SMALL(#REF!,6),SMALL(#REF!,7)),"#N/A")</f>
        <v>#REF!</v>
      </c>
      <c r="N2" t="str">
        <f>acumulado_porcentaje[[#This Row],[Nombre ]]&amp;" ("&amp;acumulado_porcentaje[[#This Row],[contar]]&amp;")"</f>
        <v>Alfonso Zárate Conde (10)</v>
      </c>
      <c r="P2" s="72" t="e">
        <f>LARGE(#REF!,1)</f>
        <v>#REF!</v>
      </c>
      <c r="Q2" s="72" t="e">
        <f>LARGE(#REF!,2)</f>
        <v>#REF!</v>
      </c>
      <c r="R2" s="45"/>
      <c r="S2" s="45"/>
      <c r="T2" s="45"/>
      <c r="V2" s="57" t="str">
        <f>AA3&amp;" mejores resultados hasta el "&amp;oct!H1&amp;" de septiembre incluído*"</f>
        <v>8 mejores resultados hasta el 20 de septiembre incluído*</v>
      </c>
      <c r="W2"/>
      <c r="Z2" t="s">
        <v>812</v>
      </c>
      <c r="AA2" s="65">
        <v>10</v>
      </c>
    </row>
    <row r="3" spans="1:27" x14ac:dyDescent="0.2">
      <c r="A3" s="47" t="s">
        <v>225</v>
      </c>
      <c r="B3">
        <v>0.15141700404858299</v>
      </c>
      <c r="C3">
        <v>0.80625000000000002</v>
      </c>
      <c r="D3">
        <v>1.2795857988165678</v>
      </c>
      <c r="E3">
        <v>0.70592538405267014</v>
      </c>
      <c r="F3">
        <v>0.63453947368421049</v>
      </c>
      <c r="G3">
        <v>9.4151212553495026E-2</v>
      </c>
      <c r="H3">
        <v>7.0529663946896021E-3</v>
      </c>
      <c r="I3">
        <v>0.17847336628226249</v>
      </c>
      <c r="J3">
        <v>0.27788488019829238</v>
      </c>
      <c r="K3">
        <v>0.23494165878271825</v>
      </c>
      <c r="L3" s="108">
        <f>$AA$2- COUNTIF(acumulado_porcentaje[[#This Row],[ene-24]:[oct-24]],"")</f>
        <v>10</v>
      </c>
      <c r="M3" s="69" t="e">
        <f>IF(acumulado_porcentaje[[#This Row],[contar]]&gt;=$AA$3,SUM(SMALL(#REF!,1),SMALL(#REF!,2),SMALL(#REF!,3),SMALL(#REF!,4),SMALL(#REF!,5),SMALL(#REF!,6),SMALL(#REF!,7)),"#N/A")</f>
        <v>#REF!</v>
      </c>
      <c r="N3" t="str">
        <f>acumulado_porcentaje[[#This Row],[Nombre ]]&amp;" ("&amp;acumulado_porcentaje[[#This Row],[contar]]&amp;")"</f>
        <v>Elena Muñoz Vioque (10)</v>
      </c>
      <c r="P3" s="72"/>
      <c r="Q3" s="72"/>
      <c r="R3" s="45"/>
      <c r="S3" s="45"/>
      <c r="T3" s="45"/>
      <c r="V3"/>
      <c r="W3"/>
      <c r="Z3" t="s">
        <v>825</v>
      </c>
      <c r="AA3" s="4">
        <f>AA2-2</f>
        <v>8</v>
      </c>
    </row>
    <row r="4" spans="1:27" x14ac:dyDescent="0.2">
      <c r="A4" s="47" t="s">
        <v>217</v>
      </c>
      <c r="B4">
        <v>0.19703103913630224</v>
      </c>
      <c r="C4">
        <v>0.74899999999999989</v>
      </c>
      <c r="D4">
        <v>1.2194280078895461</v>
      </c>
      <c r="E4">
        <v>1.4381858083394292</v>
      </c>
      <c r="F4">
        <v>9.6381578947368415E-2</v>
      </c>
      <c r="G4">
        <v>0.28798145506419398</v>
      </c>
      <c r="H4">
        <v>6.1125708753975959E-2</v>
      </c>
      <c r="I4">
        <v>0.28138385502471158</v>
      </c>
      <c r="J4">
        <v>7.0917102726521491E-2</v>
      </c>
      <c r="K4">
        <v>0.10312204351939439</v>
      </c>
      <c r="L4" s="108">
        <f>$AA$2- COUNTIF(acumulado_porcentaje[[#This Row],[ene-24]:[oct-24]],"")</f>
        <v>10</v>
      </c>
      <c r="M4" s="69" t="e">
        <f>IF(acumulado_porcentaje[[#This Row],[contar]]&gt;=$AA$3,SUM(SMALL(#REF!,1),SMALL(#REF!,2),SMALL(#REF!,3),SMALL(#REF!,4),SMALL(#REF!,5),SMALL(#REF!,6),SMALL(#REF!,7)),"#N/A")</f>
        <v>#REF!</v>
      </c>
      <c r="N4" t="str">
        <f>acumulado_porcentaje[[#This Row],[Nombre ]]&amp;" ("&amp;acumulado_porcentaje[[#This Row],[contar]]&amp;")"</f>
        <v>Fernando Sánchez-Rey Maeso (10)</v>
      </c>
      <c r="P4" s="72"/>
      <c r="Q4" s="72"/>
      <c r="R4" s="45"/>
      <c r="S4" s="45"/>
      <c r="T4" s="45"/>
      <c r="V4"/>
      <c r="W4"/>
    </row>
    <row r="5" spans="1:27" x14ac:dyDescent="0.2">
      <c r="A5" s="47" t="s">
        <v>409</v>
      </c>
      <c r="B5">
        <v>0.10242914979757091</v>
      </c>
      <c r="C5">
        <v>0.74050000000000016</v>
      </c>
      <c r="D5">
        <v>1.7460552268244574</v>
      </c>
      <c r="E5">
        <v>1.7468910021945863</v>
      </c>
      <c r="F5">
        <v>2.335526315789465E-2</v>
      </c>
      <c r="G5">
        <v>6.3837375178316669E-2</v>
      </c>
      <c r="H5">
        <v>3.8168994606555179E-2</v>
      </c>
      <c r="I5">
        <v>0.23130148270181222</v>
      </c>
      <c r="J5">
        <v>1.2806389424400889E-2</v>
      </c>
      <c r="K5">
        <v>8.9246294544307728E-2</v>
      </c>
      <c r="L5" s="108">
        <f>$AA$2- COUNTIF(acumulado_porcentaje[[#This Row],[ene-24]:[oct-24]],"")</f>
        <v>10</v>
      </c>
      <c r="M5" s="69" t="e">
        <f>IF(acumulado_porcentaje[[#This Row],[contar]]&gt;=$AA$3,SUM(SMALL(#REF!,1),SMALL(#REF!,2),SMALL(#REF!,3),SMALL(#REF!,4),SMALL(#REF!,5),SMALL(#REF!,6),SMALL(#REF!,7)),"#N/A")</f>
        <v>#REF!</v>
      </c>
      <c r="N5" t="str">
        <f>acumulado_porcentaje[[#This Row],[Nombre ]]&amp;" ("&amp;acumulado_porcentaje[[#This Row],[contar]]&amp;")"</f>
        <v>Gladys Rocha Blanco (10)</v>
      </c>
      <c r="P5" s="72"/>
      <c r="Q5" s="72"/>
      <c r="R5" s="45"/>
      <c r="S5" s="45"/>
      <c r="T5" s="45"/>
      <c r="V5"/>
      <c r="W5"/>
    </row>
    <row r="6" spans="1:27" x14ac:dyDescent="0.2">
      <c r="A6" s="47" t="s">
        <v>362</v>
      </c>
      <c r="B6">
        <v>2.6990553306343165E-3</v>
      </c>
      <c r="C6">
        <v>0.74624999999999986</v>
      </c>
      <c r="D6">
        <v>0.75542406311637078</v>
      </c>
      <c r="E6">
        <v>0.77029992684711046</v>
      </c>
      <c r="F6">
        <v>6.907894736842099E-2</v>
      </c>
      <c r="G6">
        <v>0.24910841654778887</v>
      </c>
      <c r="H6">
        <v>9.7496888397178766E-2</v>
      </c>
      <c r="I6">
        <v>0.17836353651839643</v>
      </c>
      <c r="J6">
        <v>0.28958964472597082</v>
      </c>
      <c r="K6">
        <v>0.34295175023651842</v>
      </c>
      <c r="L6" s="108">
        <f>$AA$2- COUNTIF(acumulado_porcentaje[[#This Row],[ene-24]:[oct-24]],"")</f>
        <v>10</v>
      </c>
      <c r="M6" s="69" t="e">
        <f>IF(acumulado_porcentaje[[#This Row],[contar]]&gt;=$AA$3,SUM(SMALL(#REF!,1),SMALL(#REF!,2),SMALL(#REF!,3),SMALL(#REF!,4),SMALL(#REF!,5),SMALL(#REF!,6),SMALL(#REF!,7)),"#N/A")</f>
        <v>#REF!</v>
      </c>
      <c r="N6" t="str">
        <f>acumulado_porcentaje[[#This Row],[Nombre ]]&amp;" ("&amp;acumulado_porcentaje[[#This Row],[contar]]&amp;")"</f>
        <v>Inés Monroy (10)</v>
      </c>
      <c r="P6" s="72"/>
      <c r="Q6" s="72"/>
      <c r="R6" s="45"/>
      <c r="S6" s="45"/>
      <c r="T6" s="45"/>
      <c r="V6"/>
      <c r="W6"/>
    </row>
    <row r="7" spans="1:27" x14ac:dyDescent="0.2">
      <c r="A7" s="47" t="s">
        <v>406</v>
      </c>
      <c r="B7">
        <v>1.2145748987854329E-2</v>
      </c>
      <c r="C7">
        <v>0.625</v>
      </c>
      <c r="D7">
        <v>0.57790927021696248</v>
      </c>
      <c r="E7">
        <v>1.0848573518653988</v>
      </c>
      <c r="F7">
        <v>0.17763157894736839</v>
      </c>
      <c r="G7">
        <v>1.9258202567760313E-2</v>
      </c>
      <c r="H7">
        <v>5.9604480708062541E-2</v>
      </c>
      <c r="I7">
        <v>0.14332784184514</v>
      </c>
      <c r="J7">
        <v>0.21178738639493244</v>
      </c>
      <c r="K7">
        <v>0.10375275938189843</v>
      </c>
      <c r="L7" s="108">
        <f>$AA$2- COUNTIF(acumulado_porcentaje[[#This Row],[ene-24]:[oct-24]],"")</f>
        <v>10</v>
      </c>
      <c r="M7" s="69" t="e">
        <f>IF(acumulado_porcentaje[[#This Row],[contar]]&gt;=$AA$3,SUM(SMALL(#REF!,1),SMALL(#REF!,2),SMALL(#REF!,3),SMALL(#REF!,4),SMALL(#REF!,5),SMALL(#REF!,6),SMALL(#REF!,7)),"#N/A")</f>
        <v>#REF!</v>
      </c>
      <c r="N7" t="str">
        <f>acumulado_porcentaje[[#This Row],[Nombre ]]&amp;" ("&amp;acumulado_porcentaje[[#This Row],[contar]]&amp;")"</f>
        <v>Javier Pérez Salazar (10)</v>
      </c>
      <c r="P7" s="72"/>
      <c r="Q7" s="72"/>
      <c r="R7" s="45"/>
      <c r="S7" s="45"/>
      <c r="T7" s="45"/>
      <c r="V7"/>
      <c r="W7"/>
    </row>
    <row r="8" spans="1:27" x14ac:dyDescent="0.2">
      <c r="A8" s="47" t="s">
        <v>336</v>
      </c>
      <c r="B8">
        <v>3.2388663967611225E-2</v>
      </c>
      <c r="C8">
        <v>0.73000000000000009</v>
      </c>
      <c r="D8">
        <v>0.16863905325443776</v>
      </c>
      <c r="E8">
        <v>0.49963423555230435</v>
      </c>
      <c r="F8">
        <v>1.2828947368420955E-2</v>
      </c>
      <c r="G8">
        <v>8.3452211126961481E-2</v>
      </c>
      <c r="H8">
        <v>2.0605725349190911E-2</v>
      </c>
      <c r="I8">
        <v>0.16090060406370119</v>
      </c>
      <c r="J8">
        <v>0.16909942164692923</v>
      </c>
      <c r="K8">
        <v>0.21728161463260803</v>
      </c>
      <c r="L8" s="108">
        <f>$AA$2- COUNTIF(acumulado_porcentaje[[#This Row],[ene-24]:[oct-24]],"")</f>
        <v>10</v>
      </c>
      <c r="M8" s="69" t="e">
        <f>IF(acumulado_porcentaje[[#This Row],[contar]]&gt;=$AA$3,SUM(SMALL(#REF!,1),SMALL(#REF!,2),SMALL(#REF!,3),SMALL(#REF!,4),SMALL(#REF!,5),SMALL(#REF!,6),SMALL(#REF!,7)),"#N/A")</f>
        <v>#REF!</v>
      </c>
      <c r="N8" t="str">
        <f>acumulado_porcentaje[[#This Row],[Nombre ]]&amp;" ("&amp;acumulado_porcentaje[[#This Row],[contar]]&amp;")"</f>
        <v>Javier Revuelta Alonso (10)</v>
      </c>
      <c r="P8" s="72">
        <f>AVERAGE(B8,D8,F8,G8,H8,I8,J8,K8)</f>
        <v>0.10814953017623261</v>
      </c>
      <c r="Q8" s="72"/>
      <c r="R8" s="45"/>
      <c r="S8" s="45"/>
      <c r="T8" s="45"/>
      <c r="V8"/>
      <c r="W8"/>
    </row>
    <row r="9" spans="1:27" x14ac:dyDescent="0.2">
      <c r="A9" s="47" t="s">
        <v>218</v>
      </c>
      <c r="B9">
        <v>0.15249662618083687</v>
      </c>
      <c r="C9">
        <v>0.61149999999999982</v>
      </c>
      <c r="D9">
        <v>0.30670611439842199</v>
      </c>
      <c r="E9">
        <v>0.89465983906364288</v>
      </c>
      <c r="F9">
        <v>0.49013157894736842</v>
      </c>
      <c r="G9">
        <v>0.23038516405135526</v>
      </c>
      <c r="H9">
        <v>7.4540174249757993E-2</v>
      </c>
      <c r="I9">
        <v>0.1466227347611202</v>
      </c>
      <c r="J9">
        <v>0.22390526025888172</v>
      </c>
      <c r="K9">
        <v>0.22626931567328909</v>
      </c>
      <c r="L9" s="108">
        <f>$AA$2- COUNTIF(acumulado_porcentaje[[#This Row],[ene-24]:[oct-24]],"")</f>
        <v>10</v>
      </c>
      <c r="M9" s="69" t="e">
        <f>IF(acumulado_porcentaje[[#This Row],[contar]]&gt;=$AA$3,SUM(SMALL(#REF!,1),SMALL(#REF!,2),SMALL(#REF!,3),SMALL(#REF!,4),SMALL(#REF!,5),SMALL(#REF!,6),SMALL(#REF!,7)),"#N/A")</f>
        <v>#REF!</v>
      </c>
      <c r="N9" t="str">
        <f>acumulado_porcentaje[[#This Row],[Nombre ]]&amp;" ("&amp;acumulado_porcentaje[[#This Row],[contar]]&amp;")"</f>
        <v>Jorge Antonio González Sánchez (10)</v>
      </c>
      <c r="P9" s="72"/>
      <c r="Q9" s="72"/>
      <c r="R9" s="45"/>
      <c r="S9" s="45"/>
      <c r="T9" s="45"/>
      <c r="V9"/>
      <c r="W9"/>
    </row>
    <row r="10" spans="1:27" x14ac:dyDescent="0.2">
      <c r="A10" s="47" t="s">
        <v>222</v>
      </c>
      <c r="B10">
        <v>8.7719298245612885E-3</v>
      </c>
      <c r="C10">
        <v>0.84699999999999986</v>
      </c>
      <c r="D10">
        <v>0.50394477317554232</v>
      </c>
      <c r="E10">
        <v>0.35332845647403072</v>
      </c>
      <c r="F10">
        <v>0.13980263157894737</v>
      </c>
      <c r="G10">
        <v>0.14728958630527814</v>
      </c>
      <c r="H10">
        <v>3.1945788964182022E-2</v>
      </c>
      <c r="I10">
        <v>0.10378912685337729</v>
      </c>
      <c r="J10">
        <v>0.30528779950426882</v>
      </c>
      <c r="K10">
        <v>7.3478397981709187E-2</v>
      </c>
      <c r="L10" s="108">
        <f>$AA$2- COUNTIF(acumulado_porcentaje[[#This Row],[ene-24]:[oct-24]],"")</f>
        <v>10</v>
      </c>
      <c r="M10" s="69" t="e">
        <f>IF(acumulado_porcentaje[[#This Row],[contar]]&gt;=$AA$3,SUM(SMALL(#REF!,1),SMALL(#REF!,2),SMALL(#REF!,3),SMALL(#REF!,4),SMALL(#REF!,5),SMALL(#REF!,6),SMALL(#REF!,7)),"#N/A")</f>
        <v>#REF!</v>
      </c>
      <c r="N10" t="str">
        <f>acumulado_porcentaje[[#This Row],[Nombre ]]&amp;" ("&amp;acumulado_porcentaje[[#This Row],[contar]]&amp;")"</f>
        <v>Jose F Vidal (10)</v>
      </c>
      <c r="P10" s="72">
        <f>AVERAGE(B10,E10,F10,G10,H10,I10,J10,K10)</f>
        <v>0.14546171468579433</v>
      </c>
      <c r="Q10" s="72"/>
      <c r="R10" s="45"/>
      <c r="S10" s="45"/>
      <c r="T10" s="45"/>
      <c r="V10"/>
      <c r="W10"/>
    </row>
    <row r="11" spans="1:27" x14ac:dyDescent="0.2">
      <c r="A11" s="47" t="s">
        <v>412</v>
      </c>
      <c r="B11">
        <v>9.4197031039136361E-2</v>
      </c>
      <c r="C11">
        <v>0.99499999999999988</v>
      </c>
      <c r="D11">
        <v>2.0414201183431953</v>
      </c>
      <c r="E11">
        <v>5.5032918800292618</v>
      </c>
      <c r="F11">
        <v>0.59868421052631593</v>
      </c>
      <c r="G11">
        <v>3.3166904422253916E-2</v>
      </c>
      <c r="H11">
        <v>3.0839441294426829E-2</v>
      </c>
      <c r="I11">
        <v>0.14772103239978038</v>
      </c>
      <c r="J11">
        <v>0.20627926191131904</v>
      </c>
      <c r="K11">
        <v>0.26300851466414366</v>
      </c>
      <c r="L11" s="108">
        <f>$AA$2- COUNTIF(acumulado_porcentaje[[#This Row],[ene-24]:[oct-24]],"")</f>
        <v>10</v>
      </c>
      <c r="M11" s="69" t="e">
        <f>IF(acumulado_porcentaje[[#This Row],[contar]]&gt;=$AA$3,SUM(SMALL(#REF!,1),SMALL(#REF!,2),SMALL(#REF!,3),SMALL(#REF!,4),SMALL(#REF!,5),SMALL(#REF!,6),SMALL(#REF!,7)),"#N/A")</f>
        <v>#REF!</v>
      </c>
      <c r="N11" t="str">
        <f>acumulado_porcentaje[[#This Row],[Nombre ]]&amp;" ("&amp;acumulado_porcentaje[[#This Row],[contar]]&amp;")"</f>
        <v>Jose Manuel Otero López (10)</v>
      </c>
      <c r="P11" s="72"/>
      <c r="Q11" s="72"/>
      <c r="R11" s="45"/>
      <c r="S11" s="45"/>
      <c r="T11" s="45"/>
      <c r="V11"/>
      <c r="W11"/>
    </row>
    <row r="12" spans="1:27" x14ac:dyDescent="0.2">
      <c r="A12" s="47" t="s">
        <v>408</v>
      </c>
      <c r="B12">
        <v>3.8731443994601759E-2</v>
      </c>
      <c r="C12">
        <v>0.8932500000000001</v>
      </c>
      <c r="D12">
        <v>0.64250493096646943</v>
      </c>
      <c r="E12">
        <v>0.77249451353328458</v>
      </c>
      <c r="F12">
        <v>2.6315789473684119E-2</v>
      </c>
      <c r="G12">
        <v>0.25267475035663339</v>
      </c>
      <c r="H12">
        <v>2.9871387083390908E-2</v>
      </c>
      <c r="I12">
        <v>0.1624382207578253</v>
      </c>
      <c r="J12">
        <v>0.18397135775268519</v>
      </c>
      <c r="K12">
        <v>0.14238410596026491</v>
      </c>
      <c r="L12" s="108">
        <f>$AA$2- COUNTIF(acumulado_porcentaje[[#This Row],[ene-24]:[oct-24]],"")</f>
        <v>10</v>
      </c>
      <c r="M12" s="69" t="e">
        <f>IF(acumulado_porcentaje[[#This Row],[contar]]&gt;=$AA$3,SUM(SMALL(#REF!,1),SMALL(#REF!,2),SMALL(#REF!,3),SMALL(#REF!,4),SMALL(#REF!,5),SMALL(#REF!,6),SMALL(#REF!,7)),"#N/A")</f>
        <v>#REF!</v>
      </c>
      <c r="N12" t="str">
        <f>acumulado_porcentaje[[#This Row],[Nombre ]]&amp;" ("&amp;acumulado_porcentaje[[#This Row],[contar]]&amp;")"</f>
        <v>Julián Mateo Muñoz (10)</v>
      </c>
      <c r="P12" s="72"/>
      <c r="Q12" s="72"/>
      <c r="R12" s="45"/>
      <c r="S12" s="45"/>
      <c r="T12" s="45"/>
      <c r="V12"/>
      <c r="W12"/>
    </row>
    <row r="13" spans="1:27" x14ac:dyDescent="0.2">
      <c r="A13" s="47" t="s">
        <v>363</v>
      </c>
      <c r="B13">
        <v>4.4534412955465549E-2</v>
      </c>
      <c r="C13">
        <v>0.63500000000000012</v>
      </c>
      <c r="D13">
        <v>0.46942800788954631</v>
      </c>
      <c r="E13">
        <v>0.66788588149231898</v>
      </c>
      <c r="F13">
        <v>0.28947368421052622</v>
      </c>
      <c r="G13">
        <v>0.24928673323823106</v>
      </c>
      <c r="H13">
        <v>4.8541004010510369E-2</v>
      </c>
      <c r="I13">
        <v>0.21801208127402522</v>
      </c>
      <c r="J13">
        <v>0.20352519966951255</v>
      </c>
      <c r="K13">
        <v>4.6988331756543739E-2</v>
      </c>
      <c r="L13" s="108">
        <f>$AA$2- COUNTIF(acumulado_porcentaje[[#This Row],[ene-24]:[oct-24]],"")</f>
        <v>10</v>
      </c>
      <c r="M13" s="69" t="e">
        <f>IF(acumulado_porcentaje[[#This Row],[contar]]&gt;=$AA$3,SUM(SMALL(#REF!,1),SMALL(#REF!,2),SMALL(#REF!,3),SMALL(#REF!,4),SMALL(#REF!,5),SMALL(#REF!,6),SMALL(#REF!,7)),"#N/A")</f>
        <v>#REF!</v>
      </c>
      <c r="N13" t="str">
        <f>acumulado_porcentaje[[#This Row],[Nombre ]]&amp;" ("&amp;acumulado_porcentaje[[#This Row],[contar]]&amp;")"</f>
        <v>Roque Alonso Alonso (10)</v>
      </c>
      <c r="P13" s="72"/>
      <c r="Q13" s="72"/>
      <c r="R13" s="45"/>
      <c r="S13" s="45"/>
      <c r="T13" s="45"/>
      <c r="V13"/>
      <c r="W13"/>
    </row>
    <row r="14" spans="1:27" x14ac:dyDescent="0.2">
      <c r="A14" s="47" t="s">
        <v>215</v>
      </c>
      <c r="B14">
        <v>4.8582995951417123E-2</v>
      </c>
      <c r="C14">
        <v>0.72375000000000012</v>
      </c>
      <c r="E14">
        <v>2.2553035844915872</v>
      </c>
      <c r="F14">
        <v>0.35197368421052644</v>
      </c>
      <c r="G14">
        <v>9.4507845934379657E-3</v>
      </c>
      <c r="H14">
        <v>6.3753284469644581E-2</v>
      </c>
      <c r="I14">
        <v>0.22350356946732558</v>
      </c>
      <c r="J14">
        <v>0.25172128890112916</v>
      </c>
      <c r="K14">
        <v>5.7079785556606817E-2</v>
      </c>
      <c r="L14" s="108">
        <f>$AA$2- COUNTIF(acumulado_porcentaje[[#This Row],[ene-24]:[oct-24]],"")</f>
        <v>9</v>
      </c>
      <c r="M14" s="69" t="e">
        <f>IF(acumulado_porcentaje[[#This Row],[contar]]&gt;=$AA$3,SUM(SMALL(#REF!,1),SMALL(#REF!,2),SMALL(#REF!,3),SMALL(#REF!,4),SMALL(#REF!,5),SMALL(#REF!,6),SMALL(#REF!,7)),"#N/A")</f>
        <v>#REF!</v>
      </c>
      <c r="N14" t="str">
        <f>acumulado_porcentaje[[#This Row],[Nombre ]]&amp;" ("&amp;acumulado_porcentaje[[#This Row],[contar]]&amp;")"</f>
        <v>Carles Estruch Puig (9)</v>
      </c>
      <c r="P14" s="72"/>
      <c r="Q14" s="72"/>
      <c r="R14" s="45"/>
      <c r="S14" s="45"/>
      <c r="T14" s="45"/>
      <c r="V14"/>
      <c r="W14"/>
    </row>
    <row r="15" spans="1:27" x14ac:dyDescent="0.2">
      <c r="A15" s="47" t="s">
        <v>219</v>
      </c>
      <c r="B15">
        <v>0.18866396761133611</v>
      </c>
      <c r="C15">
        <v>0.74224999999999997</v>
      </c>
      <c r="D15">
        <v>0.80769230769230738</v>
      </c>
      <c r="F15">
        <v>9.703947368421062E-2</v>
      </c>
      <c r="G15">
        <v>4.992867332382319E-2</v>
      </c>
      <c r="H15">
        <v>7.7997510717743052E-2</v>
      </c>
      <c r="I15">
        <v>0.12147171883580453</v>
      </c>
      <c r="J15">
        <v>0.25461305425502606</v>
      </c>
      <c r="K15">
        <v>0.13875748975086719</v>
      </c>
      <c r="L15" s="108">
        <f>$AA$2- COUNTIF(acumulado_porcentaje[[#This Row],[ene-24]:[oct-24]],"")</f>
        <v>9</v>
      </c>
      <c r="M15" s="69" t="e">
        <f>IF(acumulado_porcentaje[[#This Row],[contar]]&gt;=$AA$3,SUM(SMALL(#REF!,1),SMALL(#REF!,2),SMALL(#REF!,3),SMALL(#REF!,4),SMALL(#REF!,5),SMALL(#REF!,6),SMALL(#REF!,7)),"#N/A")</f>
        <v>#REF!</v>
      </c>
      <c r="N15" t="str">
        <f>acumulado_porcentaje[[#This Row],[Nombre ]]&amp;" ("&amp;acumulado_porcentaje[[#This Row],[contar]]&amp;")"</f>
        <v>Jaime Larrañaga Juez (9)</v>
      </c>
      <c r="P15" s="72"/>
      <c r="Q15" s="72"/>
      <c r="R15" s="45"/>
      <c r="S15" s="45"/>
      <c r="T15" s="45"/>
      <c r="V15"/>
      <c r="W15"/>
    </row>
    <row r="16" spans="1:27" x14ac:dyDescent="0.2">
      <c r="A16" s="47" t="s">
        <v>401</v>
      </c>
      <c r="B16">
        <v>0.17543859649122809</v>
      </c>
      <c r="C16">
        <v>0.875</v>
      </c>
      <c r="D16">
        <v>1.7120315581854042</v>
      </c>
      <c r="E16">
        <v>2.4711046086320412</v>
      </c>
      <c r="F16">
        <v>0.70789473684210513</v>
      </c>
      <c r="G16">
        <v>2.710413694721819E-2</v>
      </c>
      <c r="H16">
        <v>5.7668372285990893E-2</v>
      </c>
      <c r="I16">
        <v>0.1324546952224053</v>
      </c>
      <c r="J16">
        <v>0.29289451941613875</v>
      </c>
      <c r="L16" s="108">
        <f>$AA$2- COUNTIF(acumulado_porcentaje[[#This Row],[ene-24]:[oct-24]],"")</f>
        <v>9</v>
      </c>
      <c r="M16" s="69" t="e">
        <f>IF(acumulado_porcentaje[[#This Row],[contar]]&gt;=$AA$3,SUM(SMALL(#REF!,1),SMALL(#REF!,2),SMALL(#REF!,3),SMALL(#REF!,4),SMALL(#REF!,5),SMALL(#REF!,6),SMALL(#REF!,7)),"#N/A")</f>
        <v>#REF!</v>
      </c>
      <c r="N16" t="str">
        <f>acumulado_porcentaje[[#This Row],[Nombre ]]&amp;" ("&amp;acumulado_porcentaje[[#This Row],[contar]]&amp;")"</f>
        <v>Juan Pedro Conejo Sanchez (9)</v>
      </c>
      <c r="P16" s="72">
        <f>AVERAGE(B16,C16,F16:J16,acumulado_porcentaje[[#This Row],[mar-24]])</f>
        <v>0.49756082692381132</v>
      </c>
      <c r="Q16" s="72">
        <f>AVERAGE(B16,C16,F16:K16)</f>
        <v>0.32406500817215517</v>
      </c>
      <c r="R16" s="45"/>
      <c r="S16" s="45"/>
      <c r="T16" s="45"/>
      <c r="V16"/>
      <c r="W16"/>
    </row>
    <row r="17" spans="1:23" x14ac:dyDescent="0.2">
      <c r="A17" s="47" t="s">
        <v>414</v>
      </c>
      <c r="C17">
        <v>0.6087499999999999</v>
      </c>
      <c r="D17">
        <v>0.74211045364891504</v>
      </c>
      <c r="E17">
        <v>0.71982443306510624</v>
      </c>
      <c r="F17">
        <v>7.5657894736842021E-2</v>
      </c>
      <c r="G17">
        <v>5.1355206847360835E-2</v>
      </c>
      <c r="H17">
        <v>1.3829345871947332E-4</v>
      </c>
      <c r="I17">
        <v>0.18396485447556288</v>
      </c>
      <c r="J17">
        <v>0.29854034701184234</v>
      </c>
      <c r="K17">
        <v>0.10848312835067794</v>
      </c>
      <c r="L17" s="108">
        <f>$AA$2- COUNTIF(acumulado_porcentaje[[#This Row],[ene-24]:[oct-24]],"")</f>
        <v>9</v>
      </c>
      <c r="M17" s="69" t="e">
        <f>IF(acumulado_porcentaje[[#This Row],[contar]]&gt;=$AA$3,SUM(SMALL(#REF!,1),SMALL(#REF!,2),SMALL(#REF!,3),SMALL(#REF!,4),SMALL(#REF!,5),SMALL(#REF!,6),SMALL(#REF!,7)),"#N/A")</f>
        <v>#REF!</v>
      </c>
      <c r="N17" t="str">
        <f>acumulado_porcentaje[[#This Row],[Nombre ]]&amp;" ("&amp;acumulado_porcentaje[[#This Row],[contar]]&amp;")"</f>
        <v>Laura Gómez López (9)</v>
      </c>
      <c r="P17" s="72"/>
      <c r="Q17" s="72"/>
      <c r="R17" s="45"/>
      <c r="S17" s="45"/>
      <c r="T17" s="45"/>
      <c r="V17"/>
      <c r="W17"/>
    </row>
    <row r="18" spans="1:23" x14ac:dyDescent="0.2">
      <c r="A18" s="47" t="s">
        <v>328</v>
      </c>
      <c r="C18">
        <v>0.63000000000000012</v>
      </c>
      <c r="E18">
        <v>1.0190197512801757</v>
      </c>
      <c r="F18">
        <v>1.3157894736842059E-2</v>
      </c>
      <c r="G18">
        <v>5.2068473609129848E-2</v>
      </c>
      <c r="H18">
        <v>8.588023786474891E-2</v>
      </c>
      <c r="I18">
        <v>0.19439868204283364</v>
      </c>
      <c r="J18">
        <v>0.21247590195538407</v>
      </c>
      <c r="K18">
        <v>8.8457899716177846E-2</v>
      </c>
      <c r="L18" s="108">
        <f>$AA$2- COUNTIF(acumulado_porcentaje[[#This Row],[ene-24]:[oct-24]],"")</f>
        <v>8</v>
      </c>
      <c r="M18" s="69" t="e">
        <f>IF(acumulado_porcentaje[[#This Row],[contar]]&gt;=$AA$3,SUM(SMALL(#REF!,1),SMALL(#REF!,2),SMALL(#REF!,3),SMALL(#REF!,4),SMALL(#REF!,5),SMALL(#REF!,6),SMALL(#REF!,7)),"#N/A")</f>
        <v>#REF!</v>
      </c>
      <c r="N18" t="str">
        <f>acumulado_porcentaje[[#This Row],[Nombre ]]&amp;" ("&amp;acumulado_porcentaje[[#This Row],[contar]]&amp;")"</f>
        <v>Aitor Folch (8)</v>
      </c>
      <c r="P18" s="72">
        <f>AVERAGE(B18,C18,F18:J18)</f>
        <v>0.19799686503482308</v>
      </c>
      <c r="Q18" s="72"/>
      <c r="R18" s="45"/>
      <c r="S18" s="45"/>
      <c r="T18" s="45"/>
      <c r="V18"/>
      <c r="W18"/>
    </row>
    <row r="19" spans="1:23" x14ac:dyDescent="0.2">
      <c r="A19" s="47" t="s">
        <v>221</v>
      </c>
      <c r="B19">
        <v>5.6410256410256508E-2</v>
      </c>
      <c r="C19">
        <v>0.48249999999999993</v>
      </c>
      <c r="D19">
        <v>0.15828402366863892</v>
      </c>
      <c r="E19">
        <v>0.42648134601316751</v>
      </c>
      <c r="F19">
        <v>0.17993421052631575</v>
      </c>
      <c r="G19">
        <v>0.29404422253922957</v>
      </c>
      <c r="I19">
        <v>0.24107633168588691</v>
      </c>
      <c r="K19">
        <v>6.9851781772311453E-2</v>
      </c>
      <c r="L19" s="108">
        <f>$AA$2- COUNTIF(acumulado_porcentaje[[#This Row],[ene-24]:[oct-24]],"")</f>
        <v>8</v>
      </c>
      <c r="M19" s="69" t="e">
        <f>IF(acumulado_porcentaje[[#This Row],[contar]]&gt;=$AA$3,SUM(SMALL(#REF!,1),SMALL(#REF!,2),SMALL(#REF!,3),SMALL(#REF!,4),SMALL(#REF!,5),SMALL(#REF!,6),SMALL(#REF!,7)),"#N/A")</f>
        <v>#REF!</v>
      </c>
      <c r="N19" t="str">
        <f>acumulado_porcentaje[[#This Row],[Nombre ]]&amp;" ("&amp;acumulado_porcentaje[[#This Row],[contar]]&amp;")"</f>
        <v>Alfonso Lezcano (8)</v>
      </c>
      <c r="P19" s="72"/>
      <c r="Q19" s="72"/>
      <c r="R19" s="45"/>
      <c r="S19" s="45"/>
      <c r="T19" s="45"/>
      <c r="V19"/>
      <c r="W19"/>
    </row>
    <row r="20" spans="1:23" x14ac:dyDescent="0.2">
      <c r="A20" s="47" t="s">
        <v>474</v>
      </c>
      <c r="D20">
        <v>5.9171597633134827E-3</v>
      </c>
      <c r="E20">
        <v>0.64594001463057793</v>
      </c>
      <c r="F20">
        <v>0.15460526315789483</v>
      </c>
      <c r="G20">
        <v>0.24661198288159769</v>
      </c>
      <c r="H20">
        <v>6.3061817176047599E-2</v>
      </c>
      <c r="I20">
        <v>0.17880285557386053</v>
      </c>
      <c r="J20">
        <v>0.27884880198292478</v>
      </c>
      <c r="K20">
        <v>0.11967833491012304</v>
      </c>
      <c r="L20" s="108">
        <f>$AA$2- COUNTIF(acumulado_porcentaje[[#This Row],[ene-24]:[oct-24]],"")</f>
        <v>8</v>
      </c>
      <c r="M20" s="69" t="e">
        <f>IF(acumulado_porcentaje[[#This Row],[contar]]&gt;=$AA$3,SUM(SMALL(#REF!,1),SMALL(#REF!,2),SMALL(#REF!,3),SMALL(#REF!,4),SMALL(#REF!,5),SMALL(#REF!,6),SMALL(#REF!,7)),"#N/A")</f>
        <v>#REF!</v>
      </c>
      <c r="N20" t="str">
        <f>acumulado_porcentaje[[#This Row],[Nombre ]]&amp;" ("&amp;acumulado_porcentaje[[#This Row],[contar]]&amp;")"</f>
        <v>Javier Colón Cortegoso (8)</v>
      </c>
      <c r="P20" s="72"/>
      <c r="Q20" s="72"/>
      <c r="R20" s="45"/>
      <c r="S20" s="45"/>
      <c r="T20" s="45"/>
      <c r="V20"/>
      <c r="W20"/>
    </row>
    <row r="21" spans="1:23" x14ac:dyDescent="0.2">
      <c r="A21" s="47" t="s">
        <v>242</v>
      </c>
      <c r="B21">
        <v>0.18353576248313083</v>
      </c>
      <c r="E21">
        <v>0.60936356986100948</v>
      </c>
      <c r="F21">
        <v>0.75328947368421051</v>
      </c>
      <c r="G21">
        <v>0.17082738944365189</v>
      </c>
      <c r="H21">
        <v>8.0348499515972921E-2</v>
      </c>
      <c r="I21">
        <v>0.15980230642504115</v>
      </c>
      <c r="J21">
        <v>0.35637565408978233</v>
      </c>
      <c r="K21">
        <v>0.30085146641438026</v>
      </c>
      <c r="L21" s="108">
        <f>$AA$2- COUNTIF(acumulado_porcentaje[[#This Row],[ene-24]:[oct-24]],"")</f>
        <v>8</v>
      </c>
      <c r="M21" s="69" t="e">
        <f>IF(acumulado_porcentaje[[#This Row],[contar]]&gt;=$AA$3,SUM(SMALL(#REF!,1),SMALL(#REF!,2),SMALL(#REF!,3),SMALL(#REF!,4),SMALL(#REF!,5),SMALL(#REF!,6),SMALL(#REF!,7)),"#N/A")</f>
        <v>#REF!</v>
      </c>
      <c r="N21" t="str">
        <f>acumulado_porcentaje[[#This Row],[Nombre ]]&amp;" ("&amp;acumulado_porcentaje[[#This Row],[contar]]&amp;")"</f>
        <v>Javier Espelta (8)</v>
      </c>
      <c r="P21" s="72"/>
      <c r="Q21" s="72"/>
      <c r="R21" s="45"/>
      <c r="S21" s="45"/>
      <c r="T21" s="45"/>
      <c r="V21"/>
      <c r="W21"/>
    </row>
    <row r="22" spans="1:23" x14ac:dyDescent="0.2">
      <c r="A22" s="47" t="s">
        <v>381</v>
      </c>
      <c r="B22">
        <v>3.2388663967611413E-2</v>
      </c>
      <c r="C22">
        <v>0.50050000000000006</v>
      </c>
      <c r="F22">
        <v>9.3092105263157837E-2</v>
      </c>
      <c r="G22">
        <v>5.5813124108416469E-2</v>
      </c>
      <c r="H22">
        <v>2.2541833771262555E-2</v>
      </c>
      <c r="I22">
        <v>0.17583745194947822</v>
      </c>
      <c r="J22">
        <v>0.23836408702836687</v>
      </c>
      <c r="K22">
        <v>0.16824345632292653</v>
      </c>
      <c r="L22" s="108">
        <f>$AA$2- COUNTIF(acumulado_porcentaje[[#This Row],[ene-24]:[oct-24]],"")</f>
        <v>8</v>
      </c>
      <c r="M22" s="69" t="e">
        <f>IF(acumulado_porcentaje[[#This Row],[contar]]&gt;=$AA$3,SUM(SMALL(#REF!,1),SMALL(#REF!,2),SMALL(#REF!,3),SMALL(#REF!,4),SMALL(#REF!,5),SMALL(#REF!,6),SMALL(#REF!,7)),"#N/A")</f>
        <v>#REF!</v>
      </c>
      <c r="N22" t="str">
        <f>acumulado_porcentaje[[#This Row],[Nombre ]]&amp;" ("&amp;acumulado_porcentaje[[#This Row],[contar]]&amp;")"</f>
        <v>Roberto Cavero García (8)</v>
      </c>
      <c r="P22" s="72"/>
      <c r="Q22" s="72"/>
      <c r="R22" s="45"/>
      <c r="S22" s="45"/>
      <c r="T22" s="45"/>
      <c r="V22"/>
      <c r="W22"/>
    </row>
    <row r="23" spans="1:23" x14ac:dyDescent="0.2">
      <c r="A23" s="47" t="s">
        <v>403</v>
      </c>
      <c r="B23">
        <v>0.1943319838056681</v>
      </c>
      <c r="E23">
        <v>1.944403803950256</v>
      </c>
      <c r="F23">
        <v>9.8684210526316027E-3</v>
      </c>
      <c r="G23">
        <v>7.168330955777466E-2</v>
      </c>
      <c r="H23">
        <v>9.7635181855898243E-2</v>
      </c>
      <c r="I23">
        <v>0.20263591433278422</v>
      </c>
      <c r="J23">
        <v>0.17736160837234913</v>
      </c>
      <c r="L23" s="108">
        <f>$AA$2- COUNTIF(acumulado_porcentaje[[#This Row],[ene-24]:[oct-24]],"")</f>
        <v>7</v>
      </c>
      <c r="M23" s="69" t="str">
        <f>IF(acumulado_porcentaje[[#This Row],[contar]]&gt;=$AA$3,SUM(SMALL(#REF!,1),SMALL(#REF!,2),SMALL(#REF!,3),SMALL(#REF!,4),SMALL(#REF!,5),SMALL(#REF!,6),SMALL(#REF!,7)),"#N/A")</f>
        <v>#N/A</v>
      </c>
      <c r="N23" t="str">
        <f>acumulado_porcentaje[[#This Row],[Nombre ]]&amp;" ("&amp;acumulado_porcentaje[[#This Row],[contar]]&amp;")"</f>
        <v>Luis Angel Garzon Velasco (7)</v>
      </c>
      <c r="P23" s="72"/>
      <c r="Q23" s="72"/>
      <c r="R23" s="45"/>
      <c r="S23" s="45"/>
      <c r="T23" s="45"/>
      <c r="V23"/>
      <c r="W23"/>
    </row>
    <row r="24" spans="1:23" x14ac:dyDescent="0.2">
      <c r="A24" s="47" t="s">
        <v>292</v>
      </c>
      <c r="C24">
        <v>0.50250000000000006</v>
      </c>
      <c r="D24">
        <v>0.44970414201183417</v>
      </c>
      <c r="E24">
        <v>0.7483540599853693</v>
      </c>
      <c r="G24">
        <v>0.21843794579172612</v>
      </c>
      <c r="H24">
        <v>6.7210620937629639E-2</v>
      </c>
      <c r="I24">
        <v>0.27666117517847333</v>
      </c>
      <c r="J24">
        <v>0.10011016248967221</v>
      </c>
      <c r="L24" s="108">
        <f>$AA$2- COUNTIF(acumulado_porcentaje[[#This Row],[ene-24]:[oct-24]],"")</f>
        <v>7</v>
      </c>
      <c r="M24" s="69" t="str">
        <f>IF(acumulado_porcentaje[[#This Row],[contar]]&gt;=$AA$3,SUM(SMALL(#REF!,1),SMALL(#REF!,2),SMALL(#REF!,3),SMALL(#REF!,4),SMALL(#REF!,5),SMALL(#REF!,6),SMALL(#REF!,7)),"#N/A")</f>
        <v>#N/A</v>
      </c>
      <c r="N24" t="str">
        <f>acumulado_porcentaje[[#This Row],[Nombre ]]&amp;" ("&amp;acumulado_porcentaje[[#This Row],[contar]]&amp;")"</f>
        <v>Oscar Mulas Crespo (7)</v>
      </c>
      <c r="P24" s="72"/>
      <c r="Q24" s="72"/>
      <c r="R24" s="45"/>
      <c r="S24" s="45"/>
      <c r="T24" s="45"/>
      <c r="V24"/>
      <c r="W24"/>
    </row>
    <row r="25" spans="1:23" x14ac:dyDescent="0.2">
      <c r="A25" s="47" t="s">
        <v>542</v>
      </c>
      <c r="E25">
        <v>0.45647403072421361</v>
      </c>
      <c r="F25">
        <v>0.12434210526315782</v>
      </c>
      <c r="G25">
        <v>0.20738231098430807</v>
      </c>
      <c r="H25">
        <v>1.4659106624256703E-2</v>
      </c>
      <c r="I25">
        <v>9.6320702910488706E-2</v>
      </c>
      <c r="J25">
        <v>0.31561553291104377</v>
      </c>
      <c r="K25">
        <v>0.10485651214128022</v>
      </c>
      <c r="L25" s="108">
        <f>$AA$2- COUNTIF(acumulado_porcentaje[[#This Row],[ene-24]:[oct-24]],"")</f>
        <v>7</v>
      </c>
      <c r="M25" s="69" t="str">
        <f>IF(acumulado_porcentaje[[#This Row],[contar]]&gt;=$AA$3,SUM(SMALL(#REF!,1),SMALL(#REF!,2),SMALL(#REF!,3),SMALL(#REF!,4),SMALL(#REF!,5),SMALL(#REF!,6),SMALL(#REF!,7)),"#N/A")</f>
        <v>#N/A</v>
      </c>
      <c r="N25" t="str">
        <f>acumulado_porcentaje[[#This Row],[Nombre ]]&amp;" ("&amp;acumulado_porcentaje[[#This Row],[contar]]&amp;")"</f>
        <v>Sergio Alfonso (7)</v>
      </c>
      <c r="P25" s="72"/>
      <c r="Q25" s="72"/>
      <c r="R25" s="45"/>
      <c r="S25" s="45"/>
      <c r="T25" s="45"/>
      <c r="V25"/>
      <c r="W25"/>
    </row>
    <row r="26" spans="1:23" x14ac:dyDescent="0.2">
      <c r="A26" s="47" t="s">
        <v>413</v>
      </c>
      <c r="C26">
        <v>0.80500000000000005</v>
      </c>
      <c r="F26">
        <v>9.6710526315789636E-2</v>
      </c>
      <c r="H26">
        <v>7.5508228460793719E-2</v>
      </c>
      <c r="I26">
        <v>0.19461834157056562</v>
      </c>
      <c r="J26">
        <v>0.19608923161663444</v>
      </c>
      <c r="K26">
        <v>8.293913591926845E-2</v>
      </c>
      <c r="L26" s="108">
        <f>$AA$2- COUNTIF(acumulado_porcentaje[[#This Row],[ene-24]:[oct-24]],"")</f>
        <v>6</v>
      </c>
      <c r="M26" s="69" t="str">
        <f>IF(acumulado_porcentaje[[#This Row],[contar]]&gt;=$AA$3,SUM(SMALL(#REF!,1),SMALL(#REF!,2),SMALL(#REF!,3),SMALL(#REF!,4),SMALL(#REF!,5),SMALL(#REF!,6),SMALL(#REF!,7)),"#N/A")</f>
        <v>#N/A</v>
      </c>
      <c r="N26" t="str">
        <f>acumulado_porcentaje[[#This Row],[Nombre ]]&amp;" ("&amp;acumulado_porcentaje[[#This Row],[contar]]&amp;")"</f>
        <v>Beatriz Muñoz Rioboo (6)</v>
      </c>
      <c r="P26" s="72"/>
      <c r="Q26" s="72"/>
      <c r="R26" s="45"/>
      <c r="S26" s="45"/>
      <c r="T26" s="45"/>
      <c r="V26"/>
      <c r="W26"/>
    </row>
    <row r="27" spans="1:23" x14ac:dyDescent="0.2">
      <c r="A27" s="47" t="s">
        <v>652</v>
      </c>
      <c r="F27">
        <v>0.13388157894736843</v>
      </c>
      <c r="G27">
        <v>8.1847360912981393E-2</v>
      </c>
      <c r="H27">
        <v>5.033881897386254E-2</v>
      </c>
      <c r="I27">
        <v>0.2898407468423943</v>
      </c>
      <c r="J27">
        <v>0.13522445607270714</v>
      </c>
      <c r="K27">
        <v>0.13118889940081982</v>
      </c>
      <c r="L27" s="108">
        <f>$AA$2- COUNTIF(acumulado_porcentaje[[#This Row],[ene-24]:[oct-24]],"")</f>
        <v>6</v>
      </c>
      <c r="M27" s="69" t="str">
        <f>IF(acumulado_porcentaje[[#This Row],[contar]]&gt;=$AA$3,SUM(SMALL(#REF!,1),SMALL(#REF!,2),SMALL(#REF!,3),SMALL(#REF!,4),SMALL(#REF!,5),SMALL(#REF!,6),SMALL(#REF!,7)),"#N/A")</f>
        <v>#N/A</v>
      </c>
      <c r="N27" t="str">
        <f>acumulado_porcentaje[[#This Row],[Nombre ]]&amp;" ("&amp;acumulado_porcentaje[[#This Row],[contar]]&amp;")"</f>
        <v>Carlos Martin (6)</v>
      </c>
      <c r="P27" s="72"/>
      <c r="Q27" s="72"/>
      <c r="R27" s="45"/>
      <c r="S27" s="45"/>
      <c r="T27" s="45"/>
      <c r="V27"/>
      <c r="W27"/>
    </row>
    <row r="28" spans="1:23" x14ac:dyDescent="0.2">
      <c r="A28" s="47" t="s">
        <v>364</v>
      </c>
      <c r="C28">
        <v>0.77525000000000011</v>
      </c>
      <c r="D28">
        <v>1.3505917159763312</v>
      </c>
      <c r="E28">
        <v>0.80760790051207032</v>
      </c>
      <c r="F28">
        <v>4.8684210526315809E-2</v>
      </c>
      <c r="G28">
        <v>0.14390156918687591</v>
      </c>
      <c r="I28">
        <v>0.19692476661175171</v>
      </c>
      <c r="L28" s="108">
        <f>$AA$2- COUNTIF(acumulado_porcentaje[[#This Row],[ene-24]:[oct-24]],"")</f>
        <v>6</v>
      </c>
      <c r="M28" s="69" t="str">
        <f>IF(acumulado_porcentaje[[#This Row],[contar]]&gt;=$AA$3,SUM(SMALL(#REF!,1),SMALL(#REF!,2),SMALL(#REF!,3),SMALL(#REF!,4),SMALL(#REF!,5),SMALL(#REF!,6),SMALL(#REF!,7)),"#N/A")</f>
        <v>#N/A</v>
      </c>
      <c r="N28" t="str">
        <f>acumulado_porcentaje[[#This Row],[Nombre ]]&amp;" ("&amp;acumulado_porcentaje[[#This Row],[contar]]&amp;")"</f>
        <v>Marcos Fortea Escolano (6)</v>
      </c>
      <c r="P28" s="72"/>
      <c r="Q28" s="72"/>
      <c r="R28" s="45"/>
      <c r="S28" s="45"/>
      <c r="T28" s="45"/>
      <c r="V28"/>
      <c r="W28"/>
    </row>
    <row r="29" spans="1:23" x14ac:dyDescent="0.2">
      <c r="A29" s="47" t="s">
        <v>543</v>
      </c>
      <c r="C29">
        <v>0.68</v>
      </c>
      <c r="D29">
        <v>0.34319526627218921</v>
      </c>
      <c r="E29">
        <v>0.39502560351133875</v>
      </c>
      <c r="F29">
        <v>5.8552631578947294E-2</v>
      </c>
      <c r="G29">
        <v>0.12107703281027103</v>
      </c>
      <c r="H29">
        <v>7.8135804176462528E-2</v>
      </c>
      <c r="L29" s="108">
        <f>$AA$2- COUNTIF(acumulado_porcentaje[[#This Row],[ene-24]:[oct-24]],"")</f>
        <v>6</v>
      </c>
      <c r="M29" s="69" t="str">
        <f>IF(acumulado_porcentaje[[#This Row],[contar]]&gt;=$AA$3,SUM(SMALL(#REF!,1),SMALL(#REF!,2),SMALL(#REF!,3),SMALL(#REF!,4),SMALL(#REF!,5),SMALL(#REF!,6),SMALL(#REF!,7)),"#N/A")</f>
        <v>#N/A</v>
      </c>
      <c r="N29" t="str">
        <f>acumulado_porcentaje[[#This Row],[Nombre ]]&amp;" ("&amp;acumulado_porcentaje[[#This Row],[contar]]&amp;")"</f>
        <v>Roberto Parro Cortés (6)</v>
      </c>
      <c r="P29" s="72"/>
      <c r="Q29" s="72"/>
      <c r="R29" s="45"/>
      <c r="S29" s="45"/>
      <c r="T29" s="45"/>
      <c r="V29"/>
      <c r="W29"/>
    </row>
    <row r="30" spans="1:23" x14ac:dyDescent="0.2">
      <c r="A30" s="47" t="s">
        <v>226</v>
      </c>
      <c r="B30">
        <v>1.6869095816464237E-2</v>
      </c>
      <c r="C30">
        <v>0.5625</v>
      </c>
      <c r="D30">
        <v>0.22287968441814593</v>
      </c>
      <c r="E30">
        <v>0.64667154352596945</v>
      </c>
      <c r="F30">
        <v>0.19769736842105257</v>
      </c>
      <c r="L30" s="108">
        <f>$AA$2- COUNTIF(acumulado_porcentaje[[#This Row],[ene-24]:[oct-24]],"")</f>
        <v>5</v>
      </c>
      <c r="M30" s="69" t="str">
        <f>IF(acumulado_porcentaje[[#This Row],[contar]]&gt;=$AA$3,SUM(SMALL(#REF!,1),SMALL(#REF!,2),SMALL(#REF!,3),SMALL(#REF!,4),SMALL(#REF!,5),SMALL(#REF!,6),SMALL(#REF!,7)),"#N/A")</f>
        <v>#N/A</v>
      </c>
      <c r="N30" t="str">
        <f>acumulado_porcentaje[[#This Row],[Nombre ]]&amp;" ("&amp;acumulado_porcentaje[[#This Row],[contar]]&amp;")"</f>
        <v>Alejandro A. Díaz González (5)</v>
      </c>
      <c r="P30" s="72"/>
      <c r="Q30" s="72"/>
      <c r="R30" s="45"/>
      <c r="S30" s="45"/>
      <c r="T30" s="45"/>
      <c r="V30"/>
      <c r="W30"/>
    </row>
    <row r="31" spans="1:23" x14ac:dyDescent="0.2">
      <c r="A31" s="47" t="s">
        <v>335</v>
      </c>
      <c r="B31">
        <v>7.0175438596491266E-2</v>
      </c>
      <c r="C31">
        <v>0.7024999999999999</v>
      </c>
      <c r="F31">
        <v>0.12532894736842112</v>
      </c>
      <c r="G31">
        <v>5.117689015691864E-2</v>
      </c>
      <c r="H31">
        <v>0.10510302862674607</v>
      </c>
      <c r="L31" s="108">
        <f>$AA$2- COUNTIF(acumulado_porcentaje[[#This Row],[ene-24]:[oct-24]],"")</f>
        <v>5</v>
      </c>
      <c r="M31" s="69" t="str">
        <f>IF(acumulado_porcentaje[[#This Row],[contar]]&gt;=$AA$3,SUM(SMALL(#REF!,1),SMALL(#REF!,2),SMALL(#REF!,3),SMALL(#REF!,4),SMALL(#REF!,5),SMALL(#REF!,6),SMALL(#REF!,7)),"#N/A")</f>
        <v>#N/A</v>
      </c>
      <c r="N31" t="str">
        <f>acumulado_porcentaje[[#This Row],[Nombre ]]&amp;" ("&amp;acumulado_porcentaje[[#This Row],[contar]]&amp;")"</f>
        <v>Carlos Callejón (5)</v>
      </c>
      <c r="P31" s="72"/>
      <c r="Q31" s="72"/>
      <c r="R31" s="45"/>
      <c r="S31" s="45"/>
      <c r="T31" s="45"/>
      <c r="V31"/>
      <c r="W31"/>
    </row>
    <row r="32" spans="1:23" x14ac:dyDescent="0.2">
      <c r="A32" s="47" t="s">
        <v>792</v>
      </c>
      <c r="G32">
        <v>1.3908701854493602E-2</v>
      </c>
      <c r="H32">
        <v>3.7339233854238145E-3</v>
      </c>
      <c r="I32">
        <v>0.22570016474464577</v>
      </c>
      <c r="J32">
        <v>0.26370145965298802</v>
      </c>
      <c r="K32">
        <v>0.32056133711762846</v>
      </c>
      <c r="L32" s="108">
        <f>$AA$2- COUNTIF(acumulado_porcentaje[[#This Row],[ene-24]:[oct-24]],"")</f>
        <v>5</v>
      </c>
      <c r="M32" s="69" t="str">
        <f>IF(acumulado_porcentaje[[#This Row],[contar]]&gt;=$AA$3,SUM(SMALL(#REF!,1),SMALL(#REF!,2),SMALL(#REF!,3),SMALL(#REF!,4),SMALL(#REF!,5),SMALL(#REF!,6),SMALL(#REF!,7)),"#N/A")</f>
        <v>#N/A</v>
      </c>
      <c r="N32" t="str">
        <f>acumulado_porcentaje[[#This Row],[Nombre ]]&amp;" ("&amp;acumulado_porcentaje[[#This Row],[contar]]&amp;")"</f>
        <v>Gorka Arratibel Pastor (5)</v>
      </c>
      <c r="P32" s="72"/>
      <c r="Q32" s="72"/>
      <c r="R32" s="45"/>
      <c r="S32" s="45"/>
      <c r="T32" s="45"/>
      <c r="V32"/>
      <c r="W32"/>
    </row>
    <row r="33" spans="1:23" x14ac:dyDescent="0.2">
      <c r="A33" s="47" t="s">
        <v>786</v>
      </c>
      <c r="G33">
        <v>0.78227532097004293</v>
      </c>
      <c r="H33">
        <v>9.8188355690775747E-2</v>
      </c>
      <c r="I33">
        <v>0.13662822624931353</v>
      </c>
      <c r="J33">
        <v>0.12544753511429357</v>
      </c>
      <c r="K33">
        <v>0.32560706401765988</v>
      </c>
      <c r="L33" s="108">
        <f>$AA$2- COUNTIF(acumulado_porcentaje[[#This Row],[ene-24]:[oct-24]],"")</f>
        <v>5</v>
      </c>
      <c r="M33" s="69" t="str">
        <f>IF(acumulado_porcentaje[[#This Row],[contar]]&gt;=$AA$3,SUM(SMALL(#REF!,1),SMALL(#REF!,2),SMALL(#REF!,3),SMALL(#REF!,4),SMALL(#REF!,5),SMALL(#REF!,6),SMALL(#REF!,7)),"#N/A")</f>
        <v>#N/A</v>
      </c>
      <c r="N33" t="str">
        <f>acumulado_porcentaje[[#This Row],[Nombre ]]&amp;" ("&amp;acumulado_porcentaje[[#This Row],[contar]]&amp;")"</f>
        <v>Jesús Aceituno López (5)</v>
      </c>
      <c r="P33" s="72"/>
      <c r="Q33" s="72"/>
      <c r="R33" s="45"/>
      <c r="S33" s="45"/>
      <c r="T33" s="45"/>
      <c r="V33"/>
      <c r="W33"/>
    </row>
    <row r="34" spans="1:23" x14ac:dyDescent="0.2">
      <c r="A34" s="47" t="s">
        <v>803</v>
      </c>
      <c r="G34">
        <v>0.12660485021398005</v>
      </c>
      <c r="H34">
        <v>9.3209791176877457E-2</v>
      </c>
      <c r="I34">
        <v>0.23591433278418455</v>
      </c>
      <c r="J34">
        <v>6.0313963095566088E-2</v>
      </c>
      <c r="K34">
        <v>0.1698202459791863</v>
      </c>
      <c r="L34" s="108">
        <f>$AA$2- COUNTIF(acumulado_porcentaje[[#This Row],[ene-24]:[oct-24]],"")</f>
        <v>5</v>
      </c>
      <c r="M34" s="69" t="str">
        <f>IF(acumulado_porcentaje[[#This Row],[contar]]&gt;=$AA$3,SUM(SMALL(#REF!,1),SMALL(#REF!,2),SMALL(#REF!,3),SMALL(#REF!,4),SMALL(#REF!,5),SMALL(#REF!,6),SMALL(#REF!,7)),"#N/A")</f>
        <v>#N/A</v>
      </c>
      <c r="N34" t="str">
        <f>acumulado_porcentaje[[#This Row],[Nombre ]]&amp;" ("&amp;acumulado_porcentaje[[#This Row],[contar]]&amp;")"</f>
        <v>Jorge González Arconada (5)</v>
      </c>
      <c r="V34"/>
      <c r="W34"/>
    </row>
    <row r="35" spans="1:23" x14ac:dyDescent="0.2">
      <c r="A35" s="47" t="s">
        <v>784</v>
      </c>
      <c r="G35">
        <v>7.5427960057061413E-2</v>
      </c>
      <c r="H35">
        <v>9.4177845387913184E-2</v>
      </c>
      <c r="I35">
        <v>0.23163097199341026</v>
      </c>
      <c r="J35">
        <v>0.12172955108785442</v>
      </c>
      <c r="K35">
        <v>0.18574582150741092</v>
      </c>
      <c r="L35" s="108">
        <f>$AA$2- COUNTIF(acumulado_porcentaje[[#This Row],[ene-24]:[oct-24]],"")</f>
        <v>5</v>
      </c>
      <c r="M35" s="69" t="str">
        <f>IF(acumulado_porcentaje[[#This Row],[contar]]&gt;=$AA$3,SUM(SMALL(#REF!,1),SMALL(#REF!,2),SMALL(#REF!,3),SMALL(#REF!,4),SMALL(#REF!,5),SMALL(#REF!,6),SMALL(#REF!,7)),"#N/A")</f>
        <v>#N/A</v>
      </c>
      <c r="N35" t="str">
        <f>acumulado_porcentaje[[#This Row],[Nombre ]]&amp;" ("&amp;acumulado_porcentaje[[#This Row],[contar]]&amp;")"</f>
        <v>Paco Cuadrado (5)</v>
      </c>
      <c r="V35"/>
      <c r="W35"/>
    </row>
    <row r="36" spans="1:23" x14ac:dyDescent="0.2">
      <c r="A36" s="47" t="s">
        <v>1028</v>
      </c>
      <c r="G36">
        <v>1.3552068473609095E-2</v>
      </c>
      <c r="H36">
        <v>5.6976904992393919E-2</v>
      </c>
      <c r="I36">
        <v>0.16177924217462938</v>
      </c>
      <c r="J36">
        <v>0.22872486918204349</v>
      </c>
      <c r="K36">
        <v>2.8539892778303409E-2</v>
      </c>
      <c r="L36" s="108">
        <f>$AA$2- COUNTIF(acumulado_porcentaje[[#This Row],[ene-24]:[oct-24]],"")</f>
        <v>5</v>
      </c>
      <c r="M36" s="69" t="str">
        <f>IF(acumulado_porcentaje[[#This Row],[contar]]&gt;=$AA$3,SUM(SMALL(#REF!,1),SMALL(#REF!,2),SMALL(#REF!,3),SMALL(#REF!,4),SMALL(#REF!,5),SMALL(#REF!,6),SMALL(#REF!,7)),"#N/A")</f>
        <v>#N/A</v>
      </c>
      <c r="N36" t="str">
        <f>acumulado_porcentaje[[#This Row],[Nombre ]]&amp;" ("&amp;acumulado_porcentaje[[#This Row],[contar]]&amp;")"</f>
        <v>Ricardo Estévez Solís (5)</v>
      </c>
      <c r="V36"/>
      <c r="W36"/>
    </row>
    <row r="37" spans="1:23" x14ac:dyDescent="0.2">
      <c r="A37" s="47" t="s">
        <v>407</v>
      </c>
      <c r="B37">
        <v>2.091767881241581E-2</v>
      </c>
      <c r="C37">
        <v>0.75549999999999995</v>
      </c>
      <c r="D37">
        <v>1.3530571992110452</v>
      </c>
      <c r="G37">
        <v>0.16797432239657636</v>
      </c>
      <c r="H37">
        <v>0.33204259438528566</v>
      </c>
      <c r="L37" s="108">
        <f>$AA$2- COUNTIF(acumulado_porcentaje[[#This Row],[ene-24]:[oct-24]],"")</f>
        <v>5</v>
      </c>
      <c r="M37" s="69" t="str">
        <f>IF(acumulado_porcentaje[[#This Row],[contar]]&gt;=$AA$3,SUM(SMALL(#REF!,1),SMALL(#REF!,2),SMALL(#REF!,3),SMALL(#REF!,4),SMALL(#REF!,5),SMALL(#REF!,6),SMALL(#REF!,7)),"#N/A")</f>
        <v>#N/A</v>
      </c>
      <c r="N37" t="str">
        <f>acumulado_porcentaje[[#This Row],[Nombre ]]&amp;" ("&amp;acumulado_porcentaje[[#This Row],[contar]]&amp;")"</f>
        <v>Vicente Fayos Gavila (5)</v>
      </c>
      <c r="V37"/>
      <c r="W37"/>
    </row>
    <row r="38" spans="1:23" x14ac:dyDescent="0.2">
      <c r="A38" s="47" t="s">
        <v>785</v>
      </c>
      <c r="G38">
        <v>0.13355920114122685</v>
      </c>
      <c r="H38">
        <v>8.7678052828101274E-2</v>
      </c>
      <c r="I38">
        <v>0.11422295442064791</v>
      </c>
      <c r="J38">
        <v>0.336408702836684</v>
      </c>
      <c r="K38">
        <v>9.3661305581835344E-2</v>
      </c>
      <c r="L38" s="108">
        <f>$AA$2- COUNTIF(acumulado_porcentaje[[#This Row],[ene-24]:[oct-24]],"")</f>
        <v>5</v>
      </c>
      <c r="M38" s="69" t="str">
        <f>IF(acumulado_porcentaje[[#This Row],[contar]]&gt;=$AA$3,SUM(SMALL(#REF!,1),SMALL(#REF!,2),SMALL(#REF!,3),SMALL(#REF!,4),SMALL(#REF!,5),SMALL(#REF!,6),SMALL(#REF!,7)),"#N/A")</f>
        <v>#N/A</v>
      </c>
      <c r="N38" t="str">
        <f>acumulado_porcentaje[[#This Row],[Nombre ]]&amp;" ("&amp;acumulado_porcentaje[[#This Row],[contar]]&amp;")"</f>
        <v>Víctor Baeschlin Sánchez (5)</v>
      </c>
      <c r="V38"/>
      <c r="W38"/>
    </row>
    <row r="39" spans="1:23" x14ac:dyDescent="0.2">
      <c r="A39" s="47" t="s">
        <v>337</v>
      </c>
      <c r="C39">
        <v>0.50150000000000006</v>
      </c>
      <c r="E39">
        <v>1.438917337234821</v>
      </c>
      <c r="F39">
        <v>0.16875000000000009</v>
      </c>
      <c r="G39">
        <v>0.20756062767475036</v>
      </c>
      <c r="L39" s="108">
        <f>$AA$2- COUNTIF(acumulado_porcentaje[[#This Row],[ene-24]:[oct-24]],"")</f>
        <v>4</v>
      </c>
      <c r="M39" s="69" t="str">
        <f>IF(acumulado_porcentaje[[#This Row],[contar]]&gt;=$AA$3,SUM(SMALL(#REF!,1),SMALL(#REF!,2),SMALL(#REF!,3),SMALL(#REF!,4),SMALL(#REF!,5),SMALL(#REF!,6),SMALL(#REF!,7)),"#N/A")</f>
        <v>#N/A</v>
      </c>
      <c r="N39" t="str">
        <f>acumulado_porcentaje[[#This Row],[Nombre ]]&amp;" ("&amp;acumulado_porcentaje[[#This Row],[contar]]&amp;")"</f>
        <v>Francisco Valverde Sánchez (4)</v>
      </c>
      <c r="V39"/>
      <c r="W39"/>
    </row>
    <row r="40" spans="1:23" x14ac:dyDescent="0.2">
      <c r="A40" s="47" t="s">
        <v>411</v>
      </c>
      <c r="B40">
        <v>0.38704453441295561</v>
      </c>
      <c r="E40">
        <v>0.74762253108997812</v>
      </c>
      <c r="F40">
        <v>0.2756578947368421</v>
      </c>
      <c r="G40">
        <v>0.47485734664764623</v>
      </c>
      <c r="L40" s="108">
        <f>$AA$2- COUNTIF(acumulado_porcentaje[[#This Row],[ene-24]:[oct-24]],"")</f>
        <v>4</v>
      </c>
      <c r="M40" s="69" t="str">
        <f>IF(acumulado_porcentaje[[#This Row],[contar]]&gt;=$AA$3,SUM(SMALL(#REF!,1),SMALL(#REF!,2),SMALL(#REF!,3),SMALL(#REF!,4),SMALL(#REF!,5),SMALL(#REF!,6),SMALL(#REF!,7)),"#N/A")</f>
        <v>#N/A</v>
      </c>
      <c r="N40" t="str">
        <f>acumulado_porcentaje[[#This Row],[Nombre ]]&amp;" ("&amp;acumulado_porcentaje[[#This Row],[contar]]&amp;")"</f>
        <v>Jonathan Pazmiño Espinoza (4)</v>
      </c>
      <c r="V40"/>
      <c r="W40"/>
    </row>
    <row r="41" spans="1:23" x14ac:dyDescent="0.2">
      <c r="A41" s="47" t="s">
        <v>645</v>
      </c>
      <c r="F41">
        <v>0.25460526315789483</v>
      </c>
      <c r="G41">
        <v>0.22057774607703276</v>
      </c>
      <c r="I41">
        <v>3.5914332784184475E-2</v>
      </c>
      <c r="J41">
        <v>0.19030570090884044</v>
      </c>
      <c r="L41" s="108">
        <f>$AA$2- COUNTIF(acumulado_porcentaje[[#This Row],[ene-24]:[oct-24]],"")</f>
        <v>4</v>
      </c>
      <c r="M41" s="69" t="str">
        <f>IF(acumulado_porcentaje[[#This Row],[contar]]&gt;=$AA$3,SUM(SMALL(#REF!,1),SMALL(#REF!,2),SMALL(#REF!,3),SMALL(#REF!,4),SMALL(#REF!,5),SMALL(#REF!,6),SMALL(#REF!,7)),"#N/A")</f>
        <v>#N/A</v>
      </c>
      <c r="N41" t="str">
        <f>acumulado_porcentaje[[#This Row],[Nombre ]]&amp;" ("&amp;acumulado_porcentaje[[#This Row],[contar]]&amp;")"</f>
        <v>Jose Antonio Quidiello Antuña (4)</v>
      </c>
      <c r="V41"/>
      <c r="W41"/>
    </row>
    <row r="42" spans="1:23" x14ac:dyDescent="0.2">
      <c r="A42" s="47" t="s">
        <v>404</v>
      </c>
      <c r="B42">
        <v>2.4291497975709423E-3</v>
      </c>
      <c r="C42">
        <v>0.33849999999999997</v>
      </c>
      <c r="F42">
        <v>3.2894736842105734E-3</v>
      </c>
      <c r="G42">
        <v>6.8473609129814483E-2</v>
      </c>
      <c r="L42" s="108">
        <f>$AA$2- COUNTIF(acumulado_porcentaje[[#This Row],[ene-24]:[oct-24]],"")</f>
        <v>4</v>
      </c>
      <c r="M42" s="69" t="str">
        <f>IF(acumulado_porcentaje[[#This Row],[contar]]&gt;=$AA$3,SUM(SMALL(#REF!,1),SMALL(#REF!,2),SMALL(#REF!,3),SMALL(#REF!,4),SMALL(#REF!,5),SMALL(#REF!,6),SMALL(#REF!,7)),"#N/A")</f>
        <v>#N/A</v>
      </c>
      <c r="N42" t="str">
        <f>acumulado_porcentaje[[#This Row],[Nombre ]]&amp;" ("&amp;acumulado_porcentaje[[#This Row],[contar]]&amp;")"</f>
        <v>Juan Luis Jarillo Gómez (4)</v>
      </c>
      <c r="V42"/>
      <c r="W42"/>
    </row>
    <row r="43" spans="1:23" x14ac:dyDescent="0.2">
      <c r="A43" s="47" t="s">
        <v>1027</v>
      </c>
      <c r="H43">
        <v>5.6008850781357998E-2</v>
      </c>
      <c r="I43">
        <v>4.5469522240527194E-2</v>
      </c>
      <c r="J43">
        <v>0.26494078766180107</v>
      </c>
      <c r="K43">
        <v>0.40586565752128656</v>
      </c>
      <c r="L43" s="108">
        <f>$AA$2- COUNTIF(acumulado_porcentaje[[#This Row],[ene-24]:[oct-24]],"")</f>
        <v>4</v>
      </c>
      <c r="M43" s="69" t="str">
        <f>IF(acumulado_porcentaje[[#This Row],[contar]]&gt;=$AA$3,SUM(SMALL(#REF!,1),SMALL(#REF!,2),SMALL(#REF!,3),SMALL(#REF!,4),SMALL(#REF!,5),SMALL(#REF!,6),SMALL(#REF!,7)),"#N/A")</f>
        <v>#N/A</v>
      </c>
      <c r="N43" t="str">
        <f>acumulado_porcentaje[[#This Row],[Nombre ]]&amp;" ("&amp;acumulado_porcentaje[[#This Row],[contar]]&amp;")"</f>
        <v>Rafael Leiva (4)</v>
      </c>
      <c r="V43"/>
      <c r="W43"/>
    </row>
    <row r="44" spans="1:23" x14ac:dyDescent="0.2">
      <c r="A44" s="47" t="s">
        <v>942</v>
      </c>
      <c r="H44">
        <v>9.099709583736687E-2</v>
      </c>
      <c r="I44">
        <v>0.23448654585392636</v>
      </c>
      <c r="J44">
        <v>0.24841641421096106</v>
      </c>
      <c r="K44">
        <v>0.16288237149164297</v>
      </c>
      <c r="L44" s="108">
        <f>$AA$2- COUNTIF(acumulado_porcentaje[[#This Row],[ene-24]:[oct-24]],"")</f>
        <v>4</v>
      </c>
      <c r="M44" s="69" t="str">
        <f>IF(acumulado_porcentaje[[#This Row],[contar]]&gt;=$AA$3,SUM(SMALL(#REF!,1),SMALL(#REF!,2),SMALL(#REF!,3),SMALL(#REF!,4),SMALL(#REF!,5),SMALL(#REF!,6),SMALL(#REF!,7)),"#N/A")</f>
        <v>#N/A</v>
      </c>
      <c r="N44" t="str">
        <f>acumulado_porcentaje[[#This Row],[Nombre ]]&amp;" ("&amp;acumulado_porcentaje[[#This Row],[contar]]&amp;")"</f>
        <v>Rafael Tejada Bonilla (4)</v>
      </c>
      <c r="V44"/>
      <c r="W44"/>
    </row>
    <row r="45" spans="1:23" x14ac:dyDescent="0.2">
      <c r="A45" s="47" t="s">
        <v>399</v>
      </c>
      <c r="B45">
        <v>6.2078272604589469E-3</v>
      </c>
      <c r="C45">
        <v>0.64649999999999996</v>
      </c>
      <c r="F45">
        <v>0.15888157894736837</v>
      </c>
      <c r="G45">
        <v>0.22967189728958623</v>
      </c>
      <c r="L45" s="108">
        <f>$AA$2- COUNTIF(acumulado_porcentaje[[#This Row],[ene-24]:[oct-24]],"")</f>
        <v>4</v>
      </c>
      <c r="M45" s="69" t="str">
        <f>IF(acumulado_porcentaje[[#This Row],[contar]]&gt;=$AA$3,SUM(SMALL(#REF!,1),SMALL(#REF!,2),SMALL(#REF!,3),SMALL(#REF!,4),SMALL(#REF!,5),SMALL(#REF!,6),SMALL(#REF!,7)),"#N/A")</f>
        <v>#N/A</v>
      </c>
      <c r="N45" t="str">
        <f>acumulado_porcentaje[[#This Row],[Nombre ]]&amp;" ("&amp;acumulado_porcentaje[[#This Row],[contar]]&amp;")"</f>
        <v>Sergio Lopez Oliver (4)</v>
      </c>
      <c r="V45"/>
      <c r="W45"/>
    </row>
    <row r="46" spans="1:23" x14ac:dyDescent="0.2">
      <c r="A46" s="47" t="s">
        <v>944</v>
      </c>
      <c r="H46">
        <v>6.9146729359697353E-4</v>
      </c>
      <c r="I46">
        <v>0.1628775398132894</v>
      </c>
      <c r="J46">
        <v>0.43679427155053702</v>
      </c>
      <c r="L46" s="108">
        <f>$AA$2- COUNTIF(acumulado_porcentaje[[#This Row],[ene-24]:[oct-24]],"")</f>
        <v>3</v>
      </c>
      <c r="M46" s="69" t="str">
        <f>IF(acumulado_porcentaje[[#This Row],[contar]]&gt;=$AA$3,SUM(SMALL(#REF!,1),SMALL(#REF!,2),SMALL(#REF!,3),SMALL(#REF!,4),SMALL(#REF!,5),SMALL(#REF!,6),SMALL(#REF!,7)),"#N/A")</f>
        <v>#N/A</v>
      </c>
      <c r="N46" t="str">
        <f>acumulado_porcentaje[[#This Row],[Nombre ]]&amp;" ("&amp;acumulado_porcentaje[[#This Row],[contar]]&amp;")"</f>
        <v>Andrea Zarbano (3)</v>
      </c>
      <c r="V46"/>
      <c r="W46"/>
    </row>
    <row r="47" spans="1:23" x14ac:dyDescent="0.2">
      <c r="A47" s="47" t="s">
        <v>651</v>
      </c>
      <c r="F47">
        <v>0.56907894736842102</v>
      </c>
      <c r="G47">
        <v>0.30634807417974325</v>
      </c>
      <c r="H47">
        <v>3.6371179643202814E-2</v>
      </c>
      <c r="L47" s="108">
        <f>$AA$2- COUNTIF(acumulado_porcentaje[[#This Row],[ene-24]:[oct-24]],"")</f>
        <v>3</v>
      </c>
      <c r="M47" s="69" t="str">
        <f>IF(acumulado_porcentaje[[#This Row],[contar]]&gt;=$AA$3,SUM(SMALL(#REF!,1),SMALL(#REF!,2),SMALL(#REF!,3),SMALL(#REF!,4),SMALL(#REF!,5),SMALL(#REF!,6),SMALL(#REF!,7)),"#N/A")</f>
        <v>#N/A</v>
      </c>
      <c r="N47" t="str">
        <f>acumulado_porcentaje[[#This Row],[Nombre ]]&amp;" ("&amp;acumulado_porcentaje[[#This Row],[contar]]&amp;")"</f>
        <v>Carlos Martínez García (3)</v>
      </c>
      <c r="V47"/>
      <c r="W47"/>
    </row>
    <row r="48" spans="1:23" x14ac:dyDescent="0.2">
      <c r="A48" s="47" t="s">
        <v>541</v>
      </c>
      <c r="E48">
        <v>0.26773957571324053</v>
      </c>
      <c r="F48">
        <v>0.16217105263157894</v>
      </c>
      <c r="G48">
        <v>0.37321683309557774</v>
      </c>
      <c r="L48" s="108">
        <f>$AA$2- COUNTIF(acumulado_porcentaje[[#This Row],[ene-24]:[oct-24]],"")</f>
        <v>3</v>
      </c>
      <c r="M48" s="69" t="str">
        <f>IF(acumulado_porcentaje[[#This Row],[contar]]&gt;=$AA$3,SUM(SMALL(#REF!,1),SMALL(#REF!,2),SMALL(#REF!,3),SMALL(#REF!,4),SMALL(#REF!,5),SMALL(#REF!,6),SMALL(#REF!,7)),"#N/A")</f>
        <v>#N/A</v>
      </c>
      <c r="N48" t="str">
        <f>acumulado_porcentaje[[#This Row],[Nombre ]]&amp;" ("&amp;acumulado_porcentaje[[#This Row],[contar]]&amp;")"</f>
        <v>Daniel Reganon (3)</v>
      </c>
      <c r="V48"/>
      <c r="W48"/>
    </row>
    <row r="49" spans="1:23" x14ac:dyDescent="0.2">
      <c r="A49" s="47" t="s">
        <v>650</v>
      </c>
      <c r="F49">
        <v>0.17105263157894746</v>
      </c>
      <c r="G49">
        <v>0.54172610556348066</v>
      </c>
      <c r="H49">
        <v>0.3458719402572259</v>
      </c>
      <c r="L49" s="108">
        <f>$AA$2- COUNTIF(acumulado_porcentaje[[#This Row],[ene-24]:[oct-24]],"")</f>
        <v>3</v>
      </c>
      <c r="M49" s="69" t="str">
        <f>IF(acumulado_porcentaje[[#This Row],[contar]]&gt;=$AA$3,SUM(SMALL(#REF!,1),SMALL(#REF!,2),SMALL(#REF!,3),SMALL(#REF!,4),SMALL(#REF!,5),SMALL(#REF!,6),SMALL(#REF!,7)),"#N/A")</f>
        <v>#N/A</v>
      </c>
      <c r="N49" t="str">
        <f>acumulado_porcentaje[[#This Row],[Nombre ]]&amp;" ("&amp;acumulado_porcentaje[[#This Row],[contar]]&amp;")"</f>
        <v>Iñaki Moriana García (3)</v>
      </c>
      <c r="V49"/>
      <c r="W49"/>
    </row>
    <row r="50" spans="1:23" x14ac:dyDescent="0.2">
      <c r="A50" s="47" t="s">
        <v>400</v>
      </c>
      <c r="B50">
        <v>0.21052631578947381</v>
      </c>
      <c r="F50">
        <v>0.2434210526315789</v>
      </c>
      <c r="H50">
        <v>3.2360669340340251E-2</v>
      </c>
      <c r="L50" s="108">
        <f>$AA$2- COUNTIF(acumulado_porcentaje[[#This Row],[ene-24]:[oct-24]],"")</f>
        <v>3</v>
      </c>
      <c r="M50" s="69" t="str">
        <f>IF(acumulado_porcentaje[[#This Row],[contar]]&gt;=$AA$3,SUM(SMALL(#REF!,1),SMALL(#REF!,2),SMALL(#REF!,3),SMALL(#REF!,4),SMALL(#REF!,5),SMALL(#REF!,6),SMALL(#REF!,7)),"#N/A")</f>
        <v>#N/A</v>
      </c>
      <c r="N50" t="str">
        <f>acumulado_porcentaje[[#This Row],[Nombre ]]&amp;" ("&amp;acumulado_porcentaje[[#This Row],[contar]]&amp;")"</f>
        <v>Manuel Nogales Guillén (3)</v>
      </c>
      <c r="V50"/>
      <c r="W50"/>
    </row>
    <row r="51" spans="1:23" x14ac:dyDescent="0.2">
      <c r="A51" s="47" t="s">
        <v>1026</v>
      </c>
      <c r="I51">
        <v>3.5145524437122495E-2</v>
      </c>
      <c r="J51">
        <v>0.31120903332415301</v>
      </c>
      <c r="K51">
        <v>0.29643645537685281</v>
      </c>
      <c r="L51" s="108">
        <f>$AA$2- COUNTIF(acumulado_porcentaje[[#This Row],[ene-24]:[oct-24]],"")</f>
        <v>3</v>
      </c>
      <c r="M51" s="69" t="str">
        <f>IF(acumulado_porcentaje[[#This Row],[contar]]&gt;=$AA$3,SUM(SMALL(#REF!,1),SMALL(#REF!,2),SMALL(#REF!,3),SMALL(#REF!,4),SMALL(#REF!,5),SMALL(#REF!,6),SMALL(#REF!,7)),"#N/A")</f>
        <v>#N/A</v>
      </c>
      <c r="N51" t="str">
        <f>acumulado_porcentaje[[#This Row],[Nombre ]]&amp;" ("&amp;acumulado_porcentaje[[#This Row],[contar]]&amp;")"</f>
        <v>Pablo Herrero Del Barrio (3)</v>
      </c>
      <c r="V51"/>
      <c r="W51"/>
    </row>
    <row r="52" spans="1:23" x14ac:dyDescent="0.2">
      <c r="A52" s="47" t="s">
        <v>475</v>
      </c>
      <c r="D52">
        <v>0.7435897435897435</v>
      </c>
      <c r="K52">
        <v>0.32150741091138441</v>
      </c>
      <c r="L52" s="108">
        <f>$AA$2- COUNTIF(acumulado_porcentaje[[#This Row],[ene-24]:[oct-24]],"")</f>
        <v>2</v>
      </c>
      <c r="M52" s="69" t="str">
        <f>IF(acumulado_porcentaje[[#This Row],[contar]]&gt;=$AA$3,SUM(SMALL(#REF!,1),SMALL(#REF!,2),SMALL(#REF!,3),SMALL(#REF!,4),SMALL(#REF!,5),SMALL(#REF!,6),SMALL(#REF!,7)),"#N/A")</f>
        <v>#N/A</v>
      </c>
      <c r="N52" t="str">
        <f>acumulado_porcentaje[[#This Row],[Nombre ]]&amp;" ("&amp;acumulado_porcentaje[[#This Row],[contar]]&amp;")"</f>
        <v>Carlos Alcaide Méndez (2)</v>
      </c>
      <c r="V52"/>
      <c r="W52"/>
    </row>
    <row r="53" spans="1:23" x14ac:dyDescent="0.2">
      <c r="A53" s="47" t="s">
        <v>780</v>
      </c>
      <c r="G53">
        <v>0.31348074179743224</v>
      </c>
      <c r="I53">
        <v>0.21471718835804501</v>
      </c>
      <c r="L53" s="108">
        <f>$AA$2- COUNTIF(acumulado_porcentaje[[#This Row],[ene-24]:[oct-24]],"")</f>
        <v>2</v>
      </c>
      <c r="M53" s="69" t="str">
        <f>IF(acumulado_porcentaje[[#This Row],[contar]]&gt;=$AA$3,SUM(SMALL(#REF!,1),SMALL(#REF!,2),SMALL(#REF!,3),SMALL(#REF!,4),SMALL(#REF!,5),SMALL(#REF!,6),SMALL(#REF!,7)),"#N/A")</f>
        <v>#N/A</v>
      </c>
      <c r="N53" t="str">
        <f>acumulado_porcentaje[[#This Row],[Nombre ]]&amp;" ("&amp;acumulado_porcentaje[[#This Row],[contar]]&amp;")"</f>
        <v>Daniel Pérez Carrasco (2)</v>
      </c>
      <c r="V53"/>
      <c r="W53"/>
    </row>
    <row r="54" spans="1:23" x14ac:dyDescent="0.2">
      <c r="A54" s="47" t="s">
        <v>788</v>
      </c>
      <c r="F54">
        <v>0.22039473684210525</v>
      </c>
      <c r="G54">
        <v>4.7788873038516401E-2</v>
      </c>
      <c r="L54" s="108">
        <f>$AA$2- COUNTIF(acumulado_porcentaje[[#This Row],[ene-24]:[oct-24]],"")</f>
        <v>2</v>
      </c>
      <c r="M54" s="69" t="str">
        <f>IF(acumulado_porcentaje[[#This Row],[contar]]&gt;=$AA$3,SUM(SMALL(#REF!,1),SMALL(#REF!,2),SMALL(#REF!,3),SMALL(#REF!,4),SMALL(#REF!,5),SMALL(#REF!,6),SMALL(#REF!,7)),"#N/A")</f>
        <v>#N/A</v>
      </c>
      <c r="N54" t="str">
        <f>acumulado_porcentaje[[#This Row],[Nombre ]]&amp;" ("&amp;acumulado_porcentaje[[#This Row],[contar]]&amp;")"</f>
        <v>Gabino Jiménez-Castillo (2)</v>
      </c>
      <c r="V54"/>
      <c r="W54"/>
    </row>
    <row r="55" spans="1:23" x14ac:dyDescent="0.2">
      <c r="A55" s="47" t="s">
        <v>224</v>
      </c>
      <c r="B55">
        <v>0.10175438596491218</v>
      </c>
      <c r="C55">
        <v>0.80899999999999994</v>
      </c>
      <c r="L55" s="108">
        <f>$AA$2- COUNTIF(acumulado_porcentaje[[#This Row],[ene-24]:[oct-24]],"")</f>
        <v>2</v>
      </c>
      <c r="M55" s="69" t="str">
        <f>IF(acumulado_porcentaje[[#This Row],[contar]]&gt;=$AA$3,SUM(SMALL(#REF!,1),SMALL(#REF!,2),SMALL(#REF!,3),SMALL(#REF!,4),SMALL(#REF!,5),SMALL(#REF!,6),SMALL(#REF!,7)),"#N/A")</f>
        <v>#N/A</v>
      </c>
      <c r="N55" t="str">
        <f>acumulado_porcentaje[[#This Row],[Nombre ]]&amp;" ("&amp;acumulado_porcentaje[[#This Row],[contar]]&amp;")"</f>
        <v>Jesús López (2)</v>
      </c>
      <c r="V55"/>
      <c r="W55"/>
    </row>
    <row r="56" spans="1:23" x14ac:dyDescent="0.2">
      <c r="A56" s="47" t="s">
        <v>1103</v>
      </c>
      <c r="J56">
        <v>0.25667860093638117</v>
      </c>
      <c r="K56">
        <v>4.4623147272153864E-2</v>
      </c>
      <c r="L56" s="108">
        <f>$AA$2- COUNTIF(acumulado_porcentaje[[#This Row],[ene-24]:[oct-24]],"")</f>
        <v>2</v>
      </c>
      <c r="M56" s="69" t="str">
        <f>IF(acumulado_porcentaje[[#This Row],[contar]]&gt;=$AA$3,SUM(SMALL(#REF!,1),SMALL(#REF!,2),SMALL(#REF!,3),SMALL(#REF!,4),SMALL(#REF!,5),SMALL(#REF!,6),SMALL(#REF!,7)),"#N/A")</f>
        <v>#N/A</v>
      </c>
      <c r="N56" t="str">
        <f>acumulado_porcentaje[[#This Row],[Nombre ]]&amp;" ("&amp;acumulado_porcentaje[[#This Row],[contar]]&amp;")"</f>
        <v>Josep Vidal (2)</v>
      </c>
      <c r="V56"/>
      <c r="W56"/>
    </row>
    <row r="57" spans="1:23" x14ac:dyDescent="0.2">
      <c r="A57" s="47" t="s">
        <v>948</v>
      </c>
      <c r="H57">
        <v>0.19278108145484724</v>
      </c>
      <c r="I57">
        <v>0.23811092806150461</v>
      </c>
      <c r="L57" s="108">
        <f>$AA$2- COUNTIF(acumulado_porcentaje[[#This Row],[ene-24]:[oct-24]],"")</f>
        <v>2</v>
      </c>
      <c r="M57" s="69" t="str">
        <f>IF(acumulado_porcentaje[[#This Row],[contar]]&gt;=$AA$3,SUM(SMALL(#REF!,1),SMALL(#REF!,2),SMALL(#REF!,3),SMALL(#REF!,4),SMALL(#REF!,5),SMALL(#REF!,6),SMALL(#REF!,7)),"#N/A")</f>
        <v>#N/A</v>
      </c>
      <c r="N57" t="str">
        <f>acumulado_porcentaje[[#This Row],[Nombre ]]&amp;" ("&amp;acumulado_porcentaje[[#This Row],[contar]]&amp;")"</f>
        <v>Juan José Cuervo Arias (2)</v>
      </c>
      <c r="V57"/>
      <c r="W57"/>
    </row>
    <row r="58" spans="1:23" x14ac:dyDescent="0.2">
      <c r="A58" s="47" t="s">
        <v>405</v>
      </c>
      <c r="B58">
        <v>0.11106612685560041</v>
      </c>
      <c r="H58">
        <v>0.16083529249066522</v>
      </c>
      <c r="L58" s="108">
        <f>$AA$2- COUNTIF(acumulado_porcentaje[[#This Row],[ene-24]:[oct-24]],"")</f>
        <v>2</v>
      </c>
      <c r="M58" s="69" t="str">
        <f>IF(acumulado_porcentaje[[#This Row],[contar]]&gt;=$AA$3,SUM(SMALL(#REF!,1),SMALL(#REF!,2),SMALL(#REF!,3),SMALL(#REF!,4),SMALL(#REF!,5),SMALL(#REF!,6),SMALL(#REF!,7)),"#N/A")</f>
        <v>#N/A</v>
      </c>
      <c r="N58" t="str">
        <f>acumulado_porcentaje[[#This Row],[Nombre ]]&amp;" ("&amp;acumulado_porcentaje[[#This Row],[contar]]&amp;")"</f>
        <v>Marc Soler Collell (2)</v>
      </c>
      <c r="V58"/>
      <c r="W58"/>
    </row>
    <row r="59" spans="1:23" x14ac:dyDescent="0.2">
      <c r="A59" s="47" t="s">
        <v>791</v>
      </c>
      <c r="G59">
        <v>2.1398002853067859E-3</v>
      </c>
      <c r="H59">
        <v>0.23800304245609183</v>
      </c>
      <c r="L59" s="108">
        <f>$AA$2- COUNTIF(acumulado_porcentaje[[#This Row],[ene-24]:[oct-24]],"")</f>
        <v>2</v>
      </c>
      <c r="M59" s="69" t="str">
        <f>IF(acumulado_porcentaje[[#This Row],[contar]]&gt;=$AA$3,SUM(SMALL(#REF!,1),SMALL(#REF!,2),SMALL(#REF!,3),SMALL(#REF!,4),SMALL(#REF!,5),SMALL(#REF!,6),SMALL(#REF!,7)),"#N/A")</f>
        <v>#N/A</v>
      </c>
      <c r="N59" t="str">
        <f>acumulado_porcentaje[[#This Row],[Nombre ]]&amp;" ("&amp;acumulado_porcentaje[[#This Row],[contar]]&amp;")"</f>
        <v>Paco Luis Pérez Zarco (2)</v>
      </c>
      <c r="V59"/>
      <c r="W59"/>
    </row>
    <row r="60" spans="1:23" x14ac:dyDescent="0.2">
      <c r="A60" s="47" t="s">
        <v>1106</v>
      </c>
      <c r="J60">
        <v>0.17364362434591019</v>
      </c>
      <c r="K60">
        <v>3.058971933144115E-2</v>
      </c>
      <c r="L60" s="108">
        <f>$AA$2- COUNTIF(acumulado_porcentaje[[#This Row],[ene-24]:[oct-24]],"")</f>
        <v>2</v>
      </c>
      <c r="M60" s="69" t="str">
        <f>IF(acumulado_porcentaje[[#This Row],[contar]]&gt;=$AA$3,SUM(SMALL(#REF!,1),SMALL(#REF!,2),SMALL(#REF!,3),SMALL(#REF!,4),SMALL(#REF!,5),SMALL(#REF!,6),SMALL(#REF!,7)),"#N/A")</f>
        <v>#N/A</v>
      </c>
      <c r="N60" t="str">
        <f>acumulado_porcentaje[[#This Row],[Nombre ]]&amp;" ("&amp;acumulado_porcentaje[[#This Row],[contar]]&amp;")"</f>
        <v>Ruben Sanjuan Escribano (2)</v>
      </c>
      <c r="V60"/>
      <c r="W60"/>
    </row>
    <row r="61" spans="1:23" x14ac:dyDescent="0.2">
      <c r="A61" s="47" t="s">
        <v>653</v>
      </c>
      <c r="F61">
        <v>0.38289473684210518</v>
      </c>
      <c r="G61">
        <v>1.3373751783166904E-2</v>
      </c>
      <c r="L61" s="108">
        <f>$AA$2- COUNTIF(acumulado_porcentaje[[#This Row],[ene-24]:[oct-24]],"")</f>
        <v>2</v>
      </c>
      <c r="M61" s="69" t="str">
        <f>IF(acumulado_porcentaje[[#This Row],[contar]]&gt;=$AA$3,SUM(SMALL(#REF!,1),SMALL(#REF!,2),SMALL(#REF!,3),SMALL(#REF!,4),SMALL(#REF!,5),SMALL(#REF!,6),SMALL(#REF!,7)),"#N/A")</f>
        <v>#N/A</v>
      </c>
      <c r="N61" t="str">
        <f>acumulado_porcentaje[[#This Row],[Nombre ]]&amp;" ("&amp;acumulado_porcentaje[[#This Row],[contar]]&amp;")"</f>
        <v>Sergio Gallego Bolaños (2)</v>
      </c>
      <c r="V61"/>
      <c r="W61"/>
    </row>
    <row r="62" spans="1:23" x14ac:dyDescent="0.2">
      <c r="A62" s="47" t="s">
        <v>338</v>
      </c>
      <c r="C62">
        <v>1.2309999999999999</v>
      </c>
      <c r="L62" s="108">
        <f>$AA$2- COUNTIF(acumulado_porcentaje[[#This Row],[ene-24]:[oct-24]],"")</f>
        <v>1</v>
      </c>
      <c r="M62" s="69" t="str">
        <f>IF(acumulado_porcentaje[[#This Row],[contar]]&gt;=$AA$3,SUM(SMALL(#REF!,1),SMALL(#REF!,2),SMALL(#REF!,3),SMALL(#REF!,4),SMALL(#REF!,5),SMALL(#REF!,6),SMALL(#REF!,7)),"#N/A")</f>
        <v>#N/A</v>
      </c>
      <c r="N62" t="str">
        <f>acumulado_porcentaje[[#This Row],[Nombre ]]&amp;" ("&amp;acumulado_porcentaje[[#This Row],[contar]]&amp;")"</f>
        <v>Alejandro Ld (1)</v>
      </c>
      <c r="V62"/>
      <c r="W62"/>
    </row>
    <row r="63" spans="1:23" x14ac:dyDescent="0.2">
      <c r="A63" s="47" t="s">
        <v>787</v>
      </c>
      <c r="G63">
        <v>4.7610556348074214E-2</v>
      </c>
      <c r="L63" s="108">
        <f>$AA$2- COUNTIF(acumulado_porcentaje[[#This Row],[ene-24]:[oct-24]],"")</f>
        <v>1</v>
      </c>
      <c r="M63" s="69" t="str">
        <f>IF(acumulado_porcentaje[[#This Row],[contar]]&gt;=$AA$3,SUM(SMALL(#REF!,1),SMALL(#REF!,2),SMALL(#REF!,3),SMALL(#REF!,4),SMALL(#REF!,5),SMALL(#REF!,6),SMALL(#REF!,7)),"#N/A")</f>
        <v>#N/A</v>
      </c>
      <c r="N63" t="str">
        <f>acumulado_porcentaje[[#This Row],[Nombre ]]&amp;" ("&amp;acumulado_porcentaje[[#This Row],[contar]]&amp;")"</f>
        <v>Alejandro Lopez Fernandez (1)</v>
      </c>
      <c r="V63"/>
      <c r="W63"/>
    </row>
    <row r="64" spans="1:23" x14ac:dyDescent="0.2">
      <c r="A64" s="47" t="s">
        <v>402</v>
      </c>
      <c r="B64">
        <v>2.6180836707152658E-2</v>
      </c>
      <c r="L64" s="108">
        <f>$AA$2- COUNTIF(acumulado_porcentaje[[#This Row],[ene-24]:[oct-24]],"")</f>
        <v>1</v>
      </c>
      <c r="M64" s="69" t="str">
        <f>IF(acumulado_porcentaje[[#This Row],[contar]]&gt;=$AA$3,SUM(SMALL(#REF!,1),SMALL(#REF!,2),SMALL(#REF!,3),SMALL(#REF!,4),SMALL(#REF!,5),SMALL(#REF!,6),SMALL(#REF!,7)),"#N/A")</f>
        <v>#N/A</v>
      </c>
      <c r="N64" t="str">
        <f>acumulado_porcentaje[[#This Row],[Nombre ]]&amp;" ("&amp;acumulado_porcentaje[[#This Row],[contar]]&amp;")"</f>
        <v>Alfredo Cotrina Martínez (1)</v>
      </c>
      <c r="V64"/>
      <c r="W64"/>
    </row>
    <row r="65" spans="1:23" x14ac:dyDescent="0.2">
      <c r="A65" s="47" t="s">
        <v>1029</v>
      </c>
      <c r="I65">
        <v>0.22624931356397579</v>
      </c>
      <c r="L65" s="108">
        <f>$AA$2- COUNTIF(acumulado_porcentaje[[#This Row],[ene-24]:[oct-24]],"")</f>
        <v>1</v>
      </c>
      <c r="M65" s="69" t="str">
        <f>IF(acumulado_porcentaje[[#This Row],[contar]]&gt;=$AA$3,SUM(SMALL(#REF!,1),SMALL(#REF!,2),SMALL(#REF!,3),SMALL(#REF!,4),SMALL(#REF!,5),SMALL(#REF!,6),SMALL(#REF!,7)),"#N/A")</f>
        <v>#N/A</v>
      </c>
      <c r="N65" t="str">
        <f>acumulado_porcentaje[[#This Row],[Nombre ]]&amp;" ("&amp;acumulado_porcentaje[[#This Row],[contar]]&amp;")"</f>
        <v>Andres Canal (1)</v>
      </c>
      <c r="V65"/>
      <c r="W65"/>
    </row>
    <row r="66" spans="1:23" x14ac:dyDescent="0.2">
      <c r="A66" s="47" t="s">
        <v>415</v>
      </c>
      <c r="C66">
        <v>0.75249999999999984</v>
      </c>
      <c r="L66" s="108">
        <f>$AA$2- COUNTIF(acumulado_porcentaje[[#This Row],[ene-24]:[oct-24]],"")</f>
        <v>1</v>
      </c>
      <c r="M66" s="69" t="str">
        <f>IF(acumulado_porcentaje[[#This Row],[contar]]&gt;=$AA$3,SUM(SMALL(#REF!,1),SMALL(#REF!,2),SMALL(#REF!,3),SMALL(#REF!,4),SMALL(#REF!,5),SMALL(#REF!,6),SMALL(#REF!,7)),"#N/A")</f>
        <v>#N/A</v>
      </c>
      <c r="N66" t="str">
        <f>acumulado_porcentaje[[#This Row],[Nombre ]]&amp;" ("&amp;acumulado_porcentaje[[#This Row],[contar]]&amp;")"</f>
        <v>Antonio López Gómez-Millán (1)</v>
      </c>
      <c r="V66"/>
      <c r="W66"/>
    </row>
    <row r="67" spans="1:23" x14ac:dyDescent="0.2">
      <c r="A67" s="47" t="s">
        <v>216</v>
      </c>
      <c r="B67">
        <v>1.4170040485830114E-2</v>
      </c>
      <c r="L67" s="108">
        <f>$AA$2- COUNTIF(acumulado_porcentaje[[#This Row],[ene-24]:[oct-24]],"")</f>
        <v>1</v>
      </c>
      <c r="M67" s="69" t="str">
        <f>IF(acumulado_porcentaje[[#This Row],[contar]]&gt;=$AA$3,SUM(SMALL(#REF!,1),SMALL(#REF!,2),SMALL(#REF!,3),SMALL(#REF!,4),SMALL(#REF!,5),SMALL(#REF!,6),SMALL(#REF!,7)),"#N/A")</f>
        <v>#N/A</v>
      </c>
      <c r="N67" t="str">
        <f>acumulado_porcentaje[[#This Row],[Nombre ]]&amp;" ("&amp;acumulado_porcentaje[[#This Row],[contar]]&amp;")"</f>
        <v>Brais García (1)</v>
      </c>
      <c r="V67"/>
      <c r="W67"/>
    </row>
    <row r="68" spans="1:23" x14ac:dyDescent="0.2">
      <c r="A68" s="47" t="s">
        <v>340</v>
      </c>
      <c r="C68">
        <v>0.53825000000000001</v>
      </c>
      <c r="L68" s="108">
        <f>$AA$2- COUNTIF(acumulado_porcentaje[[#This Row],[ene-24]:[oct-24]],"")</f>
        <v>1</v>
      </c>
      <c r="M68" s="69" t="str">
        <f>IF(acumulado_porcentaje[[#This Row],[contar]]&gt;=$AA$3,SUM(SMALL(#REF!,1),SMALL(#REF!,2),SMALL(#REF!,3),SMALL(#REF!,4),SMALL(#REF!,5),SMALL(#REF!,6),SMALL(#REF!,7)),"#N/A")</f>
        <v>#N/A</v>
      </c>
      <c r="N68" t="str">
        <f>acumulado_porcentaje[[#This Row],[Nombre ]]&amp;" ("&amp;acumulado_porcentaje[[#This Row],[contar]]&amp;")"</f>
        <v>Cristian Trapero (1)</v>
      </c>
      <c r="V68"/>
      <c r="W68"/>
    </row>
    <row r="69" spans="1:23" x14ac:dyDescent="0.2">
      <c r="A69" s="47" t="s">
        <v>1126</v>
      </c>
      <c r="K69">
        <v>0.14443393251340264</v>
      </c>
      <c r="L69" s="108">
        <f>$AA$2- COUNTIF(acumulado_porcentaje[[#This Row],[ene-24]:[oct-24]],"")</f>
        <v>1</v>
      </c>
      <c r="M69" s="69" t="str">
        <f>IF(acumulado_porcentaje[[#This Row],[contar]]&gt;=$AA$3,SUM(SMALL(#REF!,1),SMALL(#REF!,2),SMALL(#REF!,3),SMALL(#REF!,4),SMALL(#REF!,5),SMALL(#REF!,6),SMALL(#REF!,7)),"#N/A")</f>
        <v>#N/A</v>
      </c>
      <c r="N69" t="str">
        <f>acumulado_porcentaje[[#This Row],[Nombre ]]&amp;" ("&amp;acumulado_porcentaje[[#This Row],[contar]]&amp;")"</f>
        <v>Cristoauditor Monasor Merino (1)</v>
      </c>
      <c r="V69"/>
      <c r="W69"/>
    </row>
    <row r="70" spans="1:23" x14ac:dyDescent="0.2">
      <c r="A70" s="47" t="s">
        <v>1135</v>
      </c>
      <c r="K70">
        <v>1.608325449385057E-2</v>
      </c>
      <c r="L70" s="108">
        <f>$AA$2- COUNTIF(acumulado_porcentaje[[#This Row],[ene-24]:[oct-24]],"")</f>
        <v>1</v>
      </c>
      <c r="M70" s="69" t="str">
        <f>IF(acumulado_porcentaje[[#This Row],[contar]]&gt;=$AA$3,SUM(SMALL(#REF!,1),SMALL(#REF!,2),SMALL(#REF!,3),SMALL(#REF!,4),SMALL(#REF!,5),SMALL(#REF!,6),SMALL(#REF!,7)),"#N/A")</f>
        <v>#N/A</v>
      </c>
      <c r="N70" t="str">
        <f>acumulado_porcentaje[[#This Row],[Nombre ]]&amp;" ("&amp;acumulado_porcentaje[[#This Row],[contar]]&amp;")"</f>
        <v>Diego Montesino (1)</v>
      </c>
      <c r="V70"/>
      <c r="W70"/>
    </row>
    <row r="71" spans="1:23" x14ac:dyDescent="0.2">
      <c r="A71" s="47" t="s">
        <v>472</v>
      </c>
      <c r="D71">
        <v>0.6060157790927021</v>
      </c>
      <c r="L71" s="108">
        <f>$AA$2- COUNTIF(acumulado_porcentaje[[#This Row],[ene-24]:[oct-24]],"")</f>
        <v>1</v>
      </c>
      <c r="M71" s="69" t="str">
        <f>IF(acumulado_porcentaje[[#This Row],[contar]]&gt;=$AA$3,SUM(SMALL(#REF!,1),SMALL(#REF!,2),SMALL(#REF!,3),SMALL(#REF!,4),SMALL(#REF!,5),SMALL(#REF!,6),SMALL(#REF!,7)),"#N/A")</f>
        <v>#N/A</v>
      </c>
      <c r="N71" t="str">
        <f>acumulado_porcentaje[[#This Row],[Nombre ]]&amp;" ("&amp;acumulado_porcentaje[[#This Row],[contar]]&amp;")"</f>
        <v>Eduardo Caro Eduardo Caro (1)</v>
      </c>
      <c r="V71"/>
      <c r="W71"/>
    </row>
    <row r="72" spans="1:23" x14ac:dyDescent="0.2">
      <c r="A72" s="47" t="s">
        <v>951</v>
      </c>
      <c r="H72">
        <v>0.47946342138016873</v>
      </c>
      <c r="L72" s="108">
        <f>$AA$2- COUNTIF(acumulado_porcentaje[[#This Row],[ene-24]:[oct-24]],"")</f>
        <v>1</v>
      </c>
      <c r="M72" s="69" t="str">
        <f>IF(acumulado_porcentaje[[#This Row],[contar]]&gt;=$AA$3,SUM(SMALL(#REF!,1),SMALL(#REF!,2),SMALL(#REF!,3),SMALL(#REF!,4),SMALL(#REF!,5),SMALL(#REF!,6),SMALL(#REF!,7)),"#N/A")</f>
        <v>#N/A</v>
      </c>
      <c r="N72" t="str">
        <f>acumulado_porcentaje[[#This Row],[Nombre ]]&amp;" ("&amp;acumulado_porcentaje[[#This Row],[contar]]&amp;")"</f>
        <v>Gonzalo Cruz Ortega (1)</v>
      </c>
      <c r="V72"/>
      <c r="W72"/>
    </row>
    <row r="73" spans="1:23" x14ac:dyDescent="0.2">
      <c r="A73" s="47" t="s">
        <v>950</v>
      </c>
      <c r="H73">
        <v>0.39980638915779287</v>
      </c>
      <c r="L73" s="108">
        <f>$AA$2- COUNTIF(acumulado_porcentaje[[#This Row],[ene-24]:[oct-24]],"")</f>
        <v>1</v>
      </c>
      <c r="M73" s="69" t="str">
        <f>IF(acumulado_porcentaje[[#This Row],[contar]]&gt;=$AA$3,SUM(SMALL(#REF!,1),SMALL(#REF!,2),SMALL(#REF!,3),SMALL(#REF!,4),SMALL(#REF!,5),SMALL(#REF!,6),SMALL(#REF!,7)),"#N/A")</f>
        <v>#N/A</v>
      </c>
      <c r="N73" t="str">
        <f>acumulado_porcentaje[[#This Row],[Nombre ]]&amp;" ("&amp;acumulado_porcentaje[[#This Row],[contar]]&amp;")"</f>
        <v>Hugo Pimiento (1)</v>
      </c>
      <c r="V73"/>
      <c r="W73"/>
    </row>
    <row r="74" spans="1:23" x14ac:dyDescent="0.2">
      <c r="A74" s="47" t="s">
        <v>783</v>
      </c>
      <c r="G74">
        <v>0.3601997146932952</v>
      </c>
      <c r="L74" s="108">
        <f>$AA$2- COUNTIF(acumulado_porcentaje[[#This Row],[ene-24]:[oct-24]],"")</f>
        <v>1</v>
      </c>
      <c r="M74" s="69" t="str">
        <f>IF(acumulado_porcentaje[[#This Row],[contar]]&gt;=$AA$3,SUM(SMALL(#REF!,1),SMALL(#REF!,2),SMALL(#REF!,3),SMALL(#REF!,4),SMALL(#REF!,5),SMALL(#REF!,6),SMALL(#REF!,7)),"#N/A")</f>
        <v>#N/A</v>
      </c>
      <c r="N74" t="str">
        <f>acumulado_porcentaje[[#This Row],[Nombre ]]&amp;" ("&amp;acumulado_porcentaje[[#This Row],[contar]]&amp;")"</f>
        <v>Ignacio Irigoyen (1)</v>
      </c>
      <c r="V74"/>
      <c r="W74"/>
    </row>
    <row r="75" spans="1:23" x14ac:dyDescent="0.2">
      <c r="A75" s="47" t="s">
        <v>1104</v>
      </c>
      <c r="J75">
        <v>0.23106582208757917</v>
      </c>
      <c r="L75" s="108">
        <f>$AA$2- COUNTIF(acumulado_porcentaje[[#This Row],[ene-24]:[oct-24]],"")</f>
        <v>1</v>
      </c>
      <c r="M75" s="69" t="str">
        <f>IF(acumulado_porcentaje[[#This Row],[contar]]&gt;=$AA$3,SUM(SMALL(#REF!,1),SMALL(#REF!,2),SMALL(#REF!,3),SMALL(#REF!,4),SMALL(#REF!,5),SMALL(#REF!,6),SMALL(#REF!,7)),"#N/A")</f>
        <v>#N/A</v>
      </c>
      <c r="N75" t="str">
        <f>acumulado_porcentaje[[#This Row],[Nombre ]]&amp;" ("&amp;acumulado_porcentaje[[#This Row],[contar]]&amp;")"</f>
        <v>Jagoba Riveiro Zafra (1)</v>
      </c>
      <c r="V75"/>
      <c r="W75"/>
    </row>
    <row r="76" spans="1:23" x14ac:dyDescent="0.2">
      <c r="A76" s="47" t="s">
        <v>223</v>
      </c>
      <c r="B76">
        <v>1.0796221322537075E-2</v>
      </c>
      <c r="L76" s="108">
        <f>$AA$2- COUNTIF(acumulado_porcentaje[[#This Row],[ene-24]:[oct-24]],"")</f>
        <v>1</v>
      </c>
      <c r="M76" s="69" t="str">
        <f>IF(acumulado_porcentaje[[#This Row],[contar]]&gt;=$AA$3,SUM(SMALL(#REF!,1),SMALL(#REF!,2),SMALL(#REF!,3),SMALL(#REF!,4),SMALL(#REF!,5),SMALL(#REF!,6),SMALL(#REF!,7)),"#N/A")</f>
        <v>#N/A</v>
      </c>
      <c r="N76" t="str">
        <f>acumulado_porcentaje[[#This Row],[Nombre ]]&amp;" ("&amp;acumulado_porcentaje[[#This Row],[contar]]&amp;")"</f>
        <v>Javier Cervera (1)</v>
      </c>
      <c r="V76"/>
      <c r="W76"/>
    </row>
    <row r="77" spans="1:23" x14ac:dyDescent="0.2">
      <c r="A77" s="47" t="s">
        <v>779</v>
      </c>
      <c r="G77">
        <v>0.22824536376604845</v>
      </c>
      <c r="L77" s="108">
        <f>$AA$2- COUNTIF(acumulado_porcentaje[[#This Row],[ene-24]:[oct-24]],"")</f>
        <v>1</v>
      </c>
      <c r="M77" s="69" t="str">
        <f>IF(acumulado_porcentaje[[#This Row],[contar]]&gt;=$AA$3,SUM(SMALL(#REF!,1),SMALL(#REF!,2),SMALL(#REF!,3),SMALL(#REF!,4),SMALL(#REF!,5),SMALL(#REF!,6),SMALL(#REF!,7)),"#N/A")</f>
        <v>#N/A</v>
      </c>
      <c r="N77" t="str">
        <f>acumulado_porcentaje[[#This Row],[Nombre ]]&amp;" ("&amp;acumulado_porcentaje[[#This Row],[contar]]&amp;")"</f>
        <v>Javier Fernandez Maza (1)</v>
      </c>
      <c r="V77"/>
      <c r="W77"/>
    </row>
    <row r="78" spans="1:23" x14ac:dyDescent="0.2">
      <c r="A78" s="47" t="s">
        <v>789</v>
      </c>
      <c r="G78">
        <v>3.9229671897289386E-3</v>
      </c>
      <c r="L78" s="108">
        <f>$AA$2- COUNTIF(acumulado_porcentaje[[#This Row],[ene-24]:[oct-24]],"")</f>
        <v>1</v>
      </c>
      <c r="M78" s="69" t="str">
        <f>IF(acumulado_porcentaje[[#This Row],[contar]]&gt;=$AA$3,SUM(SMALL(#REF!,1),SMALL(#REF!,2),SMALL(#REF!,3),SMALL(#REF!,4),SMALL(#REF!,5),SMALL(#REF!,6),SMALL(#REF!,7)),"#N/A")</f>
        <v>#N/A</v>
      </c>
      <c r="N78" t="str">
        <f>acumulado_porcentaje[[#This Row],[Nombre ]]&amp;" ("&amp;acumulado_porcentaje[[#This Row],[contar]]&amp;")"</f>
        <v>Javier Lazaro (1)</v>
      </c>
      <c r="V78"/>
      <c r="W78"/>
    </row>
    <row r="79" spans="1:23" x14ac:dyDescent="0.2">
      <c r="A79" s="47" t="s">
        <v>946</v>
      </c>
      <c r="H79">
        <v>0.10565620246162356</v>
      </c>
      <c r="L79" s="108">
        <f>$AA$2- COUNTIF(acumulado_porcentaje[[#This Row],[ene-24]:[oct-24]],"")</f>
        <v>1</v>
      </c>
      <c r="M79" s="69" t="str">
        <f>IF(acumulado_porcentaje[[#This Row],[contar]]&gt;=$AA$3,SUM(SMALL(#REF!,1),SMALL(#REF!,2),SMALL(#REF!,3),SMALL(#REF!,4),SMALL(#REF!,5),SMALL(#REF!,6),SMALL(#REF!,7)),"#N/A")</f>
        <v>#N/A</v>
      </c>
      <c r="N79" t="str">
        <f>acumulado_porcentaje[[#This Row],[Nombre ]]&amp;" ("&amp;acumulado_porcentaje[[#This Row],[contar]]&amp;")"</f>
        <v>Javier Perez De Eulate (1)</v>
      </c>
      <c r="V79"/>
      <c r="W79"/>
    </row>
    <row r="80" spans="1:23" x14ac:dyDescent="0.2">
      <c r="A80" s="47" t="s">
        <v>1113</v>
      </c>
      <c r="K80">
        <v>1.2330495111952067</v>
      </c>
      <c r="L80" s="108">
        <f>$AA$2- COUNTIF(acumulado_porcentaje[[#This Row],[ene-24]:[oct-24]],"")</f>
        <v>1</v>
      </c>
      <c r="M80" s="69" t="str">
        <f>IF(acumulado_porcentaje[[#This Row],[contar]]&gt;=$AA$3,SUM(SMALL(#REF!,1),SMALL(#REF!,2),SMALL(#REF!,3),SMALL(#REF!,4),SMALL(#REF!,5),SMALL(#REF!,6),SMALL(#REF!,7)),"#N/A")</f>
        <v>#N/A</v>
      </c>
      <c r="N80" t="str">
        <f>acumulado_porcentaje[[#This Row],[Nombre ]]&amp;" ("&amp;acumulado_porcentaje[[#This Row],[contar]]&amp;")"</f>
        <v>Javier Sáez (1)</v>
      </c>
      <c r="V80"/>
      <c r="W80"/>
    </row>
    <row r="81" spans="1:23" x14ac:dyDescent="0.2">
      <c r="A81" s="47" t="s">
        <v>781</v>
      </c>
      <c r="G81">
        <v>0.43206134094151211</v>
      </c>
      <c r="L81" s="108">
        <f>$AA$2- COUNTIF(acumulado_porcentaje[[#This Row],[ene-24]:[oct-24]],"")</f>
        <v>1</v>
      </c>
      <c r="M81" s="69" t="str">
        <f>IF(acumulado_porcentaje[[#This Row],[contar]]&gt;=$AA$3,SUM(SMALL(#REF!,1),SMALL(#REF!,2),SMALL(#REF!,3),SMALL(#REF!,4),SMALL(#REF!,5),SMALL(#REF!,6),SMALL(#REF!,7)),"#N/A")</f>
        <v>#N/A</v>
      </c>
      <c r="N81" t="str">
        <f>acumulado_porcentaje[[#This Row],[Nombre ]]&amp;" ("&amp;acumulado_porcentaje[[#This Row],[contar]]&amp;")"</f>
        <v>Jorge Gonzalez Onieva Johansson (1)</v>
      </c>
      <c r="V81"/>
      <c r="W81"/>
    </row>
    <row r="82" spans="1:23" x14ac:dyDescent="0.2">
      <c r="A82" s="47" t="s">
        <v>947</v>
      </c>
      <c r="H82">
        <v>0.11160282118655797</v>
      </c>
      <c r="L82" s="108">
        <f>$AA$2- COUNTIF(acumulado_porcentaje[[#This Row],[ene-24]:[oct-24]],"")</f>
        <v>1</v>
      </c>
      <c r="M82" s="69" t="str">
        <f>IF(acumulado_porcentaje[[#This Row],[contar]]&gt;=$AA$3,SUM(SMALL(#REF!,1),SMALL(#REF!,2),SMALL(#REF!,3),SMALL(#REF!,4),SMALL(#REF!,5),SMALL(#REF!,6),SMALL(#REF!,7)),"#N/A")</f>
        <v>#N/A</v>
      </c>
      <c r="N82" t="str">
        <f>acumulado_porcentaje[[#This Row],[Nombre ]]&amp;" ("&amp;acumulado_porcentaje[[#This Row],[contar]]&amp;")"</f>
        <v>Jose Carlos Perez (1)</v>
      </c>
      <c r="V82"/>
      <c r="W82"/>
    </row>
    <row r="83" spans="1:23" x14ac:dyDescent="0.2">
      <c r="A83" s="47" t="s">
        <v>932</v>
      </c>
      <c r="H83">
        <v>0.11616650532429823</v>
      </c>
      <c r="L83" s="108">
        <f>$AA$2- COUNTIF(acumulado_porcentaje[[#This Row],[ene-24]:[oct-24]],"")</f>
        <v>1</v>
      </c>
      <c r="M83" s="69" t="str">
        <f>IF(acumulado_porcentaje[[#This Row],[contar]]&gt;=$AA$3,SUM(SMALL(#REF!,1),SMALL(#REF!,2),SMALL(#REF!,3),SMALL(#REF!,4),SMALL(#REF!,5),SMALL(#REF!,6),SMALL(#REF!,7)),"#N/A")</f>
        <v>#N/A</v>
      </c>
      <c r="N83" t="str">
        <f>acumulado_porcentaje[[#This Row],[Nombre ]]&amp;" ("&amp;acumulado_porcentaje[[#This Row],[contar]]&amp;")"</f>
        <v>José Valle (1)</v>
      </c>
      <c r="V83"/>
      <c r="W83"/>
    </row>
    <row r="84" spans="1:23" x14ac:dyDescent="0.2">
      <c r="A84" s="47" t="s">
        <v>945</v>
      </c>
      <c r="H84">
        <v>5.7253491909832671E-2</v>
      </c>
      <c r="L84" s="108">
        <f>$AA$2- COUNTIF(acumulado_porcentaje[[#This Row],[ene-24]:[oct-24]],"")</f>
        <v>1</v>
      </c>
      <c r="M84" s="69" t="str">
        <f>IF(acumulado_porcentaje[[#This Row],[contar]]&gt;=$AA$3,SUM(SMALL(#REF!,1),SMALL(#REF!,2),SMALL(#REF!,3),SMALL(#REF!,4),SMALL(#REF!,5),SMALL(#REF!,6),SMALL(#REF!,7)),"#N/A")</f>
        <v>#N/A</v>
      </c>
      <c r="N84" t="str">
        <f>acumulado_porcentaje[[#This Row],[Nombre ]]&amp;" ("&amp;acumulado_porcentaje[[#This Row],[contar]]&amp;")"</f>
        <v>Juan Redondo Ferrara (1)</v>
      </c>
      <c r="V84"/>
      <c r="W84"/>
    </row>
    <row r="85" spans="1:23" x14ac:dyDescent="0.2">
      <c r="A85" s="47" t="s">
        <v>220</v>
      </c>
      <c r="B85">
        <v>0.14979757085020257</v>
      </c>
      <c r="L85" s="108">
        <f>$AA$2- COUNTIF(acumulado_porcentaje[[#This Row],[ene-24]:[oct-24]],"")</f>
        <v>1</v>
      </c>
      <c r="M85" s="69" t="str">
        <f>IF(acumulado_porcentaje[[#This Row],[contar]]&gt;=$AA$3,SUM(SMALL(#REF!,1),SMALL(#REF!,2),SMALL(#REF!,3),SMALL(#REF!,4),SMALL(#REF!,5),SMALL(#REF!,6),SMALL(#REF!,7)),"#N/A")</f>
        <v>#N/A</v>
      </c>
      <c r="N85" t="str">
        <f>acumulado_porcentaje[[#This Row],[Nombre ]]&amp;" ("&amp;acumulado_porcentaje[[#This Row],[contar]]&amp;")"</f>
        <v>Juan Sanjorge Sanjorge Grandal (1)</v>
      </c>
      <c r="V85"/>
      <c r="W85"/>
    </row>
    <row r="86" spans="1:23" x14ac:dyDescent="0.2">
      <c r="A86" s="47" t="s">
        <v>949</v>
      </c>
      <c r="H86">
        <v>0.30811782602682891</v>
      </c>
      <c r="L86" s="108">
        <f>$AA$2- COUNTIF(acumulado_porcentaje[[#This Row],[ene-24]:[oct-24]],"")</f>
        <v>1</v>
      </c>
      <c r="M86" s="69" t="str">
        <f>IF(acumulado_porcentaje[[#This Row],[contar]]&gt;=$AA$3,SUM(SMALL(#REF!,1),SMALL(#REF!,2),SMALL(#REF!,3),SMALL(#REF!,4),SMALL(#REF!,5),SMALL(#REF!,6),SMALL(#REF!,7)),"#N/A")</f>
        <v>#N/A</v>
      </c>
      <c r="N86" t="str">
        <f>acumulado_porcentaje[[#This Row],[Nombre ]]&amp;" ("&amp;acumulado_porcentaje[[#This Row],[contar]]&amp;")"</f>
        <v>Lucia Garin (1)</v>
      </c>
      <c r="V86"/>
      <c r="W86"/>
    </row>
    <row r="87" spans="1:23" x14ac:dyDescent="0.2">
      <c r="A87" s="47" t="s">
        <v>410</v>
      </c>
      <c r="B87">
        <v>0.23076923076923089</v>
      </c>
      <c r="L87" s="108">
        <f>$AA$2- COUNTIF(acumulado_porcentaje[[#This Row],[ene-24]:[oct-24]],"")</f>
        <v>1</v>
      </c>
      <c r="M87" s="69" t="str">
        <f>IF(acumulado_porcentaje[[#This Row],[contar]]&gt;=$AA$3,SUM(SMALL(#REF!,1),SMALL(#REF!,2),SMALL(#REF!,3),SMALL(#REF!,4),SMALL(#REF!,5),SMALL(#REF!,6),SMALL(#REF!,7)),"#N/A")</f>
        <v>#N/A</v>
      </c>
      <c r="N87" t="str">
        <f>acumulado_porcentaje[[#This Row],[Nombre ]]&amp;" ("&amp;acumulado_porcentaje[[#This Row],[contar]]&amp;")"</f>
        <v>Manuel Bueno Pérez (1)</v>
      </c>
      <c r="V87"/>
      <c r="W87"/>
    </row>
    <row r="88" spans="1:23" x14ac:dyDescent="0.2">
      <c r="A88" s="47" t="s">
        <v>647</v>
      </c>
      <c r="F88">
        <v>9.7368421052631618E-2</v>
      </c>
      <c r="L88" s="108">
        <f>$AA$2- COUNTIF(acumulado_porcentaje[[#This Row],[ene-24]:[oct-24]],"")</f>
        <v>1</v>
      </c>
      <c r="M88" s="69" t="str">
        <f>IF(acumulado_porcentaje[[#This Row],[contar]]&gt;=$AA$3,SUM(SMALL(#REF!,1),SMALL(#REF!,2),SMALL(#REF!,3),SMALL(#REF!,4),SMALL(#REF!,5),SMALL(#REF!,6),SMALL(#REF!,7)),"#N/A")</f>
        <v>#N/A</v>
      </c>
      <c r="N88" t="str">
        <f>acumulado_porcentaje[[#This Row],[Nombre ]]&amp;" ("&amp;acumulado_porcentaje[[#This Row],[contar]]&amp;")"</f>
        <v>Miguel Roa Prieto (1)</v>
      </c>
      <c r="V88"/>
      <c r="W88"/>
    </row>
    <row r="89" spans="1:23" x14ac:dyDescent="0.2">
      <c r="A89" s="47" t="s">
        <v>952</v>
      </c>
      <c r="H89">
        <v>0.5353339787028073</v>
      </c>
      <c r="L89" s="108">
        <f>$AA$2- COUNTIF(acumulado_porcentaje[[#This Row],[ene-24]:[oct-24]],"")</f>
        <v>1</v>
      </c>
      <c r="M89" s="69" t="str">
        <f>IF(acumulado_porcentaje[[#This Row],[contar]]&gt;=$AA$3,SUM(SMALL(#REF!,1),SMALL(#REF!,2),SMALL(#REF!,3),SMALL(#REF!,4),SMALL(#REF!,5),SMALL(#REF!,6),SMALL(#REF!,7)),"#N/A")</f>
        <v>#N/A</v>
      </c>
      <c r="N89" t="str">
        <f>acumulado_porcentaje[[#This Row],[Nombre ]]&amp;" ("&amp;acumulado_porcentaje[[#This Row],[contar]]&amp;")"</f>
        <v>Moisés Labarquilla (1)</v>
      </c>
      <c r="V89"/>
      <c r="W89"/>
    </row>
    <row r="90" spans="1:23" x14ac:dyDescent="0.2">
      <c r="A90" s="47" t="s">
        <v>646</v>
      </c>
      <c r="F90">
        <v>0.10361842105263154</v>
      </c>
      <c r="L90" s="108">
        <f>$AA$2- COUNTIF(acumulado_porcentaje[[#This Row],[ene-24]:[oct-24]],"")</f>
        <v>1</v>
      </c>
      <c r="M90" s="69" t="str">
        <f>IF(acumulado_porcentaje[[#This Row],[contar]]&gt;=$AA$3,SUM(SMALL(#REF!,1),SMALL(#REF!,2),SMALL(#REF!,3),SMALL(#REF!,4),SMALL(#REF!,5),SMALL(#REF!,6),SMALL(#REF!,7)),"#N/A")</f>
        <v>#N/A</v>
      </c>
      <c r="N90" t="str">
        <f>acumulado_porcentaje[[#This Row],[Nombre ]]&amp;" ("&amp;acumulado_porcentaje[[#This Row],[contar]]&amp;")"</f>
        <v>Nelson Hernandez Hernandez (1)</v>
      </c>
      <c r="V90"/>
      <c r="W90"/>
    </row>
    <row r="91" spans="1:23" x14ac:dyDescent="0.2">
      <c r="A91" s="47" t="s">
        <v>227</v>
      </c>
      <c r="B91">
        <v>0.18016194331983817</v>
      </c>
      <c r="L91" s="108">
        <f>$AA$2- COUNTIF(acumulado_porcentaje[[#This Row],[ene-24]:[oct-24]],"")</f>
        <v>1</v>
      </c>
      <c r="M91" s="69" t="str">
        <f>IF(acumulado_porcentaje[[#This Row],[contar]]&gt;=$AA$3,SUM(SMALL(#REF!,1),SMALL(#REF!,2),SMALL(#REF!,3),SMALL(#REF!,4),SMALL(#REF!,5),SMALL(#REF!,6),SMALL(#REF!,7)),"#N/A")</f>
        <v>#N/A</v>
      </c>
      <c r="N91" t="str">
        <f>acumulado_porcentaje[[#This Row],[Nombre ]]&amp;" ("&amp;acumulado_porcentaje[[#This Row],[contar]]&amp;")"</f>
        <v>Olivia Infantes (1)</v>
      </c>
      <c r="V91"/>
      <c r="W91"/>
    </row>
    <row r="92" spans="1:23" x14ac:dyDescent="0.2">
      <c r="A92" s="47" t="s">
        <v>943</v>
      </c>
      <c r="H92">
        <v>5.7944959203429645E-2</v>
      </c>
      <c r="L92" s="108">
        <f>$AA$2- COUNTIF(acumulado_porcentaje[[#This Row],[ene-24]:[oct-24]],"")</f>
        <v>1</v>
      </c>
      <c r="M92" s="69" t="str">
        <f>IF(acumulado_porcentaje[[#This Row],[contar]]&gt;=$AA$3,SUM(SMALL(#REF!,1),SMALL(#REF!,2),SMALL(#REF!,3),SMALL(#REF!,4),SMALL(#REF!,5),SMALL(#REF!,6),SMALL(#REF!,7)),"#N/A")</f>
        <v>#N/A</v>
      </c>
      <c r="N92" s="47" t="str">
        <f>acumulado_porcentaje[[#This Row],[Nombre ]]&amp;" ("&amp;acumulado_porcentaje[[#This Row],[contar]]&amp;")"</f>
        <v>Omip 28-06-2024 (1)</v>
      </c>
      <c r="V92"/>
      <c r="W92"/>
    </row>
    <row r="93" spans="1:23" x14ac:dyDescent="0.2">
      <c r="A93" s="47" t="s">
        <v>473</v>
      </c>
      <c r="D93">
        <v>2.2199211045364886</v>
      </c>
      <c r="L93" s="108">
        <f>$AA$2- COUNTIF(acumulado_porcentaje[[#This Row],[ene-24]:[oct-24]],"")</f>
        <v>1</v>
      </c>
      <c r="M93" s="69" t="str">
        <f>IF(acumulado_porcentaje[[#This Row],[contar]]&gt;=$AA$3,SUM(SMALL(#REF!,1),SMALL(#REF!,2),SMALL(#REF!,3),SMALL(#REF!,4),SMALL(#REF!,5),SMALL(#REF!,6),SMALL(#REF!,7)),"#N/A")</f>
        <v>#N/A</v>
      </c>
      <c r="N93" t="str">
        <f>acumulado_porcentaje[[#This Row],[Nombre ]]&amp;" ("&amp;acumulado_porcentaje[[#This Row],[contar]]&amp;")"</f>
        <v>Pablo Baigorria Kobylinski (1)</v>
      </c>
      <c r="V93"/>
      <c r="W93"/>
    </row>
    <row r="94" spans="1:23" x14ac:dyDescent="0.2">
      <c r="A94" s="47" t="s">
        <v>1118</v>
      </c>
      <c r="K94">
        <v>0.25859350362661609</v>
      </c>
      <c r="L94" s="108">
        <f>$AA$2- COUNTIF(acumulado_porcentaje[[#This Row],[ene-24]:[oct-24]],"")</f>
        <v>1</v>
      </c>
      <c r="M94" s="69" t="str">
        <f>IF(acumulado_porcentaje[[#This Row],[contar]]&gt;=$AA$3,SUM(SMALL(#REF!,1),SMALL(#REF!,2),SMALL(#REF!,3),SMALL(#REF!,4),SMALL(#REF!,5),SMALL(#REF!,6),SMALL(#REF!,7)),"#N/A")</f>
        <v>#N/A</v>
      </c>
      <c r="N94" t="str">
        <f>acumulado_porcentaje[[#This Row],[Nombre ]]&amp;" ("&amp;acumulado_porcentaje[[#This Row],[contar]]&amp;")"</f>
        <v>Pablo Suárez Sebastián (1)</v>
      </c>
      <c r="V94"/>
      <c r="W94"/>
    </row>
    <row r="95" spans="1:23" x14ac:dyDescent="0.2">
      <c r="A95" s="47" t="s">
        <v>416</v>
      </c>
      <c r="C95">
        <v>1.18875</v>
      </c>
      <c r="L95" s="108">
        <f>$AA$2- COUNTIF(acumulado_porcentaje[[#This Row],[ene-24]:[oct-24]],"")</f>
        <v>1</v>
      </c>
      <c r="M95" s="69" t="str">
        <f>IF(acumulado_porcentaje[[#This Row],[contar]]&gt;=$AA$3,SUM(SMALL(#REF!,1),SMALL(#REF!,2),SMALL(#REF!,3),SMALL(#REF!,4),SMALL(#REF!,5),SMALL(#REF!,6),SMALL(#REF!,7)),"#N/A")</f>
        <v>#N/A</v>
      </c>
      <c r="N95" t="str">
        <f>acumulado_porcentaje[[#This Row],[Nombre ]]&amp;" ("&amp;acumulado_porcentaje[[#This Row],[contar]]&amp;")"</f>
        <v>Roberto De Dios García (1)</v>
      </c>
      <c r="V95"/>
      <c r="W95"/>
    </row>
    <row r="96" spans="1:23" x14ac:dyDescent="0.2">
      <c r="A96" s="47" t="s">
        <v>782</v>
      </c>
      <c r="G96">
        <v>0.22022111269614839</v>
      </c>
      <c r="L96" s="108">
        <f>$AA$2- COUNTIF(acumulado_porcentaje[[#This Row],[ene-24]:[oct-24]],"")</f>
        <v>1</v>
      </c>
      <c r="M96" s="69" t="str">
        <f>IF(acumulado_porcentaje[[#This Row],[contar]]&gt;=$AA$3,SUM(SMALL(#REF!,1),SMALL(#REF!,2),SMALL(#REF!,3),SMALL(#REF!,4),SMALL(#REF!,5),SMALL(#REF!,6),SMALL(#REF!,7)),"#N/A")</f>
        <v>#N/A</v>
      </c>
      <c r="N96" t="str">
        <f>acumulado_porcentaje[[#This Row],[Nombre ]]&amp;" ("&amp;acumulado_porcentaje[[#This Row],[contar]]&amp;")"</f>
        <v>Sergio García Sanz (1)</v>
      </c>
      <c r="V96"/>
      <c r="W96"/>
    </row>
    <row r="97" spans="1:23" x14ac:dyDescent="0.2">
      <c r="A97" s="47" t="s">
        <v>648</v>
      </c>
      <c r="F97">
        <v>0.40394736842105256</v>
      </c>
      <c r="L97" s="108">
        <f>$AA$2- COUNTIF(acumulado_porcentaje[[#This Row],[ene-24]:[oct-24]],"")</f>
        <v>1</v>
      </c>
      <c r="M97" s="69" t="str">
        <f>IF(acumulado_porcentaje[[#This Row],[contar]]&gt;=$AA$3,SUM(SMALL(#REF!,1),SMALL(#REF!,2),SMALL(#REF!,3),SMALL(#REF!,4),SMALL(#REF!,5),SMALL(#REF!,6),SMALL(#REF!,7)),"#N/A")</f>
        <v>#N/A</v>
      </c>
      <c r="N97" t="str">
        <f>acumulado_porcentaje[[#This Row],[Nombre ]]&amp;" ("&amp;acumulado_porcentaje[[#This Row],[contar]]&amp;")"</f>
        <v>Sergio Nistal Prieto (1)</v>
      </c>
      <c r="V97"/>
      <c r="W97"/>
    </row>
    <row r="98" spans="1:23" x14ac:dyDescent="0.2">
      <c r="A98" s="47" t="s">
        <v>339</v>
      </c>
      <c r="C98">
        <v>1.155</v>
      </c>
      <c r="L98" s="108">
        <f>$AA$2- COUNTIF(acumulado_porcentaje[[#This Row],[ene-24]:[oct-24]],"")</f>
        <v>1</v>
      </c>
      <c r="M98" s="69" t="str">
        <f>IF(acumulado_porcentaje[[#This Row],[contar]]&gt;=$AA$3,SUM(SMALL(#REF!,1),SMALL(#REF!,2),SMALL(#REF!,3),SMALL(#REF!,4),SMALL(#REF!,5),SMALL(#REF!,6),SMALL(#REF!,7)),"#N/A")</f>
        <v>#N/A</v>
      </c>
      <c r="N98" t="str">
        <f>acumulado_porcentaje[[#This Row],[Nombre ]]&amp;" ("&amp;acumulado_porcentaje[[#This Row],[contar]]&amp;")"</f>
        <v>Sergio Ortega Celares (1)</v>
      </c>
      <c r="V98"/>
      <c r="W98"/>
    </row>
    <row r="99" spans="1:23" x14ac:dyDescent="0.2">
      <c r="A99" s="47" t="s">
        <v>239</v>
      </c>
      <c r="B99">
        <v>0.21592442645074225</v>
      </c>
      <c r="L99" s="108">
        <f>$AA$2- COUNTIF(acumulado_porcentaje[[#This Row],[ene-24]:[oct-24]],"")</f>
        <v>1</v>
      </c>
      <c r="M99" s="69" t="str">
        <f>IF(acumulado_porcentaje[[#This Row],[contar]]&gt;=$AA$3,SUM(SMALL(#REF!,1),SMALL(#REF!,2),SMALL(#REF!,3),SMALL(#REF!,4),SMALL(#REF!,5),SMALL(#REF!,6),SMALL(#REF!,7)),"#N/A")</f>
        <v>#N/A</v>
      </c>
      <c r="N99" t="str">
        <f>acumulado_porcentaje[[#This Row],[Nombre ]]&amp;" ("&amp;acumulado_porcentaje[[#This Row],[contar]]&amp;")"</f>
        <v>Vitor Costa Costa (1)</v>
      </c>
      <c r="V99"/>
      <c r="W99"/>
    </row>
    <row r="100" spans="1:23" x14ac:dyDescent="0.2">
      <c r="A100" s="47" t="s">
        <v>544</v>
      </c>
      <c r="E100">
        <v>0.71909290416971472</v>
      </c>
      <c r="L100" s="108">
        <f>$AA$2- COUNTIF(acumulado_porcentaje[[#This Row],[ene-24]:[oct-24]],"")</f>
        <v>1</v>
      </c>
      <c r="M100" s="69" t="str">
        <f>IF(acumulado_porcentaje[[#This Row],[contar]]&gt;=$AA$3,SUM(SMALL(#REF!,1),SMALL(#REF!,2),SMALL(#REF!,3),SMALL(#REF!,4),SMALL(#REF!,5),SMALL(#REF!,6),SMALL(#REF!,7)),"#N/A")</f>
        <v>#N/A</v>
      </c>
      <c r="N100" t="str">
        <f>acumulado_porcentaje[[#This Row],[Nombre ]]&amp;" ("&amp;acumulado_porcentaje[[#This Row],[contar]]&amp;")"</f>
        <v>Álvaro Barahona San Marcos (1)</v>
      </c>
      <c r="V100"/>
      <c r="W100"/>
    </row>
    <row r="112" spans="1:23" x14ac:dyDescent="0.2">
      <c r="L112" s="109"/>
      <c r="M112" s="45"/>
    </row>
    <row r="113" spans="12:13" x14ac:dyDescent="0.2">
      <c r="L113" s="109"/>
      <c r="M113" s="73" t="s">
        <v>146</v>
      </c>
    </row>
    <row r="114" spans="12:13" x14ac:dyDescent="0.2">
      <c r="L114" s="109" t="s">
        <v>661</v>
      </c>
      <c r="M114" s="72" t="e">
        <f>MATCH(M113,1:1,0)</f>
        <v>#N/A</v>
      </c>
    </row>
    <row r="115" spans="12:13" x14ac:dyDescent="0.2">
      <c r="L115" s="109" t="s">
        <v>662</v>
      </c>
      <c r="M115" s="72" t="e">
        <f>M114-1</f>
        <v>#N/A</v>
      </c>
    </row>
    <row r="116" spans="12:13" x14ac:dyDescent="0.2">
      <c r="L116" s="109"/>
      <c r="M116" s="72" t="e">
        <f>ADDRESS(1,M114)</f>
        <v>#N/A</v>
      </c>
    </row>
    <row r="117" spans="12:13" x14ac:dyDescent="0.2">
      <c r="L117" s="109"/>
      <c r="M117" s="72" t="e">
        <f>MID(M116,2,1)</f>
        <v>#N/A</v>
      </c>
    </row>
    <row r="118" spans="12:13" x14ac:dyDescent="0.2">
      <c r="L118" s="109"/>
      <c r="M118" s="45"/>
    </row>
  </sheetData>
  <phoneticPr fontId="9" type="noConversion"/>
  <conditionalFormatting sqref="A2:A100">
    <cfRule type="duplicateValues" dxfId="33" priority="101"/>
  </conditionalFormatting>
  <dataValidations disablePrompts="1" count="1">
    <dataValidation type="list" allowBlank="1" showInputMessage="1" showErrorMessage="1" sqref="M113" xr:uid="{E842F2BA-4DC3-4A5E-A318-57237D096379}">
      <formula1>#REF!</formula1>
    </dataValidation>
  </dataValidations>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L96"/>
  <sheetViews>
    <sheetView showGridLines="0" workbookViewId="0">
      <selection activeCell="B2" sqref="B2"/>
    </sheetView>
  </sheetViews>
  <sheetFormatPr baseColWidth="10" defaultRowHeight="12" x14ac:dyDescent="0.2"/>
  <cols>
    <col min="1" max="1" width="28.5703125" bestFit="1" customWidth="1"/>
    <col min="2" max="2" width="12.7109375" style="4" bestFit="1" customWidth="1"/>
    <col min="3" max="3" width="12.5703125" style="4" bestFit="1" customWidth="1"/>
    <col min="4" max="4" width="12.85546875" style="4" bestFit="1" customWidth="1"/>
    <col min="5" max="5" width="12.5703125" style="4" bestFit="1" customWidth="1"/>
    <col min="6" max="6" width="10.85546875" style="4" bestFit="1" customWidth="1"/>
    <col min="7" max="7" width="10.5703125" style="4" bestFit="1" customWidth="1"/>
    <col min="8" max="8" width="10" style="4" bestFit="1" customWidth="1"/>
    <col min="9" max="10" width="10.7109375" style="4" customWidth="1"/>
    <col min="11" max="11" width="10.5703125" style="4" bestFit="1" customWidth="1"/>
    <col min="12" max="12" width="8.28515625" style="4" bestFit="1" customWidth="1"/>
  </cols>
  <sheetData>
    <row r="1" spans="1:12" x14ac:dyDescent="0.2">
      <c r="A1" t="s">
        <v>0</v>
      </c>
      <c r="B1" s="4" t="s">
        <v>99</v>
      </c>
      <c r="C1" s="4" t="s">
        <v>266</v>
      </c>
      <c r="D1" s="4" t="s">
        <v>417</v>
      </c>
      <c r="E1" s="4" t="s">
        <v>146</v>
      </c>
      <c r="F1" t="s">
        <v>563</v>
      </c>
      <c r="G1" t="s">
        <v>681</v>
      </c>
      <c r="H1" t="s">
        <v>816</v>
      </c>
      <c r="I1" t="s">
        <v>961</v>
      </c>
      <c r="J1" t="s">
        <v>1039</v>
      </c>
      <c r="K1" s="70" t="s">
        <v>558</v>
      </c>
      <c r="L1" s="70" t="s">
        <v>553</v>
      </c>
    </row>
    <row r="2" spans="1:12" x14ac:dyDescent="0.2">
      <c r="A2" t="s">
        <v>336</v>
      </c>
      <c r="B2" s="4">
        <v>2.3999999999999915</v>
      </c>
      <c r="C2" s="4">
        <v>29.200000000000003</v>
      </c>
      <c r="D2" s="4">
        <v>3.4199999999999982</v>
      </c>
      <c r="E2" s="4">
        <v>6.83</v>
      </c>
      <c r="F2">
        <v>0.38999999999999702</v>
      </c>
      <c r="G2">
        <v>4.68</v>
      </c>
      <c r="H2">
        <v>1.4899999999999949</v>
      </c>
      <c r="I2">
        <v>14.649999999999991</v>
      </c>
      <c r="J2">
        <v>5.3100000000000023</v>
      </c>
      <c r="K2" s="4">
        <f>acum_porc!$AA$2- COUNTIF(acumulado_absoluto[[#This Row],[Ene 2024]:[Ago 2024]],"")</f>
        <v>10</v>
      </c>
      <c r="L2"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24.519999999999982</v>
      </c>
    </row>
    <row r="3" spans="1:12" x14ac:dyDescent="0.2">
      <c r="A3" t="s">
        <v>222</v>
      </c>
      <c r="B3" s="4">
        <v>0.64999999999999147</v>
      </c>
      <c r="C3" s="4">
        <v>33.879999999999995</v>
      </c>
      <c r="D3" s="4">
        <v>10.219999999999999</v>
      </c>
      <c r="E3" s="4">
        <v>4.83</v>
      </c>
      <c r="F3">
        <v>4.25</v>
      </c>
      <c r="G3">
        <v>8.259999999999998</v>
      </c>
      <c r="H3">
        <v>2.3100000000000023</v>
      </c>
      <c r="I3">
        <v>9.4500000000000028</v>
      </c>
      <c r="J3">
        <v>15.200000000000003</v>
      </c>
      <c r="K3" s="4">
        <f>acum_porc!$AA$2- COUNTIF(acumulado_absoluto[[#This Row],[Ene 2024]:[Ago 2024]],"")</f>
        <v>10</v>
      </c>
      <c r="L3"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39.969999999999992</v>
      </c>
    </row>
    <row r="4" spans="1:12" x14ac:dyDescent="0.2">
      <c r="A4" t="s">
        <v>406</v>
      </c>
      <c r="B4" s="4">
        <v>0.90000000000000568</v>
      </c>
      <c r="C4" s="4">
        <v>25</v>
      </c>
      <c r="D4" s="4">
        <v>11.719999999999999</v>
      </c>
      <c r="E4" s="4">
        <v>14.83</v>
      </c>
      <c r="F4">
        <v>5.3999999999999986</v>
      </c>
      <c r="G4">
        <v>1.0799999999999983</v>
      </c>
      <c r="H4">
        <v>4.3100000000000023</v>
      </c>
      <c r="I4">
        <v>13.049999999999997</v>
      </c>
      <c r="J4">
        <v>8.4099999999999966</v>
      </c>
      <c r="K4" s="4">
        <f>acum_porc!$AA$2- COUNTIF(acumulado_absoluto[[#This Row],[Ene 2024]:[Ago 2024]],"")</f>
        <v>10</v>
      </c>
      <c r="L4"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44.87</v>
      </c>
    </row>
    <row r="5" spans="1:12" x14ac:dyDescent="0.2">
      <c r="A5" t="s">
        <v>408</v>
      </c>
      <c r="B5" s="4">
        <v>2.8699999999999903</v>
      </c>
      <c r="C5" s="4">
        <v>35.730000000000004</v>
      </c>
      <c r="D5" s="4">
        <v>13.030000000000001</v>
      </c>
      <c r="E5" s="4">
        <v>10.56</v>
      </c>
      <c r="F5">
        <v>0.79999999999999716</v>
      </c>
      <c r="G5">
        <v>14.170000000000002</v>
      </c>
      <c r="H5">
        <v>2.1599999999999966</v>
      </c>
      <c r="I5">
        <v>14.789999999999992</v>
      </c>
      <c r="J5">
        <v>6.3900000000000006</v>
      </c>
      <c r="K5" s="4">
        <f>acum_porc!$AA$2- COUNTIF(acumulado_absoluto[[#This Row],[Ene 2024]:[Ago 2024]],"")</f>
        <v>10</v>
      </c>
      <c r="L5"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49.97999999999999</v>
      </c>
    </row>
    <row r="6" spans="1:12" x14ac:dyDescent="0.2">
      <c r="A6" t="s">
        <v>363</v>
      </c>
      <c r="B6" s="4">
        <v>3.2999999999999972</v>
      </c>
      <c r="C6" s="4">
        <v>25.400000000000006</v>
      </c>
      <c r="D6" s="4">
        <v>9.52</v>
      </c>
      <c r="E6" s="4">
        <v>9.1300000000000008</v>
      </c>
      <c r="F6">
        <v>8.7999999999999972</v>
      </c>
      <c r="G6">
        <v>13.979999999999997</v>
      </c>
      <c r="H6">
        <v>3.5100000000000051</v>
      </c>
      <c r="I6">
        <v>19.849999999999994</v>
      </c>
      <c r="J6">
        <v>7.8100000000000023</v>
      </c>
      <c r="K6" s="4">
        <f>acum_porc!$AA$2- COUNTIF(acumulado_absoluto[[#This Row],[Ene 2024]:[Ago 2024]],"")</f>
        <v>10</v>
      </c>
      <c r="L6"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56.050000000000004</v>
      </c>
    </row>
    <row r="7" spans="1:12" x14ac:dyDescent="0.2">
      <c r="A7" t="s">
        <v>381</v>
      </c>
      <c r="B7" s="4">
        <v>2.4000000000000057</v>
      </c>
      <c r="C7" s="4">
        <v>20.020000000000003</v>
      </c>
      <c r="F7">
        <v>2.8299999999999983</v>
      </c>
      <c r="G7">
        <v>3.1299999999999955</v>
      </c>
      <c r="H7">
        <v>1.6299999999999955</v>
      </c>
      <c r="I7">
        <v>16.009999999999991</v>
      </c>
      <c r="J7">
        <v>10.340000000000003</v>
      </c>
      <c r="K7" s="4">
        <f>acum_porc!$AA$2- COUNTIF(acumulado_absoluto[[#This Row],[Ene 2024]:[Ago 2024]],"")</f>
        <v>8</v>
      </c>
      <c r="L7"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56.359999999999992</v>
      </c>
    </row>
    <row r="8" spans="1:12" x14ac:dyDescent="0.2">
      <c r="A8" t="s">
        <v>414</v>
      </c>
      <c r="C8" s="4">
        <v>24.349999999999994</v>
      </c>
      <c r="D8" s="4">
        <v>15.049999999999997</v>
      </c>
      <c r="E8" s="4">
        <v>9.8400000000000016</v>
      </c>
      <c r="F8">
        <v>2.2999999999999972</v>
      </c>
      <c r="G8">
        <v>2.8799999999999955</v>
      </c>
      <c r="H8">
        <v>1.0000000000005116E-2</v>
      </c>
      <c r="I8">
        <v>16.75</v>
      </c>
      <c r="J8">
        <v>14.709999999999994</v>
      </c>
      <c r="K8" s="4">
        <f>acum_porc!$AA$2- COUNTIF(acumulado_absoluto[[#This Row],[Ene 2024]:[Ago 2024]],"")</f>
        <v>9</v>
      </c>
      <c r="L8"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61.539999999999992</v>
      </c>
    </row>
    <row r="9" spans="1:12" x14ac:dyDescent="0.2">
      <c r="A9" t="s">
        <v>474</v>
      </c>
      <c r="D9" s="4">
        <v>0.11999999999999744</v>
      </c>
      <c r="E9" s="4">
        <v>8.83</v>
      </c>
      <c r="F9">
        <v>4.7000000000000028</v>
      </c>
      <c r="G9">
        <v>13.829999999999998</v>
      </c>
      <c r="H9">
        <v>4.5600000000000023</v>
      </c>
      <c r="I9">
        <v>16.28</v>
      </c>
      <c r="J9">
        <v>13.280000000000001</v>
      </c>
      <c r="K9" s="4">
        <f>acum_porc!$AA$2- COUNTIF(acumulado_absoluto[[#This Row],[Ene 2024]:[Ago 2024]],"")</f>
        <v>8</v>
      </c>
      <c r="L9"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61.6</v>
      </c>
    </row>
    <row r="10" spans="1:12" x14ac:dyDescent="0.2">
      <c r="A10" t="s">
        <v>362</v>
      </c>
      <c r="B10" s="4">
        <v>0.20000000000000284</v>
      </c>
      <c r="C10" s="4">
        <v>29.849999999999994</v>
      </c>
      <c r="D10" s="4">
        <v>15.32</v>
      </c>
      <c r="E10" s="4">
        <v>10.53</v>
      </c>
      <c r="F10">
        <v>2.0999999999999979</v>
      </c>
      <c r="G10">
        <v>13.969999999999999</v>
      </c>
      <c r="H10">
        <v>7.0499999999999972</v>
      </c>
      <c r="I10">
        <v>16.239999999999995</v>
      </c>
      <c r="J10">
        <v>14.060000000000002</v>
      </c>
      <c r="K10" s="4">
        <f>acum_porc!$AA$2- COUNTIF(acumulado_absoluto[[#This Row],[Ene 2024]:[Ago 2024]],"")</f>
        <v>10</v>
      </c>
      <c r="L10"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63.23</v>
      </c>
    </row>
    <row r="11" spans="1:12" x14ac:dyDescent="0.2">
      <c r="A11" t="s">
        <v>219</v>
      </c>
      <c r="B11" s="4">
        <v>13.980000000000004</v>
      </c>
      <c r="C11" s="4">
        <v>29.689999999999998</v>
      </c>
      <c r="D11" s="4">
        <v>16.379999999999995</v>
      </c>
      <c r="F11">
        <v>2.9500000000000028</v>
      </c>
      <c r="G11">
        <v>2.8000000000000043</v>
      </c>
      <c r="H11">
        <v>5.6400000000000006</v>
      </c>
      <c r="I11">
        <v>11.060000000000002</v>
      </c>
      <c r="J11">
        <v>11.519999999999996</v>
      </c>
      <c r="K11" s="4">
        <f>acum_porc!$AA$2- COUNTIF(acumulado_absoluto[[#This Row],[Ene 2024]:[Ago 2024]],"")</f>
        <v>9</v>
      </c>
      <c r="L11"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64.330000000000013</v>
      </c>
    </row>
    <row r="12" spans="1:12" x14ac:dyDescent="0.2">
      <c r="A12" t="s">
        <v>409</v>
      </c>
      <c r="B12" s="4">
        <v>7.5900000000000034</v>
      </c>
      <c r="C12" s="4">
        <v>29.620000000000005</v>
      </c>
      <c r="D12" s="4">
        <v>35.409999999999997</v>
      </c>
      <c r="E12" s="4">
        <v>23.879999999999995</v>
      </c>
      <c r="F12">
        <v>0.7099999999999973</v>
      </c>
      <c r="G12">
        <v>3.5799999999999983</v>
      </c>
      <c r="H12">
        <v>2.7600000000000051</v>
      </c>
      <c r="I12">
        <v>21.060000000000002</v>
      </c>
      <c r="J12">
        <v>6.0400000000000063</v>
      </c>
      <c r="K12" s="4">
        <f>acum_porc!$AA$2- COUNTIF(acumulado_absoluto[[#This Row],[Ene 2024]:[Ago 2024]],"")</f>
        <v>10</v>
      </c>
      <c r="L12"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65.62</v>
      </c>
    </row>
    <row r="13" spans="1:12" x14ac:dyDescent="0.2">
      <c r="A13" t="s">
        <v>218</v>
      </c>
      <c r="B13" s="4">
        <v>11.300000000000011</v>
      </c>
      <c r="C13" s="4">
        <v>24.459999999999994</v>
      </c>
      <c r="D13" s="4">
        <v>6.2199999999999989</v>
      </c>
      <c r="E13" s="4">
        <v>12.229999999999999</v>
      </c>
      <c r="F13">
        <v>14.899999999999999</v>
      </c>
      <c r="G13">
        <v>12.920000000000002</v>
      </c>
      <c r="H13">
        <v>5.3900000000000006</v>
      </c>
      <c r="I13">
        <v>13.349999999999994</v>
      </c>
      <c r="J13">
        <v>9.289999999999992</v>
      </c>
      <c r="K13" s="4">
        <f>acum_porc!$AA$2- COUNTIF(acumulado_absoluto[[#This Row],[Ene 2024]:[Ago 2024]],"")</f>
        <v>10</v>
      </c>
      <c r="L13"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70.699999999999989</v>
      </c>
    </row>
    <row r="14" spans="1:12" x14ac:dyDescent="0.2">
      <c r="A14" t="s">
        <v>328</v>
      </c>
      <c r="C14" s="4">
        <v>25.200000000000003</v>
      </c>
      <c r="E14" s="4">
        <v>13.930000000000001</v>
      </c>
      <c r="F14">
        <v>0.39999999999999858</v>
      </c>
      <c r="G14">
        <v>2.9200000000000017</v>
      </c>
      <c r="H14">
        <v>6.2099999999999937</v>
      </c>
      <c r="I14">
        <v>17.700000000000003</v>
      </c>
      <c r="J14">
        <v>8.4599999999999937</v>
      </c>
      <c r="K14" s="4">
        <f>acum_porc!$AA$2- COUNTIF(acumulado_absoluto[[#This Row],[Ene 2024]:[Ago 2024]],"")</f>
        <v>8</v>
      </c>
      <c r="L14"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74.819999999999993</v>
      </c>
    </row>
    <row r="15" spans="1:12" x14ac:dyDescent="0.2">
      <c r="A15" t="s">
        <v>225</v>
      </c>
      <c r="B15" s="4">
        <v>11.219999999999999</v>
      </c>
      <c r="C15" s="4">
        <v>32.25</v>
      </c>
      <c r="D15" s="4">
        <v>25.949999999999996</v>
      </c>
      <c r="E15" s="4">
        <v>9.65</v>
      </c>
      <c r="F15">
        <v>19.29</v>
      </c>
      <c r="G15">
        <v>5.2800000000000011</v>
      </c>
      <c r="H15">
        <v>0.51000000000000512</v>
      </c>
      <c r="I15">
        <v>16.25</v>
      </c>
      <c r="J15">
        <v>13.209999999999994</v>
      </c>
      <c r="K15" s="4">
        <f>acum_porc!$AA$2- COUNTIF(acumulado_absoluto[[#This Row],[Ene 2024]:[Ago 2024]],"")</f>
        <v>10</v>
      </c>
      <c r="L15"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75.41</v>
      </c>
    </row>
    <row r="16" spans="1:12" x14ac:dyDescent="0.2">
      <c r="A16" t="s">
        <v>221</v>
      </c>
      <c r="B16" s="4">
        <v>4.1800000000000068</v>
      </c>
      <c r="C16" s="4">
        <v>19.299999999999997</v>
      </c>
      <c r="D16" s="4">
        <v>3.2099999999999973</v>
      </c>
      <c r="E16" s="4">
        <v>5.83</v>
      </c>
      <c r="F16">
        <v>5.4699999999999989</v>
      </c>
      <c r="G16">
        <v>16.489999999999995</v>
      </c>
      <c r="H16"/>
      <c r="I16">
        <v>21.950000000000003</v>
      </c>
      <c r="J16"/>
      <c r="K16" s="4">
        <f>acum_porc!$AA$2- COUNTIF(acumulado_absoluto[[#This Row],[Ene 2024]:[Ago 2024]],"")</f>
        <v>9</v>
      </c>
      <c r="L16"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76.430000000000007</v>
      </c>
    </row>
    <row r="17" spans="1:12" x14ac:dyDescent="0.2">
      <c r="A17" t="s">
        <v>403</v>
      </c>
      <c r="B17" s="4">
        <v>14.400000000000006</v>
      </c>
      <c r="E17" s="4">
        <v>26.58</v>
      </c>
      <c r="F17">
        <v>0.30000000000000071</v>
      </c>
      <c r="G17">
        <v>4.0200000000000031</v>
      </c>
      <c r="H17">
        <v>7.0600000000000023</v>
      </c>
      <c r="I17">
        <v>18.450000000000003</v>
      </c>
      <c r="J17">
        <v>5.9099999999999966</v>
      </c>
      <c r="K17" s="4">
        <f>acum_porc!$AA$2- COUNTIF(acumulado_absoluto[[#This Row],[Ene 2024]:[Ago 2024]],"")</f>
        <v>8</v>
      </c>
      <c r="L17"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76.720000000000013</v>
      </c>
    </row>
    <row r="18" spans="1:12" x14ac:dyDescent="0.2">
      <c r="A18" t="s">
        <v>215</v>
      </c>
      <c r="B18" s="4">
        <v>3.6000000000000085</v>
      </c>
      <c r="C18" s="4">
        <v>28.950000000000003</v>
      </c>
      <c r="E18" s="4">
        <v>30.83</v>
      </c>
      <c r="F18">
        <v>10.700000000000003</v>
      </c>
      <c r="G18">
        <v>0.53000000000000114</v>
      </c>
      <c r="H18">
        <v>4.6099999999999994</v>
      </c>
      <c r="I18">
        <v>20.349999999999994</v>
      </c>
      <c r="J18">
        <v>11.310000000000002</v>
      </c>
      <c r="K18" s="4">
        <f>acum_porc!$AA$2- COUNTIF(acumulado_absoluto[[#This Row],[Ene 2024]:[Ago 2024]],"")</f>
        <v>9</v>
      </c>
      <c r="L18"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80.050000000000011</v>
      </c>
    </row>
    <row r="19" spans="1:12" x14ac:dyDescent="0.2">
      <c r="A19" t="s">
        <v>292</v>
      </c>
      <c r="C19" s="4">
        <v>20.100000000000001</v>
      </c>
      <c r="D19" s="4">
        <v>9.1199999999999974</v>
      </c>
      <c r="E19" s="4">
        <v>10.229999999999999</v>
      </c>
      <c r="F19"/>
      <c r="G19">
        <v>12.25</v>
      </c>
      <c r="H19">
        <v>4.8599999999999994</v>
      </c>
      <c r="I19">
        <v>25.189999999999998</v>
      </c>
      <c r="J19">
        <v>0.29999999999999716</v>
      </c>
      <c r="K19" s="4">
        <f>acum_porc!$AA$2- COUNTIF(acumulado_absoluto[[#This Row],[Ene 2024]:[Ago 2024]],"")</f>
        <v>8</v>
      </c>
      <c r="L19"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82.049999999999983</v>
      </c>
    </row>
    <row r="20" spans="1:12" x14ac:dyDescent="0.2">
      <c r="A20" t="s">
        <v>217</v>
      </c>
      <c r="B20" s="4">
        <v>14.599999999999994</v>
      </c>
      <c r="C20" s="4">
        <v>29.959999999999994</v>
      </c>
      <c r="D20" s="4">
        <v>24.729999999999997</v>
      </c>
      <c r="E20" s="4">
        <v>19.659999999999997</v>
      </c>
      <c r="F20">
        <v>2.9299999999999997</v>
      </c>
      <c r="G20">
        <v>16.149999999999999</v>
      </c>
      <c r="H20">
        <v>4.4200000000000017</v>
      </c>
      <c r="I20">
        <v>25.61999999999999</v>
      </c>
      <c r="J20">
        <v>1.8200000000000074</v>
      </c>
      <c r="K20" s="4">
        <f>acum_porc!$AA$2- COUNTIF(acumulado_absoluto[[#This Row],[Ene 2024]:[Ago 2024]],"")</f>
        <v>10</v>
      </c>
      <c r="L20"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84.31</v>
      </c>
    </row>
    <row r="21" spans="1:12" x14ac:dyDescent="0.2">
      <c r="A21" t="s">
        <v>412</v>
      </c>
      <c r="B21" s="4">
        <v>6.980000000000004</v>
      </c>
      <c r="C21" s="4">
        <v>39.799999999999997</v>
      </c>
      <c r="D21" s="4">
        <v>41.4</v>
      </c>
      <c r="E21" s="4">
        <v>75.23</v>
      </c>
      <c r="F21">
        <v>18.200000000000003</v>
      </c>
      <c r="G21">
        <v>1.8599999999999994</v>
      </c>
      <c r="H21">
        <v>2.230000000000004</v>
      </c>
      <c r="I21">
        <v>13.450000000000003</v>
      </c>
      <c r="J21">
        <v>8.0099999999999909</v>
      </c>
      <c r="K21" s="4">
        <f>acum_porc!$AA$2- COUNTIF(acumulado_absoluto[[#This Row],[Ene 2024]:[Ago 2024]],"")</f>
        <v>10</v>
      </c>
      <c r="L21"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90.53</v>
      </c>
    </row>
    <row r="22" spans="1:12" x14ac:dyDescent="0.2">
      <c r="A22" t="s">
        <v>242</v>
      </c>
      <c r="B22" s="4">
        <v>13.599999999999994</v>
      </c>
      <c r="E22" s="4">
        <v>8.33</v>
      </c>
      <c r="F22">
        <v>22.9</v>
      </c>
      <c r="G22">
        <v>9.5799999999999983</v>
      </c>
      <c r="H22">
        <v>5.8100000000000023</v>
      </c>
      <c r="I22">
        <v>14.549999999999997</v>
      </c>
      <c r="J22">
        <v>18.909999999999997</v>
      </c>
      <c r="K22" s="4">
        <f>acum_porc!$AA$2- COUNTIF(acumulado_absoluto[[#This Row],[Ene 2024]:[Ago 2024]],"")</f>
        <v>8</v>
      </c>
      <c r="L22"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93.679999999999978</v>
      </c>
    </row>
    <row r="23" spans="1:12" x14ac:dyDescent="0.2">
      <c r="A23" t="s">
        <v>401</v>
      </c>
      <c r="B23" s="4">
        <v>13</v>
      </c>
      <c r="C23" s="4">
        <v>35</v>
      </c>
      <c r="D23" s="4">
        <v>34.72</v>
      </c>
      <c r="E23" s="4">
        <v>33.78</v>
      </c>
      <c r="F23">
        <v>21.519999999999996</v>
      </c>
      <c r="G23">
        <v>1.519999999999996</v>
      </c>
      <c r="H23">
        <v>4.1700000000000017</v>
      </c>
      <c r="I23">
        <v>12.060000000000002</v>
      </c>
      <c r="J23">
        <v>14.299999999999997</v>
      </c>
      <c r="K23" s="4">
        <f>acum_porc!$AA$2- COUNTIF(acumulado_absoluto[[#This Row],[Ene 2024]:[Ago 2024]],"")</f>
        <v>10</v>
      </c>
      <c r="L23"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100.35</v>
      </c>
    </row>
    <row r="24" spans="1:12" x14ac:dyDescent="0.2">
      <c r="A24" t="s">
        <v>9</v>
      </c>
      <c r="B24" s="4">
        <v>5.9000000000000057</v>
      </c>
      <c r="C24" s="4">
        <v>28</v>
      </c>
      <c r="D24" s="4">
        <v>24.72</v>
      </c>
      <c r="E24" s="4">
        <v>26.33</v>
      </c>
      <c r="F24">
        <v>4.6000000000000014</v>
      </c>
      <c r="G24">
        <v>21.08</v>
      </c>
      <c r="H24">
        <v>12.310000000000002</v>
      </c>
      <c r="I24">
        <v>31.049999999999997</v>
      </c>
      <c r="J24">
        <v>14.590000000000003</v>
      </c>
      <c r="K24" s="4">
        <f>acum_porc!$AA$2- COUNTIF(acumulado_absoluto[[#This Row],[Ene 2024]:[Ago 2024]],"")</f>
        <v>10</v>
      </c>
      <c r="L24"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109.53000000000002</v>
      </c>
    </row>
    <row r="25" spans="1:12" x14ac:dyDescent="0.2">
      <c r="A25" t="s">
        <v>226</v>
      </c>
      <c r="B25" s="4">
        <v>1.25</v>
      </c>
      <c r="C25" s="4">
        <v>22.5</v>
      </c>
      <c r="D25" s="4">
        <v>4.5199999999999996</v>
      </c>
      <c r="E25" s="4">
        <v>8.8400000000000016</v>
      </c>
      <c r="F25">
        <v>6.009999999999998</v>
      </c>
      <c r="G25"/>
      <c r="H25"/>
      <c r="I25"/>
      <c r="J25"/>
      <c r="K25" s="4">
        <f>acum_porc!$AA$2- COUNTIF(acumulado_absoluto[[#This Row],[Ene 2024]:[Ago 2024]],"")</f>
        <v>7</v>
      </c>
      <c r="L2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6" spans="1:12" x14ac:dyDescent="0.2">
      <c r="A26" t="s">
        <v>338</v>
      </c>
      <c r="C26" s="4">
        <v>49.239999999999995</v>
      </c>
      <c r="F26"/>
      <c r="G26"/>
      <c r="H26"/>
      <c r="I26"/>
      <c r="J26"/>
      <c r="K26" s="4">
        <f>acum_porc!$AA$2- COUNTIF(acumulado_absoluto[[#This Row],[Ene 2024]:[Ago 2024]],"")</f>
        <v>3</v>
      </c>
      <c r="L2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7" spans="1:12" x14ac:dyDescent="0.2">
      <c r="A27" t="s">
        <v>787</v>
      </c>
      <c r="F27"/>
      <c r="G27">
        <v>2.6700000000000017</v>
      </c>
      <c r="H27"/>
      <c r="I27"/>
      <c r="J27"/>
      <c r="K27" s="4">
        <f>acum_porc!$AA$2- COUNTIF(acumulado_absoluto[[#This Row],[Ene 2024]:[Ago 2024]],"")</f>
        <v>3</v>
      </c>
      <c r="L2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8" spans="1:12" x14ac:dyDescent="0.2">
      <c r="A28" t="s">
        <v>402</v>
      </c>
      <c r="B28" s="4">
        <v>1.9400000000000119</v>
      </c>
      <c r="F28"/>
      <c r="G28"/>
      <c r="H28"/>
      <c r="I28"/>
      <c r="J28"/>
      <c r="K28" s="4">
        <f>acum_porc!$AA$2- COUNTIF(acumulado_absoluto[[#This Row],[Ene 2024]:[Ago 2024]],"")</f>
        <v>3</v>
      </c>
      <c r="L2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9" spans="1:12" x14ac:dyDescent="0.2">
      <c r="A29" t="s">
        <v>944</v>
      </c>
      <c r="F29"/>
      <c r="G29"/>
      <c r="H29">
        <v>4.9999999999997158E-2</v>
      </c>
      <c r="I29">
        <v>14.829999999999998</v>
      </c>
      <c r="J29">
        <v>24.75</v>
      </c>
      <c r="K29" s="4">
        <f>acum_porc!$AA$2- COUNTIF(acumulado_absoluto[[#This Row],[Ene 2024]:[Ago 2024]],"")</f>
        <v>4</v>
      </c>
      <c r="L2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0" spans="1:12" x14ac:dyDescent="0.2">
      <c r="A30" t="s">
        <v>1029</v>
      </c>
      <c r="F30"/>
      <c r="G30"/>
      <c r="H30"/>
      <c r="I30">
        <v>20.599999999999994</v>
      </c>
      <c r="J30"/>
      <c r="K30" s="4">
        <f>acum_porc!$AA$2- COUNTIF(acumulado_absoluto[[#This Row],[Ene 2024]:[Ago 2024]],"")</f>
        <v>3</v>
      </c>
      <c r="L3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1" spans="1:12" x14ac:dyDescent="0.2">
      <c r="A31" t="s">
        <v>415</v>
      </c>
      <c r="C31" s="4">
        <v>30.099999999999994</v>
      </c>
      <c r="F31"/>
      <c r="G31"/>
      <c r="H31"/>
      <c r="I31"/>
      <c r="J31"/>
      <c r="K31" s="4">
        <f>acum_porc!$AA$2- COUNTIF(acumulado_absoluto[[#This Row],[Ene 2024]:[Ago 2024]],"")</f>
        <v>3</v>
      </c>
      <c r="L3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2" spans="1:12" x14ac:dyDescent="0.2">
      <c r="A32" t="s">
        <v>413</v>
      </c>
      <c r="C32" s="4">
        <v>32.200000000000003</v>
      </c>
      <c r="F32">
        <v>2.9400000000000048</v>
      </c>
      <c r="G32"/>
      <c r="H32">
        <v>5.4599999999999937</v>
      </c>
      <c r="I32">
        <v>17.72</v>
      </c>
      <c r="J32">
        <v>7.269999999999996</v>
      </c>
      <c r="K32" s="4">
        <f>acum_porc!$AA$2- COUNTIF(acumulado_absoluto[[#This Row],[Ene 2024]:[Ago 2024]],"")</f>
        <v>6</v>
      </c>
      <c r="L3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3" spans="1:12" x14ac:dyDescent="0.2">
      <c r="A33" t="s">
        <v>216</v>
      </c>
      <c r="B33" s="4">
        <v>1.0500000000000114</v>
      </c>
      <c r="F33"/>
      <c r="G33"/>
      <c r="H33"/>
      <c r="I33"/>
      <c r="J33"/>
      <c r="K33" s="4">
        <f>acum_porc!$AA$2- COUNTIF(acumulado_absoluto[[#This Row],[Ene 2024]:[Ago 2024]],"")</f>
        <v>3</v>
      </c>
      <c r="L3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4" spans="1:12" x14ac:dyDescent="0.2">
      <c r="A34" t="s">
        <v>475</v>
      </c>
      <c r="D34" s="4">
        <v>15.079999999999998</v>
      </c>
      <c r="F34"/>
      <c r="G34"/>
      <c r="H34"/>
      <c r="I34"/>
      <c r="J34"/>
      <c r="K34" s="4">
        <f>acum_porc!$AA$2- COUNTIF(acumulado_absoluto[[#This Row],[Ene 2024]:[Ago 2024]],"")</f>
        <v>3</v>
      </c>
      <c r="L3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5" spans="1:12" x14ac:dyDescent="0.2">
      <c r="A35" t="s">
        <v>335</v>
      </c>
      <c r="B35" s="4">
        <v>5.2000000000000028</v>
      </c>
      <c r="C35" s="4">
        <v>28.099999999999994</v>
      </c>
      <c r="F35">
        <v>3.8100000000000023</v>
      </c>
      <c r="G35">
        <v>2.8699999999999974</v>
      </c>
      <c r="H35">
        <v>7.6000000000000085</v>
      </c>
      <c r="I35"/>
      <c r="J35"/>
      <c r="K35" s="4">
        <f>acum_porc!$AA$2- COUNTIF(acumulado_absoluto[[#This Row],[Ene 2024]:[Ago 2024]],"")</f>
        <v>7</v>
      </c>
      <c r="L3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6" spans="1:12" x14ac:dyDescent="0.2">
      <c r="A36" t="s">
        <v>652</v>
      </c>
      <c r="F36">
        <v>4.07</v>
      </c>
      <c r="G36">
        <v>4.5899999999999963</v>
      </c>
      <c r="H36">
        <v>3.6400000000000006</v>
      </c>
      <c r="I36">
        <v>26.39</v>
      </c>
      <c r="J36">
        <v>2.8499999999999943</v>
      </c>
      <c r="K36" s="4">
        <f>acum_porc!$AA$2- COUNTIF(acumulado_absoluto[[#This Row],[Ene 2024]:[Ago 2024]],"")</f>
        <v>6</v>
      </c>
      <c r="L3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7" spans="1:12" x14ac:dyDescent="0.2">
      <c r="A37" t="s">
        <v>651</v>
      </c>
      <c r="F37">
        <v>17.299999999999997</v>
      </c>
      <c r="G37">
        <v>17.18</v>
      </c>
      <c r="H37">
        <v>2.6299999999999955</v>
      </c>
      <c r="I37"/>
      <c r="J37"/>
      <c r="K37" s="4">
        <f>acum_porc!$AA$2- COUNTIF(acumulado_absoluto[[#This Row],[Ene 2024]:[Ago 2024]],"")</f>
        <v>5</v>
      </c>
      <c r="L3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8" spans="1:12" x14ac:dyDescent="0.2">
      <c r="A38" t="s">
        <v>340</v>
      </c>
      <c r="C38" s="4">
        <v>21.53</v>
      </c>
      <c r="F38"/>
      <c r="G38"/>
      <c r="H38"/>
      <c r="I38"/>
      <c r="J38"/>
      <c r="K38" s="4">
        <f>acum_porc!$AA$2- COUNTIF(acumulado_absoluto[[#This Row],[Ene 2024]:[Ago 2024]],"")</f>
        <v>3</v>
      </c>
      <c r="L3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9" spans="1:12" x14ac:dyDescent="0.2">
      <c r="A39" t="s">
        <v>780</v>
      </c>
      <c r="F39"/>
      <c r="G39">
        <v>17.579999999999998</v>
      </c>
      <c r="H39"/>
      <c r="I39">
        <v>19.549999999999997</v>
      </c>
      <c r="J39"/>
      <c r="K39" s="4">
        <f>acum_porc!$AA$2- COUNTIF(acumulado_absoluto[[#This Row],[Ene 2024]:[Ago 2024]],"")</f>
        <v>4</v>
      </c>
      <c r="L3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0" spans="1:12" x14ac:dyDescent="0.2">
      <c r="A40" t="s">
        <v>541</v>
      </c>
      <c r="E40" s="4">
        <v>3.6599999999999984</v>
      </c>
      <c r="F40">
        <v>4.93</v>
      </c>
      <c r="G40">
        <v>20.93</v>
      </c>
      <c r="H40"/>
      <c r="I40"/>
      <c r="J40"/>
      <c r="K40" s="4">
        <f>acum_porc!$AA$2- COUNTIF(acumulado_absoluto[[#This Row],[Ene 2024]:[Ago 2024]],"")</f>
        <v>5</v>
      </c>
      <c r="L4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1" spans="1:12" x14ac:dyDescent="0.2">
      <c r="A41" t="s">
        <v>472</v>
      </c>
      <c r="D41" s="4">
        <v>12.29</v>
      </c>
      <c r="F41"/>
      <c r="G41"/>
      <c r="H41"/>
      <c r="I41"/>
      <c r="J41"/>
      <c r="K41" s="4">
        <f>acum_porc!$AA$2- COUNTIF(acumulado_absoluto[[#This Row],[Ene 2024]:[Ago 2024]],"")</f>
        <v>3</v>
      </c>
      <c r="L4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2" spans="1:12" x14ac:dyDescent="0.2">
      <c r="A42" t="s">
        <v>337</v>
      </c>
      <c r="C42" s="4">
        <v>20.060000000000002</v>
      </c>
      <c r="E42" s="4">
        <v>19.670000000000002</v>
      </c>
      <c r="F42">
        <v>5.1300000000000026</v>
      </c>
      <c r="G42">
        <v>11.64</v>
      </c>
      <c r="H42"/>
      <c r="I42"/>
      <c r="J42"/>
      <c r="K42" s="4">
        <f>acum_porc!$AA$2- COUNTIF(acumulado_absoluto[[#This Row],[Ene 2024]:[Ago 2024]],"")</f>
        <v>6</v>
      </c>
      <c r="L4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3" spans="1:12" x14ac:dyDescent="0.2">
      <c r="A43" t="s">
        <v>788</v>
      </c>
      <c r="F43">
        <v>6.6999999999999993</v>
      </c>
      <c r="G43">
        <v>2.6799999999999997</v>
      </c>
      <c r="H43"/>
      <c r="I43"/>
      <c r="J43"/>
      <c r="K43" s="4">
        <f>acum_porc!$AA$2- COUNTIF(acumulado_absoluto[[#This Row],[Ene 2024]:[Ago 2024]],"")</f>
        <v>4</v>
      </c>
      <c r="L4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4" spans="1:12" x14ac:dyDescent="0.2">
      <c r="A44" t="s">
        <v>951</v>
      </c>
      <c r="F44"/>
      <c r="G44"/>
      <c r="H44">
        <v>34.67</v>
      </c>
      <c r="I44"/>
      <c r="J44"/>
      <c r="K44" s="4">
        <f>acum_porc!$AA$2- COUNTIF(acumulado_absoluto[[#This Row],[Ene 2024]:[Ago 2024]],"")</f>
        <v>3</v>
      </c>
      <c r="L4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5" spans="1:12" x14ac:dyDescent="0.2">
      <c r="A45" t="s">
        <v>792</v>
      </c>
      <c r="F45"/>
      <c r="G45">
        <v>0.78000000000000114</v>
      </c>
      <c r="H45">
        <v>0.26999999999999602</v>
      </c>
      <c r="I45">
        <v>20.549999999999997</v>
      </c>
      <c r="J45">
        <v>12.179999999999993</v>
      </c>
      <c r="K45" s="4">
        <f>acum_porc!$AA$2- COUNTIF(acumulado_absoluto[[#This Row],[Ene 2024]:[Ago 2024]],"")</f>
        <v>5</v>
      </c>
      <c r="L4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6" spans="1:12" x14ac:dyDescent="0.2">
      <c r="A46" t="s">
        <v>950</v>
      </c>
      <c r="F46"/>
      <c r="G46"/>
      <c r="H46">
        <v>28.910000000000004</v>
      </c>
      <c r="I46"/>
      <c r="J46"/>
      <c r="K46" s="4">
        <f>acum_porc!$AA$2- COUNTIF(acumulado_absoluto[[#This Row],[Ene 2024]:[Ago 2024]],"")</f>
        <v>3</v>
      </c>
      <c r="L4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7" spans="1:12" x14ac:dyDescent="0.2">
      <c r="A47" t="s">
        <v>783</v>
      </c>
      <c r="F47"/>
      <c r="G47">
        <v>20.199999999999996</v>
      </c>
      <c r="H47"/>
      <c r="I47"/>
      <c r="J47"/>
      <c r="K47" s="4">
        <f>acum_porc!$AA$2- COUNTIF(acumulado_absoluto[[#This Row],[Ene 2024]:[Ago 2024]],"")</f>
        <v>3</v>
      </c>
      <c r="L4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8" spans="1:12" x14ac:dyDescent="0.2">
      <c r="A48" t="s">
        <v>650</v>
      </c>
      <c r="F48">
        <v>5.2000000000000028</v>
      </c>
      <c r="G48">
        <v>30.379999999999995</v>
      </c>
      <c r="H48">
        <v>25.010000000000005</v>
      </c>
      <c r="I48"/>
      <c r="J48"/>
      <c r="K48" s="4">
        <f>acum_porc!$AA$2- COUNTIF(acumulado_absoluto[[#This Row],[Ene 2024]:[Ago 2024]],"")</f>
        <v>5</v>
      </c>
      <c r="L4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9" spans="1:12" x14ac:dyDescent="0.2">
      <c r="A49" t="s">
        <v>1104</v>
      </c>
      <c r="F49"/>
      <c r="G49"/>
      <c r="H49"/>
      <c r="I49"/>
      <c r="J49">
        <v>9.8100000000000023</v>
      </c>
      <c r="K49" s="4">
        <f>acum_porc!$AA$2- COUNTIF(acumulado_absoluto[[#This Row],[Ene 2024]:[Ago 2024]],"")</f>
        <v>2</v>
      </c>
      <c r="L4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0" spans="1:12" x14ac:dyDescent="0.2">
      <c r="A50" t="s">
        <v>223</v>
      </c>
      <c r="B50" s="4">
        <v>0.79999999999999716</v>
      </c>
      <c r="F50"/>
      <c r="G50"/>
      <c r="H50"/>
      <c r="I50"/>
      <c r="J50"/>
      <c r="K50" s="4">
        <f>acum_porc!$AA$2- COUNTIF(acumulado_absoluto[[#This Row],[Ene 2024]:[Ago 2024]],"")</f>
        <v>3</v>
      </c>
      <c r="L5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1" spans="1:12" x14ac:dyDescent="0.2">
      <c r="A51" t="s">
        <v>779</v>
      </c>
      <c r="F51"/>
      <c r="G51">
        <v>12.799999999999997</v>
      </c>
      <c r="H51"/>
      <c r="I51"/>
      <c r="J51"/>
      <c r="K51" s="4">
        <f>acum_porc!$AA$2- COUNTIF(acumulado_absoluto[[#This Row],[Ene 2024]:[Ago 2024]],"")</f>
        <v>3</v>
      </c>
      <c r="L5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2" spans="1:12" x14ac:dyDescent="0.2">
      <c r="A52" t="s">
        <v>789</v>
      </c>
      <c r="F52"/>
      <c r="G52">
        <v>0.21999999999999886</v>
      </c>
      <c r="H52"/>
      <c r="I52"/>
      <c r="J52"/>
      <c r="K52" s="4">
        <f>acum_porc!$AA$2- COUNTIF(acumulado_absoluto[[#This Row],[Ene 2024]:[Ago 2024]],"")</f>
        <v>3</v>
      </c>
      <c r="L5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3" spans="1:12" x14ac:dyDescent="0.2">
      <c r="A53" t="s">
        <v>946</v>
      </c>
      <c r="F53"/>
      <c r="G53"/>
      <c r="H53">
        <v>7.6400000000000006</v>
      </c>
      <c r="I53"/>
      <c r="J53"/>
      <c r="K53" s="4">
        <f>acum_porc!$AA$2- COUNTIF(acumulado_absoluto[[#This Row],[Ene 2024]:[Ago 2024]],"")</f>
        <v>3</v>
      </c>
      <c r="L5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4" spans="1:12" x14ac:dyDescent="0.2">
      <c r="A54" t="s">
        <v>786</v>
      </c>
      <c r="F54"/>
      <c r="G54">
        <v>43.870000000000005</v>
      </c>
      <c r="H54">
        <v>7.0999999999999943</v>
      </c>
      <c r="I54">
        <v>12.439999999999998</v>
      </c>
      <c r="J54">
        <v>2.1400000000000006</v>
      </c>
      <c r="K54" s="4">
        <f>acum_porc!$AA$2- COUNTIF(acumulado_absoluto[[#This Row],[Ene 2024]:[Ago 2024]],"")</f>
        <v>5</v>
      </c>
      <c r="L5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5" spans="1:12" x14ac:dyDescent="0.2">
      <c r="A55" t="s">
        <v>224</v>
      </c>
      <c r="B55" s="4">
        <v>7.539999999999992</v>
      </c>
      <c r="C55" s="4">
        <v>32.36</v>
      </c>
      <c r="F55"/>
      <c r="G55"/>
      <c r="H55"/>
      <c r="I55"/>
      <c r="J55"/>
      <c r="K55" s="4">
        <f>acum_porc!$AA$2- COUNTIF(acumulado_absoluto[[#This Row],[Ene 2024]:[Ago 2024]],"")</f>
        <v>4</v>
      </c>
      <c r="L5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6" spans="1:12" x14ac:dyDescent="0.2">
      <c r="A56" t="s">
        <v>411</v>
      </c>
      <c r="B56" s="4">
        <v>28.680000000000007</v>
      </c>
      <c r="E56" s="4">
        <v>10.220000000000001</v>
      </c>
      <c r="F56">
        <v>8.379999999999999</v>
      </c>
      <c r="G56">
        <v>26.63</v>
      </c>
      <c r="H56"/>
      <c r="I56"/>
      <c r="J56"/>
      <c r="K56" s="4">
        <f>acum_porc!$AA$2- COUNTIF(acumulado_absoluto[[#This Row],[Ene 2024]:[Ago 2024]],"")</f>
        <v>6</v>
      </c>
      <c r="L5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7" spans="1:12" x14ac:dyDescent="0.2">
      <c r="A57" t="s">
        <v>781</v>
      </c>
      <c r="F57"/>
      <c r="G57">
        <v>24.229999999999997</v>
      </c>
      <c r="H57"/>
      <c r="I57"/>
      <c r="J57"/>
      <c r="K57" s="4">
        <f>acum_porc!$AA$2- COUNTIF(acumulado_absoluto[[#This Row],[Ene 2024]:[Ago 2024]],"")</f>
        <v>3</v>
      </c>
      <c r="L5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8" spans="1:12" x14ac:dyDescent="0.2">
      <c r="A58" t="s">
        <v>803</v>
      </c>
      <c r="F58"/>
      <c r="G58">
        <v>7.1000000000000014</v>
      </c>
      <c r="H58">
        <v>6.7400000000000091</v>
      </c>
      <c r="I58">
        <v>21.480000000000004</v>
      </c>
      <c r="J58">
        <v>11.350000000000009</v>
      </c>
      <c r="K58" s="4">
        <f>acum_porc!$AA$2- COUNTIF(acumulado_absoluto[[#This Row],[Ene 2024]:[Ago 2024]],"")</f>
        <v>5</v>
      </c>
      <c r="L5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9" spans="1:12" x14ac:dyDescent="0.2">
      <c r="A59" t="s">
        <v>645</v>
      </c>
      <c r="F59">
        <v>7.740000000000002</v>
      </c>
      <c r="G59">
        <v>12.369999999999997</v>
      </c>
      <c r="H59"/>
      <c r="I59">
        <v>3.269999999999996</v>
      </c>
      <c r="J59">
        <v>6.8499999999999943</v>
      </c>
      <c r="K59" s="4">
        <f>acum_porc!$AA$2- COUNTIF(acumulado_absoluto[[#This Row],[Ene 2024]:[Ago 2024]],"")</f>
        <v>5</v>
      </c>
      <c r="L5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0" spans="1:12" x14ac:dyDescent="0.2">
      <c r="A60" t="s">
        <v>947</v>
      </c>
      <c r="F60"/>
      <c r="G60"/>
      <c r="H60">
        <v>8.0700000000000074</v>
      </c>
      <c r="I60"/>
      <c r="J60"/>
      <c r="K60" s="4">
        <f>acum_porc!$AA$2- COUNTIF(acumulado_absoluto[[#This Row],[Ene 2024]:[Ago 2024]],"")</f>
        <v>3</v>
      </c>
      <c r="L6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1" spans="1:12" x14ac:dyDescent="0.2">
      <c r="A61" t="s">
        <v>1103</v>
      </c>
      <c r="F61"/>
      <c r="G61"/>
      <c r="H61"/>
      <c r="I61"/>
      <c r="J61">
        <v>11.670000000000002</v>
      </c>
      <c r="K61" s="4">
        <f>acum_porc!$AA$2- COUNTIF(acumulado_absoluto[[#This Row],[Ene 2024]:[Ago 2024]],"")</f>
        <v>2</v>
      </c>
      <c r="L6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2" spans="1:12" x14ac:dyDescent="0.2">
      <c r="A62" t="s">
        <v>932</v>
      </c>
      <c r="F62"/>
      <c r="G62"/>
      <c r="H62">
        <v>8.4000000000000057</v>
      </c>
      <c r="I62"/>
      <c r="J62"/>
      <c r="K62" s="4">
        <f>acum_porc!$AA$2- COUNTIF(acumulado_absoluto[[#This Row],[Ene 2024]:[Ago 2024]],"")</f>
        <v>3</v>
      </c>
      <c r="L6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3" spans="1:12" x14ac:dyDescent="0.2">
      <c r="A63" t="s">
        <v>948</v>
      </c>
      <c r="F63"/>
      <c r="G63"/>
      <c r="H63">
        <v>13.940000000000005</v>
      </c>
      <c r="I63">
        <v>21.679999999999993</v>
      </c>
      <c r="J63"/>
      <c r="K63" s="4">
        <f>acum_porc!$AA$2- COUNTIF(acumulado_absoluto[[#This Row],[Ene 2024]:[Ago 2024]],"")</f>
        <v>4</v>
      </c>
      <c r="L6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4" spans="1:12" x14ac:dyDescent="0.2">
      <c r="A64" t="s">
        <v>404</v>
      </c>
      <c r="B64" s="4">
        <v>0.18000000000000682</v>
      </c>
      <c r="C64" s="4">
        <v>13.54</v>
      </c>
      <c r="F64">
        <v>0.10000000000000142</v>
      </c>
      <c r="G64">
        <v>3.8399999999999963</v>
      </c>
      <c r="H64"/>
      <c r="I64"/>
      <c r="J64"/>
      <c r="K64" s="4">
        <f>acum_porc!$AA$2- COUNTIF(acumulado_absoluto[[#This Row],[Ene 2024]:[Ago 2024]],"")</f>
        <v>6</v>
      </c>
      <c r="L6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5" spans="1:12" x14ac:dyDescent="0.2">
      <c r="A65" t="s">
        <v>945</v>
      </c>
      <c r="F65"/>
      <c r="G65"/>
      <c r="H65">
        <v>4.1400000000000006</v>
      </c>
      <c r="I65"/>
      <c r="J65"/>
      <c r="K65" s="4">
        <f>acum_porc!$AA$2- COUNTIF(acumulado_absoluto[[#This Row],[Ene 2024]:[Ago 2024]],"")</f>
        <v>3</v>
      </c>
      <c r="L6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6" spans="1:12" x14ac:dyDescent="0.2">
      <c r="A66" t="s">
        <v>220</v>
      </c>
      <c r="B66" s="4">
        <v>11.100000000000009</v>
      </c>
      <c r="F66"/>
      <c r="G66"/>
      <c r="H66"/>
      <c r="I66"/>
      <c r="J66"/>
      <c r="K66" s="4">
        <f>acum_porc!$AA$2- COUNTIF(acumulado_absoluto[[#This Row],[Ene 2024]:[Ago 2024]],"")</f>
        <v>3</v>
      </c>
      <c r="L6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7" spans="1:12" x14ac:dyDescent="0.2">
      <c r="A67" t="s">
        <v>949</v>
      </c>
      <c r="F67"/>
      <c r="G67"/>
      <c r="H67">
        <v>22.28</v>
      </c>
      <c r="I67"/>
      <c r="J67"/>
      <c r="K67" s="4">
        <f>acum_porc!$AA$2- COUNTIF(acumulado_absoluto[[#This Row],[Ene 2024]:[Ago 2024]],"")</f>
        <v>3</v>
      </c>
      <c r="L6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8" spans="1:12" x14ac:dyDescent="0.2">
      <c r="A68" t="s">
        <v>410</v>
      </c>
      <c r="B68" s="4">
        <v>17.100000000000009</v>
      </c>
      <c r="F68"/>
      <c r="G68"/>
      <c r="H68"/>
      <c r="I68"/>
      <c r="J68"/>
      <c r="K68" s="4">
        <f>acum_porc!$AA$2- COUNTIF(acumulado_absoluto[[#This Row],[Ene 2024]:[Ago 2024]],"")</f>
        <v>3</v>
      </c>
      <c r="L6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9" spans="1:12" x14ac:dyDescent="0.2">
      <c r="A69" t="s">
        <v>400</v>
      </c>
      <c r="B69" s="4">
        <v>15.600000000000009</v>
      </c>
      <c r="F69">
        <v>7.3999999999999986</v>
      </c>
      <c r="G69"/>
      <c r="H69">
        <v>2.3400000000000034</v>
      </c>
      <c r="I69"/>
      <c r="J69"/>
      <c r="K69" s="4">
        <f>acum_porc!$AA$2- COUNTIF(acumulado_absoluto[[#This Row],[Ene 2024]:[Ago 2024]],"")</f>
        <v>5</v>
      </c>
      <c r="L6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0" spans="1:12" x14ac:dyDescent="0.2">
      <c r="A70" t="s">
        <v>405</v>
      </c>
      <c r="B70" s="4">
        <v>8.2299999999999898</v>
      </c>
      <c r="F70"/>
      <c r="G70"/>
      <c r="H70">
        <v>11.630000000000003</v>
      </c>
      <c r="I70"/>
      <c r="J70"/>
      <c r="K70" s="4">
        <f>acum_porc!$AA$2- COUNTIF(acumulado_absoluto[[#This Row],[Ene 2024]:[Ago 2024]],"")</f>
        <v>4</v>
      </c>
      <c r="L7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1" spans="1:12" x14ac:dyDescent="0.2">
      <c r="A71" t="s">
        <v>647</v>
      </c>
      <c r="F71">
        <v>2.9600000000000009</v>
      </c>
      <c r="G71"/>
      <c r="H71"/>
      <c r="I71"/>
      <c r="J71"/>
      <c r="K71" s="4">
        <f>acum_porc!$AA$2- COUNTIF(acumulado_absoluto[[#This Row],[Ene 2024]:[Ago 2024]],"")</f>
        <v>3</v>
      </c>
      <c r="L7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2" spans="1:12" x14ac:dyDescent="0.2">
      <c r="A72" t="s">
        <v>952</v>
      </c>
      <c r="F72"/>
      <c r="G72"/>
      <c r="H72">
        <v>38.71</v>
      </c>
      <c r="I72"/>
      <c r="J72"/>
      <c r="K72" s="4">
        <f>acum_porc!$AA$2- COUNTIF(acumulado_absoluto[[#This Row],[Ene 2024]:[Ago 2024]],"")</f>
        <v>3</v>
      </c>
      <c r="L7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3" spans="1:12" x14ac:dyDescent="0.2">
      <c r="A73" t="s">
        <v>646</v>
      </c>
      <c r="F73">
        <v>3.1499999999999986</v>
      </c>
      <c r="G73"/>
      <c r="H73"/>
      <c r="I73"/>
      <c r="J73"/>
      <c r="K73" s="4">
        <f>acum_porc!$AA$2- COUNTIF(acumulado_absoluto[[#This Row],[Ene 2024]:[Ago 2024]],"")</f>
        <v>3</v>
      </c>
      <c r="L7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4" spans="1:12" x14ac:dyDescent="0.2">
      <c r="A74" t="s">
        <v>227</v>
      </c>
      <c r="B74" s="4">
        <v>13.350000000000009</v>
      </c>
      <c r="F74"/>
      <c r="G74"/>
      <c r="H74"/>
      <c r="I74"/>
      <c r="J74"/>
      <c r="K74" s="4">
        <f>acum_porc!$AA$2- COUNTIF(acumulado_absoluto[[#This Row],[Ene 2024]:[Ago 2024]],"")</f>
        <v>3</v>
      </c>
      <c r="L7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5" spans="1:12" x14ac:dyDescent="0.2">
      <c r="A75" t="s">
        <v>943</v>
      </c>
      <c r="F75"/>
      <c r="G75"/>
      <c r="H75">
        <v>4.1899999999999977</v>
      </c>
      <c r="I75"/>
      <c r="J75"/>
      <c r="K75" s="4">
        <f>acum_porc!$AA$2- COUNTIF(acumulado_absoluto[[#This Row],[Ene 2024]:[Ago 2024]],"")</f>
        <v>3</v>
      </c>
      <c r="L7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6" spans="1:12" x14ac:dyDescent="0.2">
      <c r="A76" t="s">
        <v>473</v>
      </c>
      <c r="D76" s="4">
        <v>45.019999999999996</v>
      </c>
      <c r="F76"/>
      <c r="G76"/>
      <c r="H76"/>
      <c r="I76"/>
      <c r="J76"/>
      <c r="K76" s="4">
        <f>acum_porc!$AA$2- COUNTIF(acumulado_absoluto[[#This Row],[Ene 2024]:[Ago 2024]],"")</f>
        <v>3</v>
      </c>
      <c r="L7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7" spans="1:12" x14ac:dyDescent="0.2">
      <c r="A77" t="s">
        <v>1026</v>
      </c>
      <c r="F77"/>
      <c r="G77"/>
      <c r="H77"/>
      <c r="I77">
        <v>3.2000000000000028</v>
      </c>
      <c r="J77">
        <v>15.629999999999995</v>
      </c>
      <c r="K77" s="4">
        <f>acum_porc!$AA$2- COUNTIF(acumulado_absoluto[[#This Row],[Ene 2024]:[Ago 2024]],"")</f>
        <v>3</v>
      </c>
      <c r="L7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8" spans="1:12" x14ac:dyDescent="0.2">
      <c r="A78" t="s">
        <v>784</v>
      </c>
      <c r="F78"/>
      <c r="G78">
        <v>4.230000000000004</v>
      </c>
      <c r="H78">
        <v>6.8100000000000023</v>
      </c>
      <c r="I78">
        <v>21.090000000000003</v>
      </c>
      <c r="J78">
        <v>1.8699999999999903</v>
      </c>
      <c r="K78" s="4">
        <f>acum_porc!$AA$2- COUNTIF(acumulado_absoluto[[#This Row],[Ene 2024]:[Ago 2024]],"")</f>
        <v>5</v>
      </c>
      <c r="L7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9" spans="1:12" x14ac:dyDescent="0.2">
      <c r="A79" t="s">
        <v>791</v>
      </c>
      <c r="F79"/>
      <c r="G79">
        <v>0.12000000000000455</v>
      </c>
      <c r="H79">
        <v>17.21</v>
      </c>
      <c r="I79"/>
      <c r="J79"/>
      <c r="K79" s="4">
        <f>acum_porc!$AA$2- COUNTIF(acumulado_absoluto[[#This Row],[Ene 2024]:[Ago 2024]],"")</f>
        <v>4</v>
      </c>
      <c r="L7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0" spans="1:12" x14ac:dyDescent="0.2">
      <c r="A80" t="s">
        <v>1027</v>
      </c>
      <c r="F80"/>
      <c r="G80"/>
      <c r="H80">
        <v>4.0499999999999972</v>
      </c>
      <c r="I80">
        <v>4.1400000000000006</v>
      </c>
      <c r="J80">
        <v>12.269999999999996</v>
      </c>
      <c r="K80" s="4">
        <f>acum_porc!$AA$2- COUNTIF(acumulado_absoluto[[#This Row],[Ene 2024]:[Ago 2024]],"")</f>
        <v>4</v>
      </c>
      <c r="L8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1" spans="1:12" x14ac:dyDescent="0.2">
      <c r="A81" t="s">
        <v>942</v>
      </c>
      <c r="F81"/>
      <c r="G81"/>
      <c r="H81">
        <v>6.5799999999999983</v>
      </c>
      <c r="I81">
        <v>21.349999999999994</v>
      </c>
      <c r="J81">
        <v>11.069999999999993</v>
      </c>
      <c r="K81" s="4">
        <f>acum_porc!$AA$2- COUNTIF(acumulado_absoluto[[#This Row],[Ene 2024]:[Ago 2024]],"")</f>
        <v>4</v>
      </c>
      <c r="L8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2" spans="1:12" x14ac:dyDescent="0.2">
      <c r="A82" t="s">
        <v>1028</v>
      </c>
      <c r="F82"/>
      <c r="G82">
        <v>0.75999999999999801</v>
      </c>
      <c r="H82">
        <v>4.1200000000000045</v>
      </c>
      <c r="I82">
        <v>14.730000000000004</v>
      </c>
      <c r="J82">
        <v>9.64</v>
      </c>
      <c r="K82" s="4">
        <f>acum_porc!$AA$2- COUNTIF(acumulado_absoluto[[#This Row],[Ene 2024]:[Ago 2024]],"")</f>
        <v>5</v>
      </c>
      <c r="L8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3" spans="1:12" x14ac:dyDescent="0.2">
      <c r="A83" t="s">
        <v>416</v>
      </c>
      <c r="C83" s="4">
        <v>47.55</v>
      </c>
      <c r="F83"/>
      <c r="G83"/>
      <c r="H83"/>
      <c r="I83"/>
      <c r="J83"/>
      <c r="K83" s="4">
        <f>acum_porc!$AA$2- COUNTIF(acumulado_absoluto[[#This Row],[Ene 2024]:[Ago 2024]],"")</f>
        <v>3</v>
      </c>
      <c r="L8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4" spans="1:12" x14ac:dyDescent="0.2">
      <c r="A84" t="s">
        <v>1106</v>
      </c>
      <c r="F84"/>
      <c r="G84"/>
      <c r="H84"/>
      <c r="I84"/>
      <c r="J84">
        <v>5.6400000000000006</v>
      </c>
      <c r="K84" s="4">
        <f>acum_porc!$AA$2- COUNTIF(acumulado_absoluto[[#This Row],[Ene 2024]:[Ago 2024]],"")</f>
        <v>2</v>
      </c>
      <c r="L8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5" spans="1:12" x14ac:dyDescent="0.2">
      <c r="A85" t="s">
        <v>542</v>
      </c>
      <c r="E85" s="4">
        <v>6.24</v>
      </c>
      <c r="F85">
        <v>3.7799999999999976</v>
      </c>
      <c r="G85">
        <v>11.629999999999995</v>
      </c>
      <c r="H85">
        <v>1.0600000000000023</v>
      </c>
      <c r="I85">
        <v>8.769999999999996</v>
      </c>
      <c r="J85">
        <v>15.950000000000003</v>
      </c>
      <c r="K85" s="4">
        <f>acum_porc!$AA$2- COUNTIF(acumulado_absoluto[[#This Row],[Ene 2024]:[Ago 2024]],"")</f>
        <v>7</v>
      </c>
      <c r="L8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6" spans="1:12" x14ac:dyDescent="0.2">
      <c r="A86" t="s">
        <v>653</v>
      </c>
      <c r="F86">
        <v>11.639999999999997</v>
      </c>
      <c r="G86">
        <v>0.75</v>
      </c>
      <c r="H86"/>
      <c r="I86"/>
      <c r="J86"/>
      <c r="K86" s="4">
        <f>acum_porc!$AA$2- COUNTIF(acumulado_absoluto[[#This Row],[Ene 2024]:[Ago 2024]],"")</f>
        <v>4</v>
      </c>
      <c r="L8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7" spans="1:12" x14ac:dyDescent="0.2">
      <c r="A87" t="s">
        <v>782</v>
      </c>
      <c r="F87"/>
      <c r="G87">
        <v>12.350000000000001</v>
      </c>
      <c r="H87"/>
      <c r="I87"/>
      <c r="J87"/>
      <c r="K87" s="4">
        <f>acum_porc!$AA$2- COUNTIF(acumulado_absoluto[[#This Row],[Ene 2024]:[Ago 2024]],"")</f>
        <v>3</v>
      </c>
      <c r="L8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8" spans="1:12" x14ac:dyDescent="0.2">
      <c r="A88" t="s">
        <v>399</v>
      </c>
      <c r="B88" s="4">
        <v>0.46000000000000796</v>
      </c>
      <c r="C88" s="4">
        <v>25.86</v>
      </c>
      <c r="F88">
        <v>4.8299999999999983</v>
      </c>
      <c r="G88">
        <v>12.879999999999995</v>
      </c>
      <c r="H88"/>
      <c r="I88"/>
      <c r="J88"/>
      <c r="K88" s="4">
        <f>acum_porc!$AA$2- COUNTIF(acumulado_absoluto[[#This Row],[Ene 2024]:[Ago 2024]],"")</f>
        <v>6</v>
      </c>
      <c r="L8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9" spans="1:12" x14ac:dyDescent="0.2">
      <c r="A89" t="s">
        <v>648</v>
      </c>
      <c r="F89">
        <v>12.279999999999998</v>
      </c>
      <c r="G89"/>
      <c r="H89"/>
      <c r="I89"/>
      <c r="J89"/>
      <c r="K89" s="4">
        <f>acum_porc!$AA$2- COUNTIF(acumulado_absoluto[[#This Row],[Ene 2024]:[Ago 2024]],"")</f>
        <v>3</v>
      </c>
      <c r="L8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0" spans="1:12" x14ac:dyDescent="0.2">
      <c r="A90" t="s">
        <v>339</v>
      </c>
      <c r="C90" s="4">
        <v>46.2</v>
      </c>
      <c r="F90"/>
      <c r="G90"/>
      <c r="H90"/>
      <c r="I90"/>
      <c r="J90"/>
      <c r="K90" s="4">
        <f>acum_porc!$AA$2- COUNTIF(acumulado_absoluto[[#This Row],[Ene 2024]:[Ago 2024]],"")</f>
        <v>3</v>
      </c>
      <c r="L9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1" spans="1:12" x14ac:dyDescent="0.2">
      <c r="A91" t="s">
        <v>407</v>
      </c>
      <c r="B91" s="4">
        <v>1.5500000000000114</v>
      </c>
      <c r="C91" s="4">
        <v>30.22</v>
      </c>
      <c r="D91" s="4">
        <v>27.439999999999998</v>
      </c>
      <c r="F91"/>
      <c r="G91">
        <v>9.4200000000000017</v>
      </c>
      <c r="H91">
        <v>24.010000000000005</v>
      </c>
      <c r="I91"/>
      <c r="J91"/>
      <c r="K91" s="4">
        <f>acum_porc!$AA$2- COUNTIF(acumulado_absoluto[[#This Row],[Ene 2024]:[Ago 2024]],"")</f>
        <v>7</v>
      </c>
      <c r="L9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2" spans="1:12" x14ac:dyDescent="0.2">
      <c r="A92" t="s">
        <v>239</v>
      </c>
      <c r="B92" s="4">
        <v>16</v>
      </c>
      <c r="F92"/>
      <c r="G92"/>
      <c r="H92"/>
      <c r="I92"/>
      <c r="J92"/>
      <c r="K92" s="4">
        <f>acum_porc!$AA$2- COUNTIF(acumulado_absoluto[[#This Row],[Ene 2024]:[Ago 2024]],"")</f>
        <v>3</v>
      </c>
      <c r="L9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3" spans="1:12" x14ac:dyDescent="0.2">
      <c r="A93" t="s">
        <v>785</v>
      </c>
      <c r="F93"/>
      <c r="G93">
        <v>7.490000000000002</v>
      </c>
      <c r="H93">
        <v>6.3400000000000034</v>
      </c>
      <c r="I93">
        <v>10.399999999999991</v>
      </c>
      <c r="J93">
        <v>17.459999999999994</v>
      </c>
      <c r="K93" s="4">
        <f>acum_porc!$AA$2- COUNTIF(acumulado_absoluto[[#This Row],[Ene 2024]:[Ago 2024]],"")</f>
        <v>5</v>
      </c>
      <c r="L9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4" spans="1:12" x14ac:dyDescent="0.2">
      <c r="A94" t="s">
        <v>544</v>
      </c>
      <c r="E94" s="4">
        <v>9.83</v>
      </c>
      <c r="F94"/>
      <c r="G94"/>
      <c r="H94"/>
      <c r="I94"/>
      <c r="J94"/>
      <c r="K94" s="4">
        <f>acum_porc!$AA$2- COUNTIF(acumulado_absoluto[[#This Row],[Ene 2024]:[Ago 2024]],"")</f>
        <v>3</v>
      </c>
      <c r="L9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5" spans="1:12" x14ac:dyDescent="0.2">
      <c r="A95" t="s">
        <v>364</v>
      </c>
      <c r="C95" s="4">
        <v>31.010000000000005</v>
      </c>
      <c r="D95" s="4">
        <v>27.39</v>
      </c>
      <c r="E95" s="4">
        <v>11.040000000000001</v>
      </c>
      <c r="F95">
        <v>1.4800000000000004</v>
      </c>
      <c r="G95">
        <v>8.07</v>
      </c>
      <c r="H95"/>
      <c r="I95">
        <v>17.929999999999993</v>
      </c>
      <c r="J95"/>
      <c r="K95" s="4">
        <f>acum_porc!$AA$2- COUNTIF(acumulado_absoluto[[#This Row],[Ene 2024]:[Ago 2024]],"")</f>
        <v>8</v>
      </c>
      <c r="L95" s="4" t="e">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#NUM!</v>
      </c>
    </row>
    <row r="96" spans="1:12" x14ac:dyDescent="0.2">
      <c r="A96" t="s">
        <v>543</v>
      </c>
      <c r="C96" s="4">
        <v>27.200000000000003</v>
      </c>
      <c r="D96" s="4">
        <v>6.9599999999999973</v>
      </c>
      <c r="E96" s="4">
        <v>5.4</v>
      </c>
      <c r="F96">
        <v>1.7799999999999976</v>
      </c>
      <c r="G96">
        <v>6.7899999999999991</v>
      </c>
      <c r="H96">
        <v>5.6500000000000057</v>
      </c>
      <c r="I96"/>
      <c r="J96"/>
      <c r="K96" s="4">
        <f>acum_porc!$AA$2- COUNTIF(acumulado_absoluto[[#This Row],[Ene 2024]:[Ago 2024]],"")</f>
        <v>8</v>
      </c>
      <c r="L96" s="4" t="e">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#NUM!</v>
      </c>
    </row>
  </sheetData>
  <phoneticPr fontId="9" type="noConversion"/>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554</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652</v>
      </c>
      <c r="F14">
        <f>COUNTA(acumulado_porcentaje_SIN_MAYO[[#This Row],[Ene 2024]:[Abr 2024]])</f>
        <v>0</v>
      </c>
      <c r="K14" s="55" t="s">
        <v>555</v>
      </c>
    </row>
    <row r="15" spans="1:15" x14ac:dyDescent="0.2">
      <c r="A15" t="s">
        <v>651</v>
      </c>
      <c r="F15">
        <f>COUNTA(acumulado_porcentaje_SIN_MAYO[[#This Row],[Ene 2024]:[Abr 2024]])</f>
        <v>0</v>
      </c>
      <c r="K15">
        <v>1</v>
      </c>
      <c r="L15">
        <v>2</v>
      </c>
      <c r="M15">
        <v>3</v>
      </c>
      <c r="N15">
        <v>4</v>
      </c>
      <c r="O15" t="s">
        <v>557</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649</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115" t="s">
        <v>556</v>
      </c>
      <c r="L23" s="115"/>
      <c r="M23" s="115"/>
      <c r="N23" s="115"/>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650</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559</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ht="11.4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645</v>
      </c>
      <c r="F35">
        <f>COUNTA(acumulado_porcentaje_SIN_MAYO[[#This Row],[Ene 2024]:[Abr 2024]])</f>
        <v>0</v>
      </c>
    </row>
    <row r="36" spans="1:6"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x14ac:dyDescent="0.2">
      <c r="A39" t="s">
        <v>401</v>
      </c>
      <c r="B39">
        <v>0.17543859649122809</v>
      </c>
      <c r="C39">
        <v>0.875</v>
      </c>
      <c r="D39">
        <v>1.7120315581854042</v>
      </c>
      <c r="E39">
        <v>2.4711046086320412</v>
      </c>
      <c r="F39">
        <f>COUNTA(acumulado_porcentaje_SIN_MAYO[[#This Row],[Ene 2024]:[Abr 2024]])</f>
        <v>4</v>
      </c>
    </row>
    <row r="40" spans="1:6"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647</v>
      </c>
      <c r="F48">
        <f>COUNTA(acumulado_porcentaje_SIN_MAYO[[#This Row],[Ene 2024]:[Abr 2024]])</f>
        <v>0</v>
      </c>
    </row>
    <row r="49" spans="1:6" x14ac:dyDescent="0.2">
      <c r="A49" t="s">
        <v>646</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653</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648</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92"/>
  <sheetViews>
    <sheetView topLeftCell="A34" zoomScale="175" zoomScaleNormal="175" workbookViewId="0">
      <selection activeCell="B42" sqref="B42"/>
    </sheetView>
  </sheetViews>
  <sheetFormatPr baseColWidth="10" defaultRowHeight="12" x14ac:dyDescent="0.2"/>
  <cols>
    <col min="1" max="1" width="12.42578125" bestFit="1" customWidth="1"/>
    <col min="2" max="2" width="23.5703125" bestFit="1" customWidth="1"/>
    <col min="3" max="3" width="20.85546875" bestFit="1" customWidth="1"/>
  </cols>
  <sheetData>
    <row r="1" spans="1:3" x14ac:dyDescent="0.2">
      <c r="A1" t="s">
        <v>233</v>
      </c>
      <c r="B1" t="s">
        <v>485</v>
      </c>
      <c r="C1" t="s">
        <v>21</v>
      </c>
    </row>
    <row r="2" spans="1:3" x14ac:dyDescent="0.2">
      <c r="A2" t="s">
        <v>383</v>
      </c>
      <c r="B2" t="s">
        <v>326</v>
      </c>
      <c r="C2" t="s">
        <v>328</v>
      </c>
    </row>
    <row r="3" spans="1:3" x14ac:dyDescent="0.2">
      <c r="A3" t="s">
        <v>301</v>
      </c>
      <c r="B3" t="s">
        <v>302</v>
      </c>
      <c r="C3" t="s">
        <v>301</v>
      </c>
    </row>
    <row r="4" spans="1:3" x14ac:dyDescent="0.2">
      <c r="A4" t="s">
        <v>301</v>
      </c>
      <c r="B4" t="s">
        <v>747</v>
      </c>
      <c r="C4" t="s">
        <v>203</v>
      </c>
    </row>
    <row r="5" spans="1:3" x14ac:dyDescent="0.2">
      <c r="A5" t="s">
        <v>200</v>
      </c>
      <c r="B5" t="s">
        <v>201</v>
      </c>
      <c r="C5" t="s">
        <v>593</v>
      </c>
    </row>
    <row r="6" spans="1:3" x14ac:dyDescent="0.2">
      <c r="A6" t="s">
        <v>124</v>
      </c>
      <c r="B6" t="s">
        <v>166</v>
      </c>
      <c r="C6" t="s">
        <v>124</v>
      </c>
    </row>
    <row r="7" spans="1:3" x14ac:dyDescent="0.2">
      <c r="A7" t="s">
        <v>124</v>
      </c>
      <c r="B7" t="s">
        <v>125</v>
      </c>
      <c r="C7" t="s">
        <v>124</v>
      </c>
    </row>
    <row r="8" spans="1:3" x14ac:dyDescent="0.2">
      <c r="A8" t="s">
        <v>392</v>
      </c>
      <c r="B8" t="s">
        <v>393</v>
      </c>
      <c r="C8" t="s">
        <v>181</v>
      </c>
    </row>
    <row r="9" spans="1:3" x14ac:dyDescent="0.2">
      <c r="A9" t="s">
        <v>850</v>
      </c>
      <c r="B9" t="s">
        <v>851</v>
      </c>
      <c r="C9" t="s">
        <v>853</v>
      </c>
    </row>
    <row r="10" spans="1:3" x14ac:dyDescent="0.2">
      <c r="A10" t="s">
        <v>1003</v>
      </c>
      <c r="B10" t="s">
        <v>1004</v>
      </c>
      <c r="C10" t="s">
        <v>1007</v>
      </c>
    </row>
    <row r="11" spans="1:3" x14ac:dyDescent="0.2">
      <c r="A11" t="s">
        <v>290</v>
      </c>
      <c r="B11" t="s">
        <v>387</v>
      </c>
      <c r="C11" t="s">
        <v>290</v>
      </c>
    </row>
    <row r="12" spans="1:3" x14ac:dyDescent="0.2">
      <c r="A12" t="s">
        <v>384</v>
      </c>
      <c r="B12" t="s">
        <v>315</v>
      </c>
      <c r="C12" t="s">
        <v>317</v>
      </c>
    </row>
    <row r="13" spans="1:3" x14ac:dyDescent="0.2">
      <c r="A13" t="s">
        <v>107</v>
      </c>
      <c r="B13" t="s">
        <v>108</v>
      </c>
      <c r="C13" t="s">
        <v>111</v>
      </c>
    </row>
    <row r="14" spans="1:3" x14ac:dyDescent="0.2">
      <c r="A14" t="s">
        <v>103</v>
      </c>
      <c r="B14" t="s">
        <v>104</v>
      </c>
      <c r="C14" t="s">
        <v>993</v>
      </c>
    </row>
    <row r="15" spans="1:3" x14ac:dyDescent="0.2">
      <c r="A15" t="s">
        <v>160</v>
      </c>
      <c r="B15" t="s">
        <v>332</v>
      </c>
      <c r="C15" t="s">
        <v>758</v>
      </c>
    </row>
    <row r="16" spans="1:3" x14ac:dyDescent="0.2">
      <c r="A16" t="s">
        <v>160</v>
      </c>
      <c r="B16" t="s">
        <v>260</v>
      </c>
      <c r="C16" t="s">
        <v>263</v>
      </c>
    </row>
    <row r="17" spans="1:3" x14ac:dyDescent="0.2">
      <c r="A17" t="s">
        <v>160</v>
      </c>
      <c r="B17" t="s">
        <v>447</v>
      </c>
      <c r="C17" t="s">
        <v>449</v>
      </c>
    </row>
    <row r="18" spans="1:3" x14ac:dyDescent="0.2">
      <c r="A18" t="s">
        <v>160</v>
      </c>
      <c r="B18" t="s">
        <v>630</v>
      </c>
      <c r="C18" t="s">
        <v>633</v>
      </c>
    </row>
    <row r="19" spans="1:3" x14ac:dyDescent="0.2">
      <c r="A19" t="s">
        <v>160</v>
      </c>
      <c r="B19" t="s">
        <v>635</v>
      </c>
      <c r="C19" t="s">
        <v>637</v>
      </c>
    </row>
    <row r="20" spans="1:3" x14ac:dyDescent="0.2">
      <c r="A20" t="s">
        <v>264</v>
      </c>
      <c r="B20" t="s">
        <v>265</v>
      </c>
      <c r="C20" t="s">
        <v>264</v>
      </c>
    </row>
    <row r="21" spans="1:3" x14ac:dyDescent="0.2">
      <c r="A21" t="s">
        <v>1141</v>
      </c>
      <c r="B21" t="s">
        <v>1142</v>
      </c>
      <c r="C21" t="s">
        <v>1128</v>
      </c>
    </row>
    <row r="22" spans="1:3" x14ac:dyDescent="0.2">
      <c r="A22" t="s">
        <v>525</v>
      </c>
      <c r="B22" t="s">
        <v>526</v>
      </c>
      <c r="C22" t="s">
        <v>525</v>
      </c>
    </row>
    <row r="23" spans="1:3" x14ac:dyDescent="0.2">
      <c r="A23" t="s">
        <v>525</v>
      </c>
      <c r="B23" t="s">
        <v>690</v>
      </c>
      <c r="C23" t="s">
        <v>999</v>
      </c>
    </row>
    <row r="24" spans="1:3" x14ac:dyDescent="0.2">
      <c r="A24" t="s">
        <v>1143</v>
      </c>
      <c r="B24" t="s">
        <v>1144</v>
      </c>
      <c r="C24" t="s">
        <v>1136</v>
      </c>
    </row>
    <row r="25" spans="1:3" x14ac:dyDescent="0.2">
      <c r="A25" t="s">
        <v>424</v>
      </c>
      <c r="B25" t="s">
        <v>424</v>
      </c>
      <c r="C25" t="s">
        <v>424</v>
      </c>
    </row>
    <row r="26" spans="1:3" x14ac:dyDescent="0.2">
      <c r="A26" t="s">
        <v>195</v>
      </c>
      <c r="B26" t="s">
        <v>196</v>
      </c>
      <c r="C26" t="s">
        <v>199</v>
      </c>
    </row>
    <row r="27" spans="1:3" x14ac:dyDescent="0.2">
      <c r="A27" t="s">
        <v>120</v>
      </c>
      <c r="B27" t="s">
        <v>121</v>
      </c>
      <c r="C27" t="s">
        <v>123</v>
      </c>
    </row>
    <row r="28" spans="1:3" x14ac:dyDescent="0.2">
      <c r="A28" t="s">
        <v>305</v>
      </c>
      <c r="B28" t="s">
        <v>306</v>
      </c>
      <c r="C28" t="s">
        <v>309</v>
      </c>
    </row>
    <row r="29" spans="1:3" x14ac:dyDescent="0.2">
      <c r="A29" t="s">
        <v>748</v>
      </c>
      <c r="B29" t="s">
        <v>622</v>
      </c>
      <c r="C29" t="s">
        <v>748</v>
      </c>
    </row>
    <row r="30" spans="1:3" x14ac:dyDescent="0.2">
      <c r="A30" t="s">
        <v>130</v>
      </c>
      <c r="B30" t="s">
        <v>86</v>
      </c>
      <c r="C30" t="s">
        <v>462</v>
      </c>
    </row>
    <row r="31" spans="1:3" x14ac:dyDescent="0.2">
      <c r="A31" t="s">
        <v>664</v>
      </c>
      <c r="B31" t="s">
        <v>665</v>
      </c>
      <c r="C31" t="s">
        <v>664</v>
      </c>
    </row>
    <row r="32" spans="1:3" x14ac:dyDescent="0.2">
      <c r="A32" t="s">
        <v>716</v>
      </c>
      <c r="B32" t="s">
        <v>717</v>
      </c>
      <c r="C32" t="s">
        <v>719</v>
      </c>
    </row>
    <row r="33" spans="1:3" x14ac:dyDescent="0.2">
      <c r="A33" t="s">
        <v>342</v>
      </c>
      <c r="B33" t="s">
        <v>211</v>
      </c>
      <c r="C33" t="s">
        <v>213</v>
      </c>
    </row>
    <row r="34" spans="1:3" x14ac:dyDescent="0.2">
      <c r="A34" t="s">
        <v>625</v>
      </c>
      <c r="B34" t="s">
        <v>626</v>
      </c>
      <c r="C34" t="s">
        <v>760</v>
      </c>
    </row>
    <row r="35" spans="1:3" x14ac:dyDescent="0.2">
      <c r="A35" t="s">
        <v>1037</v>
      </c>
      <c r="B35" t="s">
        <v>1038</v>
      </c>
      <c r="C35" t="s">
        <v>1041</v>
      </c>
    </row>
    <row r="36" spans="1:3" x14ac:dyDescent="0.2">
      <c r="A36" t="s">
        <v>138</v>
      </c>
      <c r="B36" t="s">
        <v>139</v>
      </c>
      <c r="C36" t="s">
        <v>451</v>
      </c>
    </row>
    <row r="37" spans="1:3" x14ac:dyDescent="0.2">
      <c r="A37" t="s">
        <v>28</v>
      </c>
      <c r="B37" t="s">
        <v>441</v>
      </c>
      <c r="C37" t="s">
        <v>535</v>
      </c>
    </row>
    <row r="38" spans="1:3" x14ac:dyDescent="0.2">
      <c r="A38" t="s">
        <v>28</v>
      </c>
      <c r="B38" t="s">
        <v>390</v>
      </c>
      <c r="C38" t="s">
        <v>242</v>
      </c>
    </row>
    <row r="39" spans="1:3" x14ac:dyDescent="0.2">
      <c r="A39" t="s">
        <v>28</v>
      </c>
      <c r="B39" t="s">
        <v>751</v>
      </c>
      <c r="C39" t="s">
        <v>753</v>
      </c>
    </row>
    <row r="40" spans="1:3" x14ac:dyDescent="0.2">
      <c r="A40" t="s">
        <v>28</v>
      </c>
      <c r="B40" t="s">
        <v>685</v>
      </c>
      <c r="C40" t="s">
        <v>688</v>
      </c>
    </row>
    <row r="41" spans="1:3" x14ac:dyDescent="0.2">
      <c r="A41" t="s">
        <v>28</v>
      </c>
      <c r="B41" t="s">
        <v>29</v>
      </c>
      <c r="C41" t="s">
        <v>471</v>
      </c>
    </row>
    <row r="42" spans="1:3" x14ac:dyDescent="0.2">
      <c r="A42" t="s">
        <v>28</v>
      </c>
      <c r="B42" t="s">
        <v>1145</v>
      </c>
      <c r="C42" t="s">
        <v>1115</v>
      </c>
    </row>
    <row r="43" spans="1:3" x14ac:dyDescent="0.2">
      <c r="A43" t="s">
        <v>28</v>
      </c>
      <c r="B43" t="s">
        <v>323</v>
      </c>
      <c r="C43" t="s">
        <v>2</v>
      </c>
    </row>
    <row r="44" spans="1:3" x14ac:dyDescent="0.2">
      <c r="A44" t="s">
        <v>28</v>
      </c>
      <c r="B44" t="s">
        <v>185</v>
      </c>
      <c r="C44" t="s">
        <v>187</v>
      </c>
    </row>
    <row r="45" spans="1:3" x14ac:dyDescent="0.2">
      <c r="A45" t="s">
        <v>188</v>
      </c>
      <c r="B45" t="s">
        <v>736</v>
      </c>
      <c r="C45" t="s">
        <v>1092</v>
      </c>
    </row>
    <row r="46" spans="1:3" x14ac:dyDescent="0.2">
      <c r="A46" t="s">
        <v>188</v>
      </c>
      <c r="B46" t="s">
        <v>189</v>
      </c>
      <c r="C46" t="s">
        <v>188</v>
      </c>
    </row>
    <row r="47" spans="1:3" x14ac:dyDescent="0.2">
      <c r="A47" t="s">
        <v>112</v>
      </c>
      <c r="B47" t="s">
        <v>395</v>
      </c>
      <c r="C47" t="s">
        <v>697</v>
      </c>
    </row>
    <row r="48" spans="1:3" x14ac:dyDescent="0.2">
      <c r="A48" t="s">
        <v>282</v>
      </c>
      <c r="B48" t="s">
        <v>703</v>
      </c>
      <c r="C48" t="s">
        <v>706</v>
      </c>
    </row>
    <row r="49" spans="1:3" x14ac:dyDescent="0.2">
      <c r="A49" t="s">
        <v>282</v>
      </c>
      <c r="B49" t="s">
        <v>815</v>
      </c>
      <c r="C49" t="s">
        <v>1123</v>
      </c>
    </row>
    <row r="50" spans="1:3" x14ac:dyDescent="0.2">
      <c r="A50" t="s">
        <v>131</v>
      </c>
      <c r="B50" t="s">
        <v>132</v>
      </c>
      <c r="C50" t="s">
        <v>1025</v>
      </c>
    </row>
    <row r="51" spans="1:3" x14ac:dyDescent="0.2">
      <c r="A51" t="s">
        <v>577</v>
      </c>
      <c r="B51" t="s">
        <v>578</v>
      </c>
      <c r="C51" t="s">
        <v>581</v>
      </c>
    </row>
    <row r="52" spans="1:3" x14ac:dyDescent="0.2">
      <c r="A52" t="s">
        <v>175</v>
      </c>
      <c r="B52" t="s">
        <v>23</v>
      </c>
      <c r="C52" t="s">
        <v>178</v>
      </c>
    </row>
    <row r="53" spans="1:3" x14ac:dyDescent="0.2">
      <c r="A53" t="s">
        <v>385</v>
      </c>
      <c r="B53" t="s">
        <v>379</v>
      </c>
      <c r="C53" t="s">
        <v>1096</v>
      </c>
    </row>
    <row r="54" spans="1:3" x14ac:dyDescent="0.2">
      <c r="A54" t="s">
        <v>1075</v>
      </c>
      <c r="B54" t="s">
        <v>23</v>
      </c>
      <c r="C54" t="s">
        <v>1103</v>
      </c>
    </row>
    <row r="55" spans="1:3" x14ac:dyDescent="0.2">
      <c r="A55" t="s">
        <v>863</v>
      </c>
      <c r="B55" t="s">
        <v>864</v>
      </c>
      <c r="C55" t="s">
        <v>1015</v>
      </c>
    </row>
    <row r="56" spans="1:3" x14ac:dyDescent="0.2">
      <c r="A56" t="s">
        <v>145</v>
      </c>
      <c r="B56" t="s">
        <v>380</v>
      </c>
      <c r="C56" t="s">
        <v>802</v>
      </c>
    </row>
    <row r="57" spans="1:3" x14ac:dyDescent="0.2">
      <c r="A57" t="s">
        <v>382</v>
      </c>
      <c r="B57" t="s">
        <v>182</v>
      </c>
      <c r="C57" t="s">
        <v>331</v>
      </c>
    </row>
    <row r="58" spans="1:3" x14ac:dyDescent="0.2">
      <c r="A58" t="s">
        <v>8</v>
      </c>
      <c r="B58" t="s">
        <v>152</v>
      </c>
      <c r="C58" t="s">
        <v>8</v>
      </c>
    </row>
    <row r="59" spans="1:3" x14ac:dyDescent="0.2">
      <c r="A59" t="s">
        <v>135</v>
      </c>
      <c r="B59" t="s">
        <v>389</v>
      </c>
      <c r="C59" t="s">
        <v>456</v>
      </c>
    </row>
    <row r="60" spans="1:3" x14ac:dyDescent="0.2">
      <c r="A60" t="s">
        <v>67</v>
      </c>
      <c r="B60" t="s">
        <v>68</v>
      </c>
      <c r="C60" t="s">
        <v>67</v>
      </c>
    </row>
    <row r="61" spans="1:3" x14ac:dyDescent="0.2">
      <c r="A61" t="s">
        <v>298</v>
      </c>
      <c r="B61" t="s">
        <v>386</v>
      </c>
      <c r="C61" t="s">
        <v>300</v>
      </c>
    </row>
    <row r="62" spans="1:3" x14ac:dyDescent="0.2">
      <c r="A62" t="s">
        <v>115</v>
      </c>
      <c r="B62" t="s">
        <v>394</v>
      </c>
      <c r="C62" t="s">
        <v>117</v>
      </c>
    </row>
    <row r="63" spans="1:3" x14ac:dyDescent="0.2">
      <c r="A63" t="s">
        <v>115</v>
      </c>
      <c r="B63" t="s">
        <v>391</v>
      </c>
      <c r="C63" t="s">
        <v>194</v>
      </c>
    </row>
    <row r="64" spans="1:3" x14ac:dyDescent="0.2">
      <c r="A64" t="s">
        <v>46</v>
      </c>
      <c r="B64" t="s">
        <v>47</v>
      </c>
      <c r="C64" t="s">
        <v>159</v>
      </c>
    </row>
    <row r="65" spans="1:3" x14ac:dyDescent="0.2">
      <c r="A65" t="s">
        <v>357</v>
      </c>
      <c r="B65" t="s">
        <v>358</v>
      </c>
      <c r="C65" t="s">
        <v>357</v>
      </c>
    </row>
    <row r="66" spans="1:3" x14ac:dyDescent="0.2">
      <c r="A66" t="s">
        <v>605</v>
      </c>
      <c r="B66" t="s">
        <v>606</v>
      </c>
      <c r="C66" t="s">
        <v>608</v>
      </c>
    </row>
    <row r="67" spans="1:3" x14ac:dyDescent="0.2">
      <c r="A67" t="s">
        <v>599</v>
      </c>
      <c r="B67" t="s">
        <v>600</v>
      </c>
      <c r="C67" t="s">
        <v>599</v>
      </c>
    </row>
    <row r="68" spans="1:3" x14ac:dyDescent="0.2">
      <c r="A68" t="s">
        <v>207</v>
      </c>
      <c r="B68" t="s">
        <v>208</v>
      </c>
      <c r="C68" t="s">
        <v>207</v>
      </c>
    </row>
    <row r="69" spans="1:3" x14ac:dyDescent="0.2">
      <c r="A69" t="s">
        <v>531</v>
      </c>
      <c r="B69" t="s">
        <v>293</v>
      </c>
      <c r="C69" t="s">
        <v>531</v>
      </c>
    </row>
    <row r="70" spans="1:3" x14ac:dyDescent="0.2">
      <c r="A70" t="s">
        <v>435</v>
      </c>
      <c r="B70" t="s">
        <v>970</v>
      </c>
      <c r="C70" t="s">
        <v>973</v>
      </c>
    </row>
    <row r="71" spans="1:3" x14ac:dyDescent="0.2">
      <c r="A71" s="47" t="s">
        <v>435</v>
      </c>
      <c r="B71" s="47" t="s">
        <v>436</v>
      </c>
      <c r="C71" s="47" t="s">
        <v>435</v>
      </c>
    </row>
    <row r="72" spans="1:3" x14ac:dyDescent="0.2">
      <c r="A72" t="s">
        <v>435</v>
      </c>
      <c r="B72" t="s">
        <v>1146</v>
      </c>
      <c r="C72" t="s">
        <v>1119</v>
      </c>
    </row>
    <row r="73" spans="1:3" x14ac:dyDescent="0.2">
      <c r="A73" t="s">
        <v>33</v>
      </c>
      <c r="B73" t="s">
        <v>724</v>
      </c>
      <c r="C73" t="s">
        <v>784</v>
      </c>
    </row>
    <row r="74" spans="1:3" x14ac:dyDescent="0.2">
      <c r="A74" t="s">
        <v>772</v>
      </c>
      <c r="B74" t="s">
        <v>773</v>
      </c>
      <c r="C74" t="s">
        <v>775</v>
      </c>
    </row>
    <row r="75" spans="1:3" x14ac:dyDescent="0.2">
      <c r="A75" t="s">
        <v>897</v>
      </c>
      <c r="B75" t="s">
        <v>1008</v>
      </c>
      <c r="C75" t="s">
        <v>935</v>
      </c>
    </row>
    <row r="76" spans="1:3" x14ac:dyDescent="0.2">
      <c r="A76" t="s">
        <v>897</v>
      </c>
      <c r="B76" t="s">
        <v>898</v>
      </c>
      <c r="C76" t="s">
        <v>901</v>
      </c>
    </row>
    <row r="77" spans="1:3" x14ac:dyDescent="0.2">
      <c r="A77" s="47" t="s">
        <v>768</v>
      </c>
      <c r="B77" s="47" t="s">
        <v>1017</v>
      </c>
      <c r="C77" s="47" t="s">
        <v>1098</v>
      </c>
    </row>
    <row r="78" spans="1:3" x14ac:dyDescent="0.2">
      <c r="A78" t="s">
        <v>204</v>
      </c>
      <c r="B78" t="s">
        <v>515</v>
      </c>
      <c r="C78" t="s">
        <v>351</v>
      </c>
    </row>
    <row r="79" spans="1:3" x14ac:dyDescent="0.2">
      <c r="A79" t="s">
        <v>204</v>
      </c>
      <c r="B79" t="s">
        <v>378</v>
      </c>
      <c r="C79" t="s">
        <v>37</v>
      </c>
    </row>
    <row r="80" spans="1:3" x14ac:dyDescent="0.2">
      <c r="A80" t="s">
        <v>204</v>
      </c>
      <c r="B80" t="s">
        <v>286</v>
      </c>
      <c r="C80" t="s">
        <v>289</v>
      </c>
    </row>
    <row r="81" spans="1:3" x14ac:dyDescent="0.2">
      <c r="A81" t="s">
        <v>76</v>
      </c>
      <c r="B81" t="s">
        <v>77</v>
      </c>
      <c r="C81" t="s">
        <v>76</v>
      </c>
    </row>
    <row r="82" spans="1:3" x14ac:dyDescent="0.2">
      <c r="A82" t="s">
        <v>1083</v>
      </c>
      <c r="B82" t="s">
        <v>1084</v>
      </c>
      <c r="C82" t="s">
        <v>1087</v>
      </c>
    </row>
    <row r="83" spans="1:3" x14ac:dyDescent="0.2">
      <c r="A83" t="s">
        <v>72</v>
      </c>
      <c r="B83" t="s">
        <v>124</v>
      </c>
      <c r="C83" t="s">
        <v>542</v>
      </c>
    </row>
    <row r="84" spans="1:3" x14ac:dyDescent="0.2">
      <c r="A84" t="s">
        <v>72</v>
      </c>
      <c r="B84" t="s">
        <v>562</v>
      </c>
      <c r="C84" t="s">
        <v>566</v>
      </c>
    </row>
    <row r="85" spans="1:3" x14ac:dyDescent="0.2">
      <c r="A85" t="s">
        <v>72</v>
      </c>
      <c r="B85" t="s">
        <v>614</v>
      </c>
      <c r="C85" t="s">
        <v>617</v>
      </c>
    </row>
    <row r="86" spans="1:3" x14ac:dyDescent="0.2">
      <c r="A86" t="s">
        <v>72</v>
      </c>
      <c r="B86" t="s">
        <v>552</v>
      </c>
      <c r="C86" t="s">
        <v>700</v>
      </c>
    </row>
    <row r="87" spans="1:3" x14ac:dyDescent="0.2">
      <c r="A87" t="s">
        <v>72</v>
      </c>
      <c r="B87" t="s">
        <v>73</v>
      </c>
      <c r="C87" t="s">
        <v>278</v>
      </c>
    </row>
    <row r="88" spans="1:3" x14ac:dyDescent="0.2">
      <c r="A88" t="s">
        <v>72</v>
      </c>
      <c r="B88" t="s">
        <v>707</v>
      </c>
      <c r="C88" t="s">
        <v>709</v>
      </c>
    </row>
    <row r="89" spans="1:3" x14ac:dyDescent="0.2">
      <c r="A89" t="s">
        <v>388</v>
      </c>
      <c r="B89" t="s">
        <v>148</v>
      </c>
      <c r="C89" t="s">
        <v>151</v>
      </c>
    </row>
    <row r="90" spans="1:3" x14ac:dyDescent="0.2">
      <c r="A90" t="s">
        <v>256</v>
      </c>
      <c r="B90" t="s">
        <v>257</v>
      </c>
      <c r="C90" t="s">
        <v>240</v>
      </c>
    </row>
    <row r="91" spans="1:3" x14ac:dyDescent="0.2">
      <c r="A91" t="s">
        <v>729</v>
      </c>
      <c r="B91" t="s">
        <v>730</v>
      </c>
      <c r="C91" t="s">
        <v>733</v>
      </c>
    </row>
    <row r="92" spans="1:3" x14ac:dyDescent="0.2">
      <c r="A92" t="s">
        <v>521</v>
      </c>
      <c r="B92" t="s">
        <v>522</v>
      </c>
      <c r="C92" t="s">
        <v>523</v>
      </c>
    </row>
  </sheetData>
  <phoneticPr fontId="9" type="noConversion"/>
  <pageMargins left="0.7" right="0.7" top="0.75" bottom="0.75" header="0.3" footer="0.3"/>
  <pageSetup paperSize="9"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EE43-1824-48A1-82B5-AF218F60A483}">
  <dimension ref="A1:C392"/>
  <sheetViews>
    <sheetView topLeftCell="A322" workbookViewId="0">
      <selection activeCell="G338" sqref="G338"/>
    </sheetView>
  </sheetViews>
  <sheetFormatPr baseColWidth="10" defaultRowHeight="12" x14ac:dyDescent="0.2"/>
  <cols>
    <col min="1" max="1" width="6.85546875" bestFit="1" customWidth="1"/>
    <col min="2" max="2" width="28.5703125" bestFit="1" customWidth="1"/>
    <col min="3" max="3" width="9.7109375" bestFit="1" customWidth="1"/>
  </cols>
  <sheetData>
    <row r="1" spans="1:3" x14ac:dyDescent="0.2">
      <c r="A1" t="s">
        <v>674</v>
      </c>
      <c r="B1" t="s">
        <v>0</v>
      </c>
      <c r="C1" t="s">
        <v>669</v>
      </c>
    </row>
    <row r="2" spans="1:3" x14ac:dyDescent="0.2">
      <c r="A2" t="s">
        <v>1147</v>
      </c>
      <c r="B2" t="s">
        <v>411</v>
      </c>
      <c r="C2">
        <v>102.78</v>
      </c>
    </row>
    <row r="3" spans="1:3" x14ac:dyDescent="0.2">
      <c r="A3" t="s">
        <v>1147</v>
      </c>
      <c r="B3" t="s">
        <v>410</v>
      </c>
      <c r="C3">
        <v>91.2</v>
      </c>
    </row>
    <row r="4" spans="1:3" x14ac:dyDescent="0.2">
      <c r="A4" t="s">
        <v>1147</v>
      </c>
      <c r="B4" t="s">
        <v>239</v>
      </c>
      <c r="C4">
        <v>90.1</v>
      </c>
    </row>
    <row r="5" spans="1:3" x14ac:dyDescent="0.2">
      <c r="A5" t="s">
        <v>1147</v>
      </c>
      <c r="B5" t="s">
        <v>400</v>
      </c>
      <c r="C5">
        <v>89.7</v>
      </c>
    </row>
    <row r="6" spans="1:3" x14ac:dyDescent="0.2">
      <c r="A6" t="s">
        <v>1147</v>
      </c>
      <c r="B6" t="s">
        <v>403</v>
      </c>
      <c r="C6">
        <v>88.5</v>
      </c>
    </row>
    <row r="7" spans="1:3" x14ac:dyDescent="0.2">
      <c r="A7" t="s">
        <v>1147</v>
      </c>
      <c r="B7" t="s">
        <v>219</v>
      </c>
      <c r="C7">
        <v>88.08</v>
      </c>
    </row>
    <row r="8" spans="1:3" x14ac:dyDescent="0.2">
      <c r="A8" t="s">
        <v>1147</v>
      </c>
      <c r="B8" t="s">
        <v>227</v>
      </c>
      <c r="C8">
        <v>87.45</v>
      </c>
    </row>
    <row r="9" spans="1:3" x14ac:dyDescent="0.2">
      <c r="A9" t="s">
        <v>1147</v>
      </c>
      <c r="B9" t="s">
        <v>401</v>
      </c>
      <c r="C9">
        <v>87.1</v>
      </c>
    </row>
    <row r="10" spans="1:3" x14ac:dyDescent="0.2">
      <c r="A10" t="s">
        <v>1147</v>
      </c>
      <c r="B10" t="s">
        <v>218</v>
      </c>
      <c r="C10">
        <v>85.4</v>
      </c>
    </row>
    <row r="11" spans="1:3" x14ac:dyDescent="0.2">
      <c r="A11" t="s">
        <v>1147</v>
      </c>
      <c r="B11" t="s">
        <v>225</v>
      </c>
      <c r="C11">
        <v>85.32</v>
      </c>
    </row>
    <row r="12" spans="1:3" x14ac:dyDescent="0.2">
      <c r="A12" t="s">
        <v>1147</v>
      </c>
      <c r="B12" t="s">
        <v>220</v>
      </c>
      <c r="C12">
        <v>85.2</v>
      </c>
    </row>
    <row r="13" spans="1:3" x14ac:dyDescent="0.2">
      <c r="A13" t="s">
        <v>1147</v>
      </c>
      <c r="B13" t="s">
        <v>409</v>
      </c>
      <c r="C13">
        <v>81.69</v>
      </c>
    </row>
    <row r="14" spans="1:3" x14ac:dyDescent="0.2">
      <c r="A14" t="s">
        <v>1147</v>
      </c>
      <c r="B14" t="s">
        <v>412</v>
      </c>
      <c r="C14">
        <v>81.08</v>
      </c>
    </row>
    <row r="15" spans="1:3" x14ac:dyDescent="0.2">
      <c r="A15" t="s">
        <v>1147</v>
      </c>
      <c r="B15" t="s">
        <v>9</v>
      </c>
      <c r="C15">
        <v>80</v>
      </c>
    </row>
    <row r="16" spans="1:3" x14ac:dyDescent="0.2">
      <c r="A16" t="s">
        <v>1147</v>
      </c>
      <c r="B16" t="s">
        <v>335</v>
      </c>
      <c r="C16">
        <v>79.3</v>
      </c>
    </row>
    <row r="17" spans="1:3" x14ac:dyDescent="0.2">
      <c r="A17" t="s">
        <v>1147</v>
      </c>
      <c r="B17" t="s">
        <v>221</v>
      </c>
      <c r="C17">
        <v>78.28</v>
      </c>
    </row>
    <row r="18" spans="1:3" x14ac:dyDescent="0.2">
      <c r="A18" t="s">
        <v>1147</v>
      </c>
      <c r="B18" t="s">
        <v>215</v>
      </c>
      <c r="C18">
        <v>77.7</v>
      </c>
    </row>
    <row r="19" spans="1:3" x14ac:dyDescent="0.2">
      <c r="A19" t="s">
        <v>1147</v>
      </c>
      <c r="B19" t="s">
        <v>381</v>
      </c>
      <c r="C19">
        <v>76.5</v>
      </c>
    </row>
    <row r="20" spans="1:3" x14ac:dyDescent="0.2">
      <c r="A20" t="s">
        <v>1147</v>
      </c>
      <c r="B20" t="s">
        <v>402</v>
      </c>
      <c r="C20">
        <v>76.040000000000006</v>
      </c>
    </row>
    <row r="21" spans="1:3" x14ac:dyDescent="0.2">
      <c r="A21" t="s">
        <v>1147</v>
      </c>
      <c r="B21" t="s">
        <v>407</v>
      </c>
      <c r="C21">
        <v>75.650000000000006</v>
      </c>
    </row>
    <row r="22" spans="1:3" x14ac:dyDescent="0.2">
      <c r="A22" t="s">
        <v>1147</v>
      </c>
      <c r="B22" t="s">
        <v>226</v>
      </c>
      <c r="C22">
        <v>75.349999999999994</v>
      </c>
    </row>
    <row r="23" spans="1:3" x14ac:dyDescent="0.2">
      <c r="A23" t="s">
        <v>1147</v>
      </c>
      <c r="B23" t="s">
        <v>216</v>
      </c>
      <c r="C23">
        <v>75.150000000000006</v>
      </c>
    </row>
    <row r="24" spans="1:3" x14ac:dyDescent="0.2">
      <c r="A24" t="s">
        <v>1147</v>
      </c>
      <c r="B24" t="s">
        <v>406</v>
      </c>
      <c r="C24">
        <v>75</v>
      </c>
    </row>
    <row r="25" spans="1:3" x14ac:dyDescent="0.2">
      <c r="A25" t="s">
        <v>1147</v>
      </c>
      <c r="B25" t="s">
        <v>399</v>
      </c>
      <c r="C25">
        <v>74.56</v>
      </c>
    </row>
    <row r="26" spans="1:3" x14ac:dyDescent="0.2">
      <c r="A26" t="s">
        <v>1147</v>
      </c>
      <c r="B26" t="s">
        <v>362</v>
      </c>
      <c r="C26">
        <v>74.3</v>
      </c>
    </row>
    <row r="27" spans="1:3" x14ac:dyDescent="0.2">
      <c r="A27" t="s">
        <v>1147</v>
      </c>
      <c r="B27" t="s">
        <v>404</v>
      </c>
      <c r="C27">
        <v>74.28</v>
      </c>
    </row>
    <row r="28" spans="1:3" x14ac:dyDescent="0.2">
      <c r="A28" t="s">
        <v>1147</v>
      </c>
      <c r="B28" t="s">
        <v>222</v>
      </c>
      <c r="C28">
        <v>73.45</v>
      </c>
    </row>
    <row r="29" spans="1:3" x14ac:dyDescent="0.2">
      <c r="A29" t="s">
        <v>1147</v>
      </c>
      <c r="B29" t="s">
        <v>223</v>
      </c>
      <c r="C29">
        <v>73.3</v>
      </c>
    </row>
    <row r="30" spans="1:3" x14ac:dyDescent="0.2">
      <c r="A30" t="s">
        <v>1147</v>
      </c>
      <c r="B30" t="s">
        <v>336</v>
      </c>
      <c r="C30">
        <v>71.7</v>
      </c>
    </row>
    <row r="31" spans="1:3" x14ac:dyDescent="0.2">
      <c r="A31" t="s">
        <v>1147</v>
      </c>
      <c r="B31" t="s">
        <v>408</v>
      </c>
      <c r="C31">
        <v>71.23</v>
      </c>
    </row>
    <row r="32" spans="1:3" x14ac:dyDescent="0.2">
      <c r="A32" t="s">
        <v>1147</v>
      </c>
      <c r="B32" t="s">
        <v>363</v>
      </c>
      <c r="C32">
        <v>70.8</v>
      </c>
    </row>
    <row r="33" spans="1:3" x14ac:dyDescent="0.2">
      <c r="A33" t="s">
        <v>1147</v>
      </c>
      <c r="B33" t="s">
        <v>224</v>
      </c>
      <c r="C33">
        <v>66.56</v>
      </c>
    </row>
    <row r="34" spans="1:3" x14ac:dyDescent="0.2">
      <c r="A34" t="s">
        <v>1147</v>
      </c>
      <c r="B34" t="s">
        <v>405</v>
      </c>
      <c r="C34">
        <v>65.87</v>
      </c>
    </row>
    <row r="35" spans="1:3" x14ac:dyDescent="0.2">
      <c r="A35" t="s">
        <v>1147</v>
      </c>
      <c r="B35" t="s">
        <v>242</v>
      </c>
      <c r="C35">
        <v>60.5</v>
      </c>
    </row>
    <row r="36" spans="1:3" x14ac:dyDescent="0.2">
      <c r="A36" t="s">
        <v>1147</v>
      </c>
      <c r="B36" t="s">
        <v>217</v>
      </c>
      <c r="C36">
        <v>59.5</v>
      </c>
    </row>
    <row r="37" spans="1:3" x14ac:dyDescent="0.2">
      <c r="A37" t="s">
        <v>1148</v>
      </c>
      <c r="B37" t="s">
        <v>338</v>
      </c>
      <c r="C37">
        <v>89.24</v>
      </c>
    </row>
    <row r="38" spans="1:3" x14ac:dyDescent="0.2">
      <c r="A38" t="s">
        <v>1148</v>
      </c>
      <c r="B38" t="s">
        <v>416</v>
      </c>
      <c r="C38">
        <v>87.55</v>
      </c>
    </row>
    <row r="39" spans="1:3" x14ac:dyDescent="0.2">
      <c r="A39" t="s">
        <v>1148</v>
      </c>
      <c r="B39" t="s">
        <v>339</v>
      </c>
      <c r="C39">
        <v>86.2</v>
      </c>
    </row>
    <row r="40" spans="1:3" x14ac:dyDescent="0.2">
      <c r="A40" t="s">
        <v>1148</v>
      </c>
      <c r="B40" t="s">
        <v>412</v>
      </c>
      <c r="C40">
        <v>79.8</v>
      </c>
    </row>
    <row r="41" spans="1:3" x14ac:dyDescent="0.2">
      <c r="A41" t="s">
        <v>1148</v>
      </c>
      <c r="B41" t="s">
        <v>408</v>
      </c>
      <c r="C41">
        <v>75.73</v>
      </c>
    </row>
    <row r="42" spans="1:3" x14ac:dyDescent="0.2">
      <c r="A42" t="s">
        <v>1148</v>
      </c>
      <c r="B42" t="s">
        <v>401</v>
      </c>
      <c r="C42">
        <v>75</v>
      </c>
    </row>
    <row r="43" spans="1:3" x14ac:dyDescent="0.2">
      <c r="A43" t="s">
        <v>1148</v>
      </c>
      <c r="B43" t="s">
        <v>222</v>
      </c>
      <c r="C43">
        <v>73.88</v>
      </c>
    </row>
    <row r="44" spans="1:3" x14ac:dyDescent="0.2">
      <c r="A44" t="s">
        <v>1148</v>
      </c>
      <c r="B44" t="s">
        <v>224</v>
      </c>
      <c r="C44">
        <v>72.36</v>
      </c>
    </row>
    <row r="45" spans="1:3" x14ac:dyDescent="0.2">
      <c r="A45" t="s">
        <v>1148</v>
      </c>
      <c r="B45" t="s">
        <v>225</v>
      </c>
      <c r="C45">
        <v>72.25</v>
      </c>
    </row>
    <row r="46" spans="1:3" x14ac:dyDescent="0.2">
      <c r="A46" t="s">
        <v>1148</v>
      </c>
      <c r="B46" t="s">
        <v>413</v>
      </c>
      <c r="C46">
        <v>72.2</v>
      </c>
    </row>
    <row r="47" spans="1:3" x14ac:dyDescent="0.2">
      <c r="A47" t="s">
        <v>1148</v>
      </c>
      <c r="B47" t="s">
        <v>364</v>
      </c>
      <c r="C47">
        <v>71.010000000000005</v>
      </c>
    </row>
    <row r="48" spans="1:3" x14ac:dyDescent="0.2">
      <c r="A48" t="s">
        <v>1148</v>
      </c>
      <c r="B48" t="s">
        <v>407</v>
      </c>
      <c r="C48">
        <v>70.22</v>
      </c>
    </row>
    <row r="49" spans="1:3" x14ac:dyDescent="0.2">
      <c r="A49" t="s">
        <v>1148</v>
      </c>
      <c r="B49" t="s">
        <v>415</v>
      </c>
      <c r="C49">
        <v>70.099999999999994</v>
      </c>
    </row>
    <row r="50" spans="1:3" x14ac:dyDescent="0.2">
      <c r="A50" t="s">
        <v>1148</v>
      </c>
      <c r="B50" t="s">
        <v>217</v>
      </c>
      <c r="C50">
        <v>69.959999999999994</v>
      </c>
    </row>
    <row r="51" spans="1:3" x14ac:dyDescent="0.2">
      <c r="A51" t="s">
        <v>1148</v>
      </c>
      <c r="B51" t="s">
        <v>362</v>
      </c>
      <c r="C51">
        <v>69.849999999999994</v>
      </c>
    </row>
    <row r="52" spans="1:3" x14ac:dyDescent="0.2">
      <c r="A52" t="s">
        <v>1148</v>
      </c>
      <c r="B52" t="s">
        <v>219</v>
      </c>
      <c r="C52">
        <v>69.69</v>
      </c>
    </row>
    <row r="53" spans="1:3" x14ac:dyDescent="0.2">
      <c r="A53" t="s">
        <v>1148</v>
      </c>
      <c r="B53" t="s">
        <v>409</v>
      </c>
      <c r="C53">
        <v>69.62</v>
      </c>
    </row>
    <row r="54" spans="1:3" x14ac:dyDescent="0.2">
      <c r="A54" t="s">
        <v>1148</v>
      </c>
      <c r="B54" t="s">
        <v>336</v>
      </c>
      <c r="C54">
        <v>69.2</v>
      </c>
    </row>
    <row r="55" spans="1:3" x14ac:dyDescent="0.2">
      <c r="A55" t="s">
        <v>1148</v>
      </c>
      <c r="B55" t="s">
        <v>215</v>
      </c>
      <c r="C55">
        <v>68.95</v>
      </c>
    </row>
    <row r="56" spans="1:3" x14ac:dyDescent="0.2">
      <c r="A56" t="s">
        <v>1148</v>
      </c>
      <c r="B56" t="s">
        <v>335</v>
      </c>
      <c r="C56">
        <v>68.099999999999994</v>
      </c>
    </row>
    <row r="57" spans="1:3" x14ac:dyDescent="0.2">
      <c r="A57" t="s">
        <v>1148</v>
      </c>
      <c r="B57" t="s">
        <v>9</v>
      </c>
      <c r="C57">
        <v>68</v>
      </c>
    </row>
    <row r="58" spans="1:3" x14ac:dyDescent="0.2">
      <c r="A58" t="s">
        <v>1148</v>
      </c>
      <c r="B58" t="s">
        <v>543</v>
      </c>
      <c r="C58">
        <v>67.2</v>
      </c>
    </row>
    <row r="59" spans="1:3" x14ac:dyDescent="0.2">
      <c r="A59" t="s">
        <v>1148</v>
      </c>
      <c r="B59" t="s">
        <v>399</v>
      </c>
      <c r="C59">
        <v>65.86</v>
      </c>
    </row>
    <row r="60" spans="1:3" x14ac:dyDescent="0.2">
      <c r="A60" t="s">
        <v>1148</v>
      </c>
      <c r="B60" t="s">
        <v>363</v>
      </c>
      <c r="C60">
        <v>65.400000000000006</v>
      </c>
    </row>
    <row r="61" spans="1:3" x14ac:dyDescent="0.2">
      <c r="A61" t="s">
        <v>1148</v>
      </c>
      <c r="B61" t="s">
        <v>328</v>
      </c>
      <c r="C61">
        <v>65.2</v>
      </c>
    </row>
    <row r="62" spans="1:3" x14ac:dyDescent="0.2">
      <c r="A62" t="s">
        <v>1148</v>
      </c>
      <c r="B62" t="s">
        <v>406</v>
      </c>
      <c r="C62">
        <v>65</v>
      </c>
    </row>
    <row r="63" spans="1:3" x14ac:dyDescent="0.2">
      <c r="A63" t="s">
        <v>1148</v>
      </c>
      <c r="B63" t="s">
        <v>218</v>
      </c>
      <c r="C63">
        <v>64.459999999999994</v>
      </c>
    </row>
    <row r="64" spans="1:3" x14ac:dyDescent="0.2">
      <c r="A64" t="s">
        <v>1148</v>
      </c>
      <c r="B64" t="s">
        <v>414</v>
      </c>
      <c r="C64">
        <v>64.349999999999994</v>
      </c>
    </row>
    <row r="65" spans="1:3" x14ac:dyDescent="0.2">
      <c r="A65" t="s">
        <v>1148</v>
      </c>
      <c r="B65" t="s">
        <v>226</v>
      </c>
      <c r="C65">
        <v>62.5</v>
      </c>
    </row>
    <row r="66" spans="1:3" x14ac:dyDescent="0.2">
      <c r="A66" t="s">
        <v>1148</v>
      </c>
      <c r="B66" t="s">
        <v>340</v>
      </c>
      <c r="C66">
        <v>61.53</v>
      </c>
    </row>
    <row r="67" spans="1:3" x14ac:dyDescent="0.2">
      <c r="A67" t="s">
        <v>1148</v>
      </c>
      <c r="B67" t="s">
        <v>292</v>
      </c>
      <c r="C67">
        <v>60.1</v>
      </c>
    </row>
    <row r="68" spans="1:3" x14ac:dyDescent="0.2">
      <c r="A68" t="s">
        <v>1148</v>
      </c>
      <c r="B68" t="s">
        <v>337</v>
      </c>
      <c r="C68">
        <v>60.06</v>
      </c>
    </row>
    <row r="69" spans="1:3" x14ac:dyDescent="0.2">
      <c r="A69" t="s">
        <v>1148</v>
      </c>
      <c r="B69" t="s">
        <v>381</v>
      </c>
      <c r="C69">
        <v>60.02</v>
      </c>
    </row>
    <row r="70" spans="1:3" x14ac:dyDescent="0.2">
      <c r="A70" t="s">
        <v>1148</v>
      </c>
      <c r="B70" t="s">
        <v>221</v>
      </c>
      <c r="C70">
        <v>59.3</v>
      </c>
    </row>
    <row r="71" spans="1:3" x14ac:dyDescent="0.2">
      <c r="A71" t="s">
        <v>1148</v>
      </c>
      <c r="B71" t="s">
        <v>404</v>
      </c>
      <c r="C71">
        <v>53.54</v>
      </c>
    </row>
    <row r="72" spans="1:3" x14ac:dyDescent="0.2">
      <c r="A72" t="s">
        <v>1149</v>
      </c>
      <c r="B72" t="s">
        <v>473</v>
      </c>
      <c r="C72">
        <v>65.3</v>
      </c>
    </row>
    <row r="73" spans="1:3" x14ac:dyDescent="0.2">
      <c r="A73" t="s">
        <v>1149</v>
      </c>
      <c r="B73" t="s">
        <v>412</v>
      </c>
      <c r="C73">
        <v>61.68</v>
      </c>
    </row>
    <row r="74" spans="1:3" x14ac:dyDescent="0.2">
      <c r="A74" t="s">
        <v>1149</v>
      </c>
      <c r="B74" t="s">
        <v>409</v>
      </c>
      <c r="C74">
        <v>55.69</v>
      </c>
    </row>
    <row r="75" spans="1:3" x14ac:dyDescent="0.2">
      <c r="A75" t="s">
        <v>1149</v>
      </c>
      <c r="B75" t="s">
        <v>401</v>
      </c>
      <c r="C75">
        <v>55</v>
      </c>
    </row>
    <row r="76" spans="1:3" x14ac:dyDescent="0.2">
      <c r="A76" t="s">
        <v>1149</v>
      </c>
      <c r="B76" t="s">
        <v>407</v>
      </c>
      <c r="C76">
        <v>47.72</v>
      </c>
    </row>
    <row r="77" spans="1:3" x14ac:dyDescent="0.2">
      <c r="A77" t="s">
        <v>1149</v>
      </c>
      <c r="B77" t="s">
        <v>364</v>
      </c>
      <c r="C77">
        <v>47.67</v>
      </c>
    </row>
    <row r="78" spans="1:3" x14ac:dyDescent="0.2">
      <c r="A78" t="s">
        <v>1149</v>
      </c>
      <c r="B78" t="s">
        <v>225</v>
      </c>
      <c r="C78">
        <v>46.23</v>
      </c>
    </row>
    <row r="79" spans="1:3" x14ac:dyDescent="0.2">
      <c r="A79" t="s">
        <v>1149</v>
      </c>
      <c r="B79" t="s">
        <v>217</v>
      </c>
      <c r="C79">
        <v>45.01</v>
      </c>
    </row>
    <row r="80" spans="1:3" x14ac:dyDescent="0.2">
      <c r="A80" t="s">
        <v>1149</v>
      </c>
      <c r="B80" t="s">
        <v>9</v>
      </c>
      <c r="C80">
        <v>45</v>
      </c>
    </row>
    <row r="81" spans="1:3" x14ac:dyDescent="0.2">
      <c r="A81" t="s">
        <v>1149</v>
      </c>
      <c r="B81" t="s">
        <v>219</v>
      </c>
      <c r="C81">
        <v>36.659999999999997</v>
      </c>
    </row>
    <row r="82" spans="1:3" x14ac:dyDescent="0.2">
      <c r="A82" t="s">
        <v>1149</v>
      </c>
      <c r="B82" t="s">
        <v>362</v>
      </c>
      <c r="C82">
        <v>35.6</v>
      </c>
    </row>
    <row r="83" spans="1:3" x14ac:dyDescent="0.2">
      <c r="A83" t="s">
        <v>1149</v>
      </c>
      <c r="B83" t="s">
        <v>475</v>
      </c>
      <c r="C83">
        <v>35.36</v>
      </c>
    </row>
    <row r="84" spans="1:3" x14ac:dyDescent="0.2">
      <c r="A84" t="s">
        <v>1149</v>
      </c>
      <c r="B84" t="s">
        <v>414</v>
      </c>
      <c r="C84">
        <v>35.33</v>
      </c>
    </row>
    <row r="85" spans="1:3" x14ac:dyDescent="0.2">
      <c r="A85" t="s">
        <v>1149</v>
      </c>
      <c r="B85" t="s">
        <v>408</v>
      </c>
      <c r="C85">
        <v>33.31</v>
      </c>
    </row>
    <row r="86" spans="1:3" x14ac:dyDescent="0.2">
      <c r="A86" t="s">
        <v>1149</v>
      </c>
      <c r="B86" t="s">
        <v>472</v>
      </c>
      <c r="C86">
        <v>32.57</v>
      </c>
    </row>
    <row r="87" spans="1:3" x14ac:dyDescent="0.2">
      <c r="A87" t="s">
        <v>1149</v>
      </c>
      <c r="B87" t="s">
        <v>406</v>
      </c>
      <c r="C87">
        <v>32</v>
      </c>
    </row>
    <row r="88" spans="1:3" x14ac:dyDescent="0.2">
      <c r="A88" t="s">
        <v>1149</v>
      </c>
      <c r="B88" t="s">
        <v>222</v>
      </c>
      <c r="C88">
        <v>30.5</v>
      </c>
    </row>
    <row r="89" spans="1:3" x14ac:dyDescent="0.2">
      <c r="A89" t="s">
        <v>1149</v>
      </c>
      <c r="B89" t="s">
        <v>363</v>
      </c>
      <c r="C89">
        <v>29.8</v>
      </c>
    </row>
    <row r="90" spans="1:3" x14ac:dyDescent="0.2">
      <c r="A90" t="s">
        <v>1149</v>
      </c>
      <c r="B90" t="s">
        <v>292</v>
      </c>
      <c r="C90">
        <v>29.4</v>
      </c>
    </row>
    <row r="91" spans="1:3" x14ac:dyDescent="0.2">
      <c r="A91" t="s">
        <v>1149</v>
      </c>
      <c r="B91" t="s">
        <v>543</v>
      </c>
      <c r="C91">
        <v>27.24</v>
      </c>
    </row>
    <row r="92" spans="1:3" x14ac:dyDescent="0.2">
      <c r="A92" t="s">
        <v>1149</v>
      </c>
      <c r="B92" t="s">
        <v>218</v>
      </c>
      <c r="C92">
        <v>26.5</v>
      </c>
    </row>
    <row r="93" spans="1:3" x14ac:dyDescent="0.2">
      <c r="A93" t="s">
        <v>1149</v>
      </c>
      <c r="B93" t="s">
        <v>226</v>
      </c>
      <c r="C93">
        <v>24.8</v>
      </c>
    </row>
    <row r="94" spans="1:3" x14ac:dyDescent="0.2">
      <c r="A94" t="s">
        <v>1149</v>
      </c>
      <c r="B94" t="s">
        <v>336</v>
      </c>
      <c r="C94">
        <v>23.7</v>
      </c>
    </row>
    <row r="95" spans="1:3" x14ac:dyDescent="0.2">
      <c r="A95" t="s">
        <v>1149</v>
      </c>
      <c r="B95" t="s">
        <v>221</v>
      </c>
      <c r="C95">
        <v>23.49</v>
      </c>
    </row>
    <row r="96" spans="1:3" x14ac:dyDescent="0.2">
      <c r="A96" t="s">
        <v>1149</v>
      </c>
      <c r="B96" t="s">
        <v>474</v>
      </c>
      <c r="C96">
        <v>20.399999999999999</v>
      </c>
    </row>
    <row r="97" spans="1:3" x14ac:dyDescent="0.2">
      <c r="A97" t="s">
        <v>1150</v>
      </c>
      <c r="B97" t="s">
        <v>412</v>
      </c>
      <c r="C97">
        <v>88.9</v>
      </c>
    </row>
    <row r="98" spans="1:3" x14ac:dyDescent="0.2">
      <c r="A98" t="s">
        <v>1150</v>
      </c>
      <c r="B98" t="s">
        <v>401</v>
      </c>
      <c r="C98">
        <v>47.45</v>
      </c>
    </row>
    <row r="99" spans="1:3" x14ac:dyDescent="0.2">
      <c r="A99" t="s">
        <v>1150</v>
      </c>
      <c r="B99" t="s">
        <v>215</v>
      </c>
      <c r="C99">
        <v>44.5</v>
      </c>
    </row>
    <row r="100" spans="1:3" x14ac:dyDescent="0.2">
      <c r="A100" t="s">
        <v>1150</v>
      </c>
      <c r="B100" t="s">
        <v>403</v>
      </c>
      <c r="C100">
        <v>40.25</v>
      </c>
    </row>
    <row r="101" spans="1:3" x14ac:dyDescent="0.2">
      <c r="A101" t="s">
        <v>1150</v>
      </c>
      <c r="B101" t="s">
        <v>9</v>
      </c>
      <c r="C101">
        <v>40</v>
      </c>
    </row>
    <row r="102" spans="1:3" x14ac:dyDescent="0.2">
      <c r="A102" t="s">
        <v>1150</v>
      </c>
      <c r="B102" t="s">
        <v>409</v>
      </c>
      <c r="C102">
        <v>37.549999999999997</v>
      </c>
    </row>
    <row r="103" spans="1:3" x14ac:dyDescent="0.2">
      <c r="A103" t="s">
        <v>1150</v>
      </c>
      <c r="B103" t="s">
        <v>337</v>
      </c>
      <c r="C103">
        <v>33.340000000000003</v>
      </c>
    </row>
    <row r="104" spans="1:3" x14ac:dyDescent="0.2">
      <c r="A104" t="s">
        <v>1150</v>
      </c>
      <c r="B104" t="s">
        <v>217</v>
      </c>
      <c r="C104">
        <v>33.33</v>
      </c>
    </row>
    <row r="105" spans="1:3" x14ac:dyDescent="0.2">
      <c r="A105" t="s">
        <v>1150</v>
      </c>
      <c r="B105" t="s">
        <v>406</v>
      </c>
      <c r="C105">
        <v>28.5</v>
      </c>
    </row>
    <row r="106" spans="1:3" x14ac:dyDescent="0.2">
      <c r="A106" t="s">
        <v>1150</v>
      </c>
      <c r="B106" t="s">
        <v>328</v>
      </c>
      <c r="C106">
        <v>27.6</v>
      </c>
    </row>
    <row r="107" spans="1:3" x14ac:dyDescent="0.2">
      <c r="A107" t="s">
        <v>1150</v>
      </c>
      <c r="B107" t="s">
        <v>218</v>
      </c>
      <c r="C107">
        <v>25.9</v>
      </c>
    </row>
    <row r="108" spans="1:3" x14ac:dyDescent="0.2">
      <c r="A108" t="s">
        <v>1150</v>
      </c>
      <c r="B108" t="s">
        <v>364</v>
      </c>
      <c r="C108">
        <v>24.71</v>
      </c>
    </row>
    <row r="109" spans="1:3" x14ac:dyDescent="0.2">
      <c r="A109" t="s">
        <v>1150</v>
      </c>
      <c r="B109" t="s">
        <v>408</v>
      </c>
      <c r="C109">
        <v>24.23</v>
      </c>
    </row>
    <row r="110" spans="1:3" x14ac:dyDescent="0.2">
      <c r="A110" t="s">
        <v>1150</v>
      </c>
      <c r="B110" t="s">
        <v>362</v>
      </c>
      <c r="C110">
        <v>24.2</v>
      </c>
    </row>
    <row r="111" spans="1:3" x14ac:dyDescent="0.2">
      <c r="A111" t="s">
        <v>1150</v>
      </c>
      <c r="B111" t="s">
        <v>292</v>
      </c>
      <c r="C111">
        <v>23.9</v>
      </c>
    </row>
    <row r="112" spans="1:3" x14ac:dyDescent="0.2">
      <c r="A112" t="s">
        <v>1150</v>
      </c>
      <c r="B112" t="s">
        <v>411</v>
      </c>
      <c r="C112">
        <v>23.89</v>
      </c>
    </row>
    <row r="113" spans="1:3" x14ac:dyDescent="0.2">
      <c r="A113" t="s">
        <v>1150</v>
      </c>
      <c r="B113" t="s">
        <v>414</v>
      </c>
      <c r="C113">
        <v>23.51</v>
      </c>
    </row>
    <row r="114" spans="1:3" x14ac:dyDescent="0.2">
      <c r="A114" t="s">
        <v>1150</v>
      </c>
      <c r="B114" t="s">
        <v>544</v>
      </c>
      <c r="C114">
        <v>23.5</v>
      </c>
    </row>
    <row r="115" spans="1:3" x14ac:dyDescent="0.2">
      <c r="A115" t="s">
        <v>1150</v>
      </c>
      <c r="B115" t="s">
        <v>225</v>
      </c>
      <c r="C115">
        <v>23.32</v>
      </c>
    </row>
    <row r="116" spans="1:3" x14ac:dyDescent="0.2">
      <c r="A116" t="s">
        <v>1150</v>
      </c>
      <c r="B116" t="s">
        <v>363</v>
      </c>
      <c r="C116">
        <v>22.8</v>
      </c>
    </row>
    <row r="117" spans="1:3" x14ac:dyDescent="0.2">
      <c r="A117" t="s">
        <v>1150</v>
      </c>
      <c r="B117" t="s">
        <v>226</v>
      </c>
      <c r="C117">
        <v>22.51</v>
      </c>
    </row>
    <row r="118" spans="1:3" x14ac:dyDescent="0.2">
      <c r="A118" t="s">
        <v>1150</v>
      </c>
      <c r="B118" t="s">
        <v>474</v>
      </c>
      <c r="C118">
        <v>22.5</v>
      </c>
    </row>
    <row r="119" spans="1:3" x14ac:dyDescent="0.2">
      <c r="A119" t="s">
        <v>1150</v>
      </c>
      <c r="B119" t="s">
        <v>242</v>
      </c>
      <c r="C119">
        <v>22</v>
      </c>
    </row>
    <row r="120" spans="1:3" x14ac:dyDescent="0.2">
      <c r="A120" t="s">
        <v>1150</v>
      </c>
      <c r="B120" t="s">
        <v>336</v>
      </c>
      <c r="C120">
        <v>20.5</v>
      </c>
    </row>
    <row r="121" spans="1:3" x14ac:dyDescent="0.2">
      <c r="A121" t="s">
        <v>1150</v>
      </c>
      <c r="B121" t="s">
        <v>542</v>
      </c>
      <c r="C121">
        <v>19.91</v>
      </c>
    </row>
    <row r="122" spans="1:3" x14ac:dyDescent="0.2">
      <c r="A122" t="s">
        <v>1150</v>
      </c>
      <c r="B122" t="s">
        <v>221</v>
      </c>
      <c r="C122">
        <v>19.5</v>
      </c>
    </row>
    <row r="123" spans="1:3" x14ac:dyDescent="0.2">
      <c r="A123" t="s">
        <v>1150</v>
      </c>
      <c r="B123" t="s">
        <v>222</v>
      </c>
      <c r="C123">
        <v>18.5</v>
      </c>
    </row>
    <row r="124" spans="1:3" x14ac:dyDescent="0.2">
      <c r="A124" t="s">
        <v>1150</v>
      </c>
      <c r="B124" t="s">
        <v>541</v>
      </c>
      <c r="C124">
        <v>17.329999999999998</v>
      </c>
    </row>
    <row r="125" spans="1:3" x14ac:dyDescent="0.2">
      <c r="A125" t="s">
        <v>1150</v>
      </c>
      <c r="B125" t="s">
        <v>543</v>
      </c>
      <c r="C125">
        <v>8.27</v>
      </c>
    </row>
    <row r="126" spans="1:3" x14ac:dyDescent="0.2">
      <c r="A126" t="s">
        <v>1151</v>
      </c>
      <c r="B126" t="s">
        <v>328</v>
      </c>
      <c r="C126">
        <v>30</v>
      </c>
    </row>
    <row r="127" spans="1:3" x14ac:dyDescent="0.2">
      <c r="A127" t="s">
        <v>1151</v>
      </c>
      <c r="B127" t="s">
        <v>226</v>
      </c>
      <c r="C127">
        <v>24.39</v>
      </c>
    </row>
    <row r="128" spans="1:3" x14ac:dyDescent="0.2">
      <c r="A128" t="s">
        <v>1151</v>
      </c>
      <c r="B128" t="s">
        <v>221</v>
      </c>
      <c r="C128">
        <v>24.93</v>
      </c>
    </row>
    <row r="129" spans="1:3" x14ac:dyDescent="0.2">
      <c r="A129" t="s">
        <v>1151</v>
      </c>
      <c r="B129" t="s">
        <v>9</v>
      </c>
      <c r="C129">
        <v>35</v>
      </c>
    </row>
    <row r="130" spans="1:3" x14ac:dyDescent="0.2">
      <c r="A130" t="s">
        <v>1151</v>
      </c>
      <c r="B130" t="s">
        <v>413</v>
      </c>
      <c r="C130">
        <v>33.340000000000003</v>
      </c>
    </row>
    <row r="131" spans="1:3" x14ac:dyDescent="0.2">
      <c r="A131" t="s">
        <v>1151</v>
      </c>
      <c r="B131" t="s">
        <v>215</v>
      </c>
      <c r="C131">
        <v>41.1</v>
      </c>
    </row>
    <row r="132" spans="1:3" x14ac:dyDescent="0.2">
      <c r="A132" t="s">
        <v>1151</v>
      </c>
      <c r="B132" t="s">
        <v>335</v>
      </c>
      <c r="C132">
        <v>34.21</v>
      </c>
    </row>
    <row r="133" spans="1:3" x14ac:dyDescent="0.2">
      <c r="A133" t="s">
        <v>1151</v>
      </c>
      <c r="B133" t="s">
        <v>652</v>
      </c>
      <c r="C133">
        <v>34.47</v>
      </c>
    </row>
    <row r="134" spans="1:3" x14ac:dyDescent="0.2">
      <c r="A134" t="s">
        <v>1151</v>
      </c>
      <c r="B134" t="s">
        <v>651</v>
      </c>
      <c r="C134">
        <v>13.1</v>
      </c>
    </row>
    <row r="135" spans="1:3" x14ac:dyDescent="0.2">
      <c r="A135" t="s">
        <v>1151</v>
      </c>
      <c r="B135" t="s">
        <v>541</v>
      </c>
      <c r="C135">
        <v>35.33</v>
      </c>
    </row>
    <row r="136" spans="1:3" x14ac:dyDescent="0.2">
      <c r="A136" t="s">
        <v>1151</v>
      </c>
      <c r="B136" t="s">
        <v>225</v>
      </c>
      <c r="C136">
        <v>11.11</v>
      </c>
    </row>
    <row r="137" spans="1:3" x14ac:dyDescent="0.2">
      <c r="A137" t="s">
        <v>1151</v>
      </c>
      <c r="B137" t="s">
        <v>217</v>
      </c>
      <c r="C137">
        <v>33.33</v>
      </c>
    </row>
    <row r="138" spans="1:3" x14ac:dyDescent="0.2">
      <c r="A138" t="s">
        <v>1151</v>
      </c>
      <c r="B138" t="s">
        <v>337</v>
      </c>
      <c r="C138">
        <v>35.53</v>
      </c>
    </row>
    <row r="139" spans="1:3" x14ac:dyDescent="0.2">
      <c r="A139" t="s">
        <v>1151</v>
      </c>
      <c r="B139" t="s">
        <v>788</v>
      </c>
      <c r="C139">
        <v>23.7</v>
      </c>
    </row>
    <row r="140" spans="1:3" x14ac:dyDescent="0.2">
      <c r="A140" t="s">
        <v>1151</v>
      </c>
      <c r="B140" t="s">
        <v>409</v>
      </c>
      <c r="C140">
        <v>29.69</v>
      </c>
    </row>
    <row r="141" spans="1:3" x14ac:dyDescent="0.2">
      <c r="A141" t="s">
        <v>1151</v>
      </c>
      <c r="B141" t="s">
        <v>362</v>
      </c>
      <c r="C141">
        <v>28.3</v>
      </c>
    </row>
    <row r="142" spans="1:3" x14ac:dyDescent="0.2">
      <c r="A142" t="s">
        <v>1151</v>
      </c>
      <c r="B142" t="s">
        <v>650</v>
      </c>
      <c r="C142">
        <v>35.6</v>
      </c>
    </row>
    <row r="143" spans="1:3" x14ac:dyDescent="0.2">
      <c r="A143" t="s">
        <v>1151</v>
      </c>
      <c r="B143" t="s">
        <v>219</v>
      </c>
      <c r="C143">
        <v>33.35</v>
      </c>
    </row>
    <row r="144" spans="1:3" x14ac:dyDescent="0.2">
      <c r="A144" t="s">
        <v>1151</v>
      </c>
      <c r="B144" t="s">
        <v>474</v>
      </c>
      <c r="C144">
        <v>35.1</v>
      </c>
    </row>
    <row r="145" spans="1:3" x14ac:dyDescent="0.2">
      <c r="A145" t="s">
        <v>1151</v>
      </c>
      <c r="B145" t="s">
        <v>242</v>
      </c>
      <c r="C145">
        <v>7.5</v>
      </c>
    </row>
    <row r="146" spans="1:3" x14ac:dyDescent="0.2">
      <c r="A146" t="s">
        <v>1151</v>
      </c>
      <c r="B146" t="s">
        <v>406</v>
      </c>
      <c r="C146">
        <v>25</v>
      </c>
    </row>
    <row r="147" spans="1:3" x14ac:dyDescent="0.2">
      <c r="A147" t="s">
        <v>1151</v>
      </c>
      <c r="B147" t="s">
        <v>336</v>
      </c>
      <c r="C147">
        <v>30.01</v>
      </c>
    </row>
    <row r="148" spans="1:3" x14ac:dyDescent="0.2">
      <c r="A148" t="s">
        <v>1151</v>
      </c>
      <c r="B148" t="s">
        <v>411</v>
      </c>
      <c r="C148">
        <v>22.02</v>
      </c>
    </row>
    <row r="149" spans="1:3" x14ac:dyDescent="0.2">
      <c r="A149" t="s">
        <v>1151</v>
      </c>
      <c r="B149" t="s">
        <v>218</v>
      </c>
      <c r="C149">
        <v>15.5</v>
      </c>
    </row>
    <row r="150" spans="1:3" x14ac:dyDescent="0.2">
      <c r="A150" t="s">
        <v>1151</v>
      </c>
      <c r="B150" t="s">
        <v>645</v>
      </c>
      <c r="C150">
        <v>38.14</v>
      </c>
    </row>
    <row r="151" spans="1:3" x14ac:dyDescent="0.2">
      <c r="A151" t="s">
        <v>1151</v>
      </c>
      <c r="B151" t="s">
        <v>222</v>
      </c>
      <c r="C151">
        <v>26.15</v>
      </c>
    </row>
    <row r="152" spans="1:3" x14ac:dyDescent="0.2">
      <c r="A152" t="s">
        <v>1151</v>
      </c>
      <c r="B152" t="s">
        <v>412</v>
      </c>
      <c r="C152">
        <v>48.6</v>
      </c>
    </row>
    <row r="153" spans="1:3" x14ac:dyDescent="0.2">
      <c r="A153" t="s">
        <v>1151</v>
      </c>
      <c r="B153" t="s">
        <v>404</v>
      </c>
      <c r="C153">
        <v>30.5</v>
      </c>
    </row>
    <row r="154" spans="1:3" x14ac:dyDescent="0.2">
      <c r="A154" t="s">
        <v>1151</v>
      </c>
      <c r="B154" t="s">
        <v>401</v>
      </c>
      <c r="C154">
        <v>8.8800000000000008</v>
      </c>
    </row>
    <row r="155" spans="1:3" x14ac:dyDescent="0.2">
      <c r="A155" t="s">
        <v>1151</v>
      </c>
      <c r="B155" t="s">
        <v>408</v>
      </c>
      <c r="C155">
        <v>29.6</v>
      </c>
    </row>
    <row r="156" spans="1:3" x14ac:dyDescent="0.2">
      <c r="A156" t="s">
        <v>1151</v>
      </c>
      <c r="B156" t="s">
        <v>414</v>
      </c>
      <c r="C156">
        <v>28.1</v>
      </c>
    </row>
    <row r="157" spans="1:3" x14ac:dyDescent="0.2">
      <c r="A157" t="s">
        <v>1151</v>
      </c>
      <c r="B157" t="s">
        <v>403</v>
      </c>
      <c r="C157">
        <v>30.7</v>
      </c>
    </row>
    <row r="158" spans="1:3" x14ac:dyDescent="0.2">
      <c r="A158" t="s">
        <v>1151</v>
      </c>
      <c r="B158" t="s">
        <v>400</v>
      </c>
      <c r="C158">
        <v>37.799999999999997</v>
      </c>
    </row>
    <row r="159" spans="1:3" x14ac:dyDescent="0.2">
      <c r="A159" t="s">
        <v>1151</v>
      </c>
      <c r="B159" t="s">
        <v>364</v>
      </c>
      <c r="C159">
        <v>31.88</v>
      </c>
    </row>
    <row r="160" spans="1:3" x14ac:dyDescent="0.2">
      <c r="A160" t="s">
        <v>1151</v>
      </c>
      <c r="B160" t="s">
        <v>647</v>
      </c>
      <c r="C160">
        <v>33.36</v>
      </c>
    </row>
    <row r="161" spans="1:3" x14ac:dyDescent="0.2">
      <c r="A161" t="s">
        <v>1151</v>
      </c>
      <c r="B161" t="s">
        <v>646</v>
      </c>
      <c r="C161">
        <v>27.25</v>
      </c>
    </row>
    <row r="162" spans="1:3" x14ac:dyDescent="0.2">
      <c r="A162" t="s">
        <v>1151</v>
      </c>
      <c r="B162" t="s">
        <v>381</v>
      </c>
      <c r="C162">
        <v>27.57</v>
      </c>
    </row>
    <row r="163" spans="1:3" x14ac:dyDescent="0.2">
      <c r="A163" t="s">
        <v>1151</v>
      </c>
      <c r="B163" t="s">
        <v>543</v>
      </c>
      <c r="C163">
        <v>28.62</v>
      </c>
    </row>
    <row r="164" spans="1:3" x14ac:dyDescent="0.2">
      <c r="A164" t="s">
        <v>1151</v>
      </c>
      <c r="B164" t="s">
        <v>363</v>
      </c>
      <c r="C164">
        <v>21.6</v>
      </c>
    </row>
    <row r="165" spans="1:3" x14ac:dyDescent="0.2">
      <c r="A165" t="s">
        <v>1151</v>
      </c>
      <c r="B165" t="s">
        <v>542</v>
      </c>
      <c r="C165">
        <v>26.62</v>
      </c>
    </row>
    <row r="166" spans="1:3" x14ac:dyDescent="0.2">
      <c r="A166" t="s">
        <v>1151</v>
      </c>
      <c r="B166" t="s">
        <v>653</v>
      </c>
      <c r="C166">
        <v>18.760000000000002</v>
      </c>
    </row>
    <row r="167" spans="1:3" x14ac:dyDescent="0.2">
      <c r="A167" t="s">
        <v>1151</v>
      </c>
      <c r="B167" t="s">
        <v>399</v>
      </c>
      <c r="C167">
        <v>35.229999999999997</v>
      </c>
    </row>
    <row r="168" spans="1:3" x14ac:dyDescent="0.2">
      <c r="A168" t="s">
        <v>1151</v>
      </c>
      <c r="B168" t="s">
        <v>648</v>
      </c>
      <c r="C168">
        <v>18.12</v>
      </c>
    </row>
    <row r="169" spans="1:3" x14ac:dyDescent="0.2">
      <c r="A169" t="s">
        <v>1152</v>
      </c>
      <c r="B169" t="s">
        <v>786</v>
      </c>
      <c r="C169">
        <v>99.95</v>
      </c>
    </row>
    <row r="170" spans="1:3" x14ac:dyDescent="0.2">
      <c r="A170" t="s">
        <v>1152</v>
      </c>
      <c r="B170" t="s">
        <v>650</v>
      </c>
      <c r="C170">
        <v>86.46</v>
      </c>
    </row>
    <row r="171" spans="1:3" x14ac:dyDescent="0.2">
      <c r="A171" t="s">
        <v>1152</v>
      </c>
      <c r="B171" t="s">
        <v>218</v>
      </c>
      <c r="C171">
        <v>69</v>
      </c>
    </row>
    <row r="172" spans="1:3" x14ac:dyDescent="0.2">
      <c r="A172" t="s">
        <v>1152</v>
      </c>
      <c r="B172" t="s">
        <v>785</v>
      </c>
      <c r="C172">
        <v>63.57</v>
      </c>
    </row>
    <row r="173" spans="1:3" x14ac:dyDescent="0.2">
      <c r="A173" t="s">
        <v>1152</v>
      </c>
      <c r="B173" t="s">
        <v>803</v>
      </c>
      <c r="C173">
        <v>63.18</v>
      </c>
    </row>
    <row r="174" spans="1:3" x14ac:dyDescent="0.2">
      <c r="A174" t="s">
        <v>1152</v>
      </c>
      <c r="B174" t="s">
        <v>784</v>
      </c>
      <c r="C174">
        <v>60.31</v>
      </c>
    </row>
    <row r="175" spans="1:3" x14ac:dyDescent="0.2">
      <c r="A175" t="s">
        <v>1152</v>
      </c>
      <c r="B175" t="s">
        <v>403</v>
      </c>
      <c r="C175">
        <v>60.1</v>
      </c>
    </row>
    <row r="176" spans="1:3" x14ac:dyDescent="0.2">
      <c r="A176" t="s">
        <v>1152</v>
      </c>
      <c r="B176" t="s">
        <v>328</v>
      </c>
      <c r="C176">
        <v>59</v>
      </c>
    </row>
    <row r="177" spans="1:3" x14ac:dyDescent="0.2">
      <c r="A177" t="s">
        <v>1152</v>
      </c>
      <c r="B177" t="s">
        <v>219</v>
      </c>
      <c r="C177">
        <v>58.88</v>
      </c>
    </row>
    <row r="178" spans="1:3" x14ac:dyDescent="0.2">
      <c r="A178" t="s">
        <v>1152</v>
      </c>
      <c r="B178" t="s">
        <v>789</v>
      </c>
      <c r="C178">
        <v>56.3</v>
      </c>
    </row>
    <row r="179" spans="1:3" x14ac:dyDescent="0.2">
      <c r="A179" t="s">
        <v>1152</v>
      </c>
      <c r="B179" t="s">
        <v>791</v>
      </c>
      <c r="C179">
        <v>56.2</v>
      </c>
    </row>
    <row r="180" spans="1:3" x14ac:dyDescent="0.2">
      <c r="A180" t="s">
        <v>1152</v>
      </c>
      <c r="B180" t="s">
        <v>215</v>
      </c>
      <c r="C180">
        <v>55.55</v>
      </c>
    </row>
    <row r="181" spans="1:3" x14ac:dyDescent="0.2">
      <c r="A181" t="s">
        <v>1152</v>
      </c>
      <c r="B181" t="s">
        <v>653</v>
      </c>
      <c r="C181">
        <v>55.33</v>
      </c>
    </row>
    <row r="182" spans="1:3" x14ac:dyDescent="0.2">
      <c r="A182" t="s">
        <v>1152</v>
      </c>
      <c r="B182" t="s">
        <v>1028</v>
      </c>
      <c r="C182">
        <v>55.32</v>
      </c>
    </row>
    <row r="183" spans="1:3" x14ac:dyDescent="0.2">
      <c r="A183" t="s">
        <v>1152</v>
      </c>
      <c r="B183" t="s">
        <v>792</v>
      </c>
      <c r="C183">
        <v>55.3</v>
      </c>
    </row>
    <row r="184" spans="1:3" x14ac:dyDescent="0.2">
      <c r="A184" t="s">
        <v>1152</v>
      </c>
      <c r="B184" t="s">
        <v>406</v>
      </c>
      <c r="C184">
        <v>55</v>
      </c>
    </row>
    <row r="185" spans="1:3" x14ac:dyDescent="0.2">
      <c r="A185" t="s">
        <v>1152</v>
      </c>
      <c r="B185" t="s">
        <v>401</v>
      </c>
      <c r="C185">
        <v>54.56</v>
      </c>
    </row>
    <row r="186" spans="1:3" x14ac:dyDescent="0.2">
      <c r="A186" t="s">
        <v>1152</v>
      </c>
      <c r="B186" t="s">
        <v>412</v>
      </c>
      <c r="C186">
        <v>54.22</v>
      </c>
    </row>
    <row r="187" spans="1:3" x14ac:dyDescent="0.2">
      <c r="A187" t="s">
        <v>1152</v>
      </c>
      <c r="B187" t="s">
        <v>787</v>
      </c>
      <c r="C187">
        <v>53.41</v>
      </c>
    </row>
    <row r="188" spans="1:3" x14ac:dyDescent="0.2">
      <c r="A188" t="s">
        <v>1152</v>
      </c>
      <c r="B188" t="s">
        <v>788</v>
      </c>
      <c r="C188">
        <v>53.4</v>
      </c>
    </row>
    <row r="189" spans="1:3" x14ac:dyDescent="0.2">
      <c r="A189" t="s">
        <v>1152</v>
      </c>
      <c r="B189" t="s">
        <v>335</v>
      </c>
      <c r="C189">
        <v>53.21</v>
      </c>
    </row>
    <row r="190" spans="1:3" x14ac:dyDescent="0.2">
      <c r="A190" t="s">
        <v>1152</v>
      </c>
      <c r="B190" t="s">
        <v>414</v>
      </c>
      <c r="C190">
        <v>53.2</v>
      </c>
    </row>
    <row r="191" spans="1:3" x14ac:dyDescent="0.2">
      <c r="A191" t="s">
        <v>1152</v>
      </c>
      <c r="B191" t="s">
        <v>381</v>
      </c>
      <c r="C191">
        <v>52.95</v>
      </c>
    </row>
    <row r="192" spans="1:3" x14ac:dyDescent="0.2">
      <c r="A192" t="s">
        <v>1152</v>
      </c>
      <c r="B192" t="s">
        <v>409</v>
      </c>
      <c r="C192">
        <v>52.5</v>
      </c>
    </row>
    <row r="193" spans="1:3" x14ac:dyDescent="0.2">
      <c r="A193" t="s">
        <v>1152</v>
      </c>
      <c r="B193" t="s">
        <v>404</v>
      </c>
      <c r="C193">
        <v>52.24</v>
      </c>
    </row>
    <row r="194" spans="1:3" x14ac:dyDescent="0.2">
      <c r="A194" t="s">
        <v>1152</v>
      </c>
      <c r="B194" t="s">
        <v>652</v>
      </c>
      <c r="C194">
        <v>51.49</v>
      </c>
    </row>
    <row r="195" spans="1:3" x14ac:dyDescent="0.2">
      <c r="A195" t="s">
        <v>1152</v>
      </c>
      <c r="B195" t="s">
        <v>336</v>
      </c>
      <c r="C195">
        <v>51.4</v>
      </c>
    </row>
    <row r="196" spans="1:3" x14ac:dyDescent="0.2">
      <c r="A196" t="s">
        <v>1152</v>
      </c>
      <c r="B196" t="s">
        <v>225</v>
      </c>
      <c r="C196">
        <v>50.8</v>
      </c>
    </row>
    <row r="197" spans="1:3" x14ac:dyDescent="0.2">
      <c r="A197" t="s">
        <v>1152</v>
      </c>
      <c r="B197" t="s">
        <v>543</v>
      </c>
      <c r="C197">
        <v>49.29</v>
      </c>
    </row>
    <row r="198" spans="1:3" x14ac:dyDescent="0.2">
      <c r="A198" t="s">
        <v>1152</v>
      </c>
      <c r="B198" t="s">
        <v>364</v>
      </c>
      <c r="C198">
        <v>48.01</v>
      </c>
    </row>
    <row r="199" spans="1:3" x14ac:dyDescent="0.2">
      <c r="A199" t="s">
        <v>1152</v>
      </c>
      <c r="B199" t="s">
        <v>222</v>
      </c>
      <c r="C199">
        <v>47.82</v>
      </c>
    </row>
    <row r="200" spans="1:3" x14ac:dyDescent="0.2">
      <c r="A200" t="s">
        <v>1152</v>
      </c>
      <c r="B200" t="s">
        <v>407</v>
      </c>
      <c r="C200">
        <v>46.66</v>
      </c>
    </row>
    <row r="201" spans="1:3" x14ac:dyDescent="0.2">
      <c r="A201" t="s">
        <v>1152</v>
      </c>
      <c r="B201" t="s">
        <v>242</v>
      </c>
      <c r="C201">
        <v>46.5</v>
      </c>
    </row>
    <row r="202" spans="1:3" x14ac:dyDescent="0.2">
      <c r="A202" t="s">
        <v>1152</v>
      </c>
      <c r="B202" t="s">
        <v>542</v>
      </c>
      <c r="C202">
        <v>44.45</v>
      </c>
    </row>
    <row r="203" spans="1:3" x14ac:dyDescent="0.2">
      <c r="A203" t="s">
        <v>1152</v>
      </c>
      <c r="B203" t="s">
        <v>337</v>
      </c>
      <c r="C203">
        <v>44.44</v>
      </c>
    </row>
    <row r="204" spans="1:3" x14ac:dyDescent="0.2">
      <c r="A204" t="s">
        <v>1152</v>
      </c>
      <c r="B204" t="s">
        <v>292</v>
      </c>
      <c r="C204">
        <v>43.83</v>
      </c>
    </row>
    <row r="205" spans="1:3" x14ac:dyDescent="0.2">
      <c r="A205" t="s">
        <v>1152</v>
      </c>
      <c r="B205" t="s">
        <v>782</v>
      </c>
      <c r="C205">
        <v>43.73</v>
      </c>
    </row>
    <row r="206" spans="1:3" x14ac:dyDescent="0.2">
      <c r="A206" t="s">
        <v>1152</v>
      </c>
      <c r="B206" t="s">
        <v>645</v>
      </c>
      <c r="C206">
        <v>43.71</v>
      </c>
    </row>
    <row r="207" spans="1:3" x14ac:dyDescent="0.2">
      <c r="A207" t="s">
        <v>1152</v>
      </c>
      <c r="B207" t="s">
        <v>779</v>
      </c>
      <c r="C207">
        <v>43.28</v>
      </c>
    </row>
    <row r="208" spans="1:3" x14ac:dyDescent="0.2">
      <c r="A208" t="s">
        <v>1152</v>
      </c>
      <c r="B208" t="s">
        <v>399</v>
      </c>
      <c r="C208">
        <v>43.2</v>
      </c>
    </row>
    <row r="209" spans="1:3" x14ac:dyDescent="0.2">
      <c r="A209" t="s">
        <v>1152</v>
      </c>
      <c r="B209" t="s">
        <v>474</v>
      </c>
      <c r="C209">
        <v>42.25</v>
      </c>
    </row>
    <row r="210" spans="1:3" x14ac:dyDescent="0.2">
      <c r="A210" t="s">
        <v>1152</v>
      </c>
      <c r="B210" t="s">
        <v>362</v>
      </c>
      <c r="C210">
        <v>42.11</v>
      </c>
    </row>
    <row r="211" spans="1:3" x14ac:dyDescent="0.2">
      <c r="A211" t="s">
        <v>1152</v>
      </c>
      <c r="B211" t="s">
        <v>363</v>
      </c>
      <c r="C211">
        <v>42.1</v>
      </c>
    </row>
    <row r="212" spans="1:3" x14ac:dyDescent="0.2">
      <c r="A212" t="s">
        <v>1152</v>
      </c>
      <c r="B212" t="s">
        <v>408</v>
      </c>
      <c r="C212">
        <v>41.91</v>
      </c>
    </row>
    <row r="213" spans="1:3" x14ac:dyDescent="0.2">
      <c r="A213" t="s">
        <v>1152</v>
      </c>
      <c r="B213" t="s">
        <v>217</v>
      </c>
      <c r="C213">
        <v>39.93</v>
      </c>
    </row>
    <row r="214" spans="1:3" x14ac:dyDescent="0.2">
      <c r="A214" t="s">
        <v>1152</v>
      </c>
      <c r="B214" t="s">
        <v>221</v>
      </c>
      <c r="C214">
        <v>39.590000000000003</v>
      </c>
    </row>
    <row r="215" spans="1:3" x14ac:dyDescent="0.2">
      <c r="A215" t="s">
        <v>1152</v>
      </c>
      <c r="B215" t="s">
        <v>651</v>
      </c>
      <c r="C215">
        <v>38.9</v>
      </c>
    </row>
    <row r="216" spans="1:3" x14ac:dyDescent="0.2">
      <c r="A216" t="s">
        <v>1152</v>
      </c>
      <c r="B216" t="s">
        <v>780</v>
      </c>
      <c r="C216">
        <v>38.5</v>
      </c>
    </row>
    <row r="217" spans="1:3" x14ac:dyDescent="0.2">
      <c r="A217" t="s">
        <v>1152</v>
      </c>
      <c r="B217" t="s">
        <v>783</v>
      </c>
      <c r="C217">
        <v>35.880000000000003</v>
      </c>
    </row>
    <row r="218" spans="1:3" x14ac:dyDescent="0.2">
      <c r="A218" t="s">
        <v>1152</v>
      </c>
      <c r="B218" t="s">
        <v>541</v>
      </c>
      <c r="C218">
        <v>35.15</v>
      </c>
    </row>
    <row r="219" spans="1:3" x14ac:dyDescent="0.2">
      <c r="A219" t="s">
        <v>1152</v>
      </c>
      <c r="B219" t="s">
        <v>9</v>
      </c>
      <c r="C219">
        <v>35</v>
      </c>
    </row>
    <row r="220" spans="1:3" x14ac:dyDescent="0.2">
      <c r="A220" t="s">
        <v>1152</v>
      </c>
      <c r="B220" t="s">
        <v>781</v>
      </c>
      <c r="C220">
        <v>31.85</v>
      </c>
    </row>
    <row r="221" spans="1:3" x14ac:dyDescent="0.2">
      <c r="A221" t="s">
        <v>1152</v>
      </c>
      <c r="B221" t="s">
        <v>411</v>
      </c>
      <c r="C221">
        <v>29.45</v>
      </c>
    </row>
    <row r="222" spans="1:3" x14ac:dyDescent="0.2">
      <c r="A222" t="s">
        <v>1153</v>
      </c>
      <c r="B222" t="s">
        <v>786</v>
      </c>
      <c r="C222">
        <v>79.41</v>
      </c>
    </row>
    <row r="223" spans="1:3" x14ac:dyDescent="0.2">
      <c r="A223" t="s">
        <v>1153</v>
      </c>
      <c r="B223" t="s">
        <v>942</v>
      </c>
      <c r="C223">
        <v>78.89</v>
      </c>
    </row>
    <row r="224" spans="1:3" x14ac:dyDescent="0.2">
      <c r="A224" t="s">
        <v>1153</v>
      </c>
      <c r="B224" t="s">
        <v>785</v>
      </c>
      <c r="C224">
        <v>78.650000000000006</v>
      </c>
    </row>
    <row r="225" spans="1:3" x14ac:dyDescent="0.2">
      <c r="A225" t="s">
        <v>1153</v>
      </c>
      <c r="B225" t="s">
        <v>328</v>
      </c>
      <c r="C225">
        <v>78.52</v>
      </c>
    </row>
    <row r="226" spans="1:3" x14ac:dyDescent="0.2">
      <c r="A226" t="s">
        <v>1153</v>
      </c>
      <c r="B226" t="s">
        <v>413</v>
      </c>
      <c r="C226">
        <v>77.77</v>
      </c>
    </row>
    <row r="227" spans="1:3" x14ac:dyDescent="0.2">
      <c r="A227" t="s">
        <v>1153</v>
      </c>
      <c r="B227" t="s">
        <v>218</v>
      </c>
      <c r="C227">
        <v>77.7</v>
      </c>
    </row>
    <row r="228" spans="1:3" x14ac:dyDescent="0.2">
      <c r="A228" t="s">
        <v>1153</v>
      </c>
      <c r="B228" t="s">
        <v>474</v>
      </c>
      <c r="C228">
        <v>76.87</v>
      </c>
    </row>
    <row r="229" spans="1:3" x14ac:dyDescent="0.2">
      <c r="A229" t="s">
        <v>1153</v>
      </c>
      <c r="B229" t="s">
        <v>943</v>
      </c>
      <c r="C229">
        <v>76.5</v>
      </c>
    </row>
    <row r="230" spans="1:3" x14ac:dyDescent="0.2">
      <c r="A230" t="s">
        <v>1153</v>
      </c>
      <c r="B230" t="s">
        <v>1028</v>
      </c>
      <c r="C230">
        <v>76.430000000000007</v>
      </c>
    </row>
    <row r="231" spans="1:3" x14ac:dyDescent="0.2">
      <c r="A231" t="s">
        <v>1153</v>
      </c>
      <c r="B231" t="s">
        <v>400</v>
      </c>
      <c r="C231">
        <v>74.650000000000006</v>
      </c>
    </row>
    <row r="232" spans="1:3" x14ac:dyDescent="0.2">
      <c r="A232" t="s">
        <v>1153</v>
      </c>
      <c r="B232" t="s">
        <v>412</v>
      </c>
      <c r="C232">
        <v>74.540000000000006</v>
      </c>
    </row>
    <row r="233" spans="1:3" x14ac:dyDescent="0.2">
      <c r="A233" t="s">
        <v>1153</v>
      </c>
      <c r="B233" t="s">
        <v>408</v>
      </c>
      <c r="C233">
        <v>74.47</v>
      </c>
    </row>
    <row r="234" spans="1:3" x14ac:dyDescent="0.2">
      <c r="A234" t="s">
        <v>1153</v>
      </c>
      <c r="B234" t="s">
        <v>381</v>
      </c>
      <c r="C234">
        <v>73.94</v>
      </c>
    </row>
    <row r="235" spans="1:3" x14ac:dyDescent="0.2">
      <c r="A235" t="s">
        <v>1153</v>
      </c>
      <c r="B235" t="s">
        <v>336</v>
      </c>
      <c r="C235">
        <v>73.8</v>
      </c>
    </row>
    <row r="236" spans="1:3" x14ac:dyDescent="0.2">
      <c r="A236" t="s">
        <v>1153</v>
      </c>
      <c r="B236" t="s">
        <v>542</v>
      </c>
      <c r="C236">
        <v>73.37</v>
      </c>
    </row>
    <row r="237" spans="1:3" x14ac:dyDescent="0.2">
      <c r="A237" t="s">
        <v>1153</v>
      </c>
      <c r="B237" t="s">
        <v>792</v>
      </c>
      <c r="C237">
        <v>72.58</v>
      </c>
    </row>
    <row r="238" spans="1:3" x14ac:dyDescent="0.2">
      <c r="A238" t="s">
        <v>1153</v>
      </c>
      <c r="B238" t="s">
        <v>944</v>
      </c>
      <c r="C238">
        <v>72.36</v>
      </c>
    </row>
    <row r="239" spans="1:3" x14ac:dyDescent="0.2">
      <c r="A239" t="s">
        <v>1153</v>
      </c>
      <c r="B239" t="s">
        <v>414</v>
      </c>
      <c r="C239">
        <v>72.3</v>
      </c>
    </row>
    <row r="240" spans="1:3" x14ac:dyDescent="0.2">
      <c r="A240" t="s">
        <v>1153</v>
      </c>
      <c r="B240" t="s">
        <v>225</v>
      </c>
      <c r="C240">
        <v>71.8</v>
      </c>
    </row>
    <row r="241" spans="1:3" x14ac:dyDescent="0.2">
      <c r="A241" t="s">
        <v>1153</v>
      </c>
      <c r="B241" t="s">
        <v>222</v>
      </c>
      <c r="C241">
        <v>70</v>
      </c>
    </row>
    <row r="242" spans="1:3" x14ac:dyDescent="0.2">
      <c r="A242" t="s">
        <v>1153</v>
      </c>
      <c r="B242" t="s">
        <v>651</v>
      </c>
      <c r="C242">
        <v>69.680000000000007</v>
      </c>
    </row>
    <row r="243" spans="1:3" x14ac:dyDescent="0.2">
      <c r="A243" t="s">
        <v>1153</v>
      </c>
      <c r="B243" t="s">
        <v>409</v>
      </c>
      <c r="C243">
        <v>69.55</v>
      </c>
    </row>
    <row r="244" spans="1:3" x14ac:dyDescent="0.2">
      <c r="A244" t="s">
        <v>1153</v>
      </c>
      <c r="B244" t="s">
        <v>363</v>
      </c>
      <c r="C244">
        <v>68.8</v>
      </c>
    </row>
    <row r="245" spans="1:3" x14ac:dyDescent="0.2">
      <c r="A245" t="s">
        <v>1153</v>
      </c>
      <c r="B245" t="s">
        <v>652</v>
      </c>
      <c r="C245">
        <v>68.67</v>
      </c>
    </row>
    <row r="246" spans="1:3" x14ac:dyDescent="0.2">
      <c r="A246" t="s">
        <v>1153</v>
      </c>
      <c r="B246" t="s">
        <v>1027</v>
      </c>
      <c r="C246">
        <v>68.260000000000005</v>
      </c>
    </row>
    <row r="247" spans="1:3" x14ac:dyDescent="0.2">
      <c r="A247" t="s">
        <v>1153</v>
      </c>
      <c r="B247" t="s">
        <v>945</v>
      </c>
      <c r="C247">
        <v>68.17</v>
      </c>
    </row>
    <row r="248" spans="1:3" x14ac:dyDescent="0.2">
      <c r="A248" t="s">
        <v>1153</v>
      </c>
      <c r="B248" t="s">
        <v>401</v>
      </c>
      <c r="C248">
        <v>68.14</v>
      </c>
    </row>
    <row r="249" spans="1:3" x14ac:dyDescent="0.2">
      <c r="A249" t="s">
        <v>1153</v>
      </c>
      <c r="B249" t="s">
        <v>406</v>
      </c>
      <c r="C249">
        <v>68</v>
      </c>
    </row>
    <row r="250" spans="1:3" x14ac:dyDescent="0.2">
      <c r="A250" t="s">
        <v>1153</v>
      </c>
      <c r="B250" t="s">
        <v>217</v>
      </c>
      <c r="C250">
        <v>67.89</v>
      </c>
    </row>
    <row r="251" spans="1:3" x14ac:dyDescent="0.2">
      <c r="A251" t="s">
        <v>1153</v>
      </c>
      <c r="B251" t="s">
        <v>215</v>
      </c>
      <c r="C251">
        <v>67.7</v>
      </c>
    </row>
    <row r="252" spans="1:3" x14ac:dyDescent="0.2">
      <c r="A252" t="s">
        <v>1153</v>
      </c>
      <c r="B252" t="s">
        <v>292</v>
      </c>
      <c r="C252">
        <v>67.45</v>
      </c>
    </row>
    <row r="253" spans="1:3" x14ac:dyDescent="0.2">
      <c r="A253" t="s">
        <v>1153</v>
      </c>
      <c r="B253" t="s">
        <v>219</v>
      </c>
      <c r="C253">
        <v>66.67</v>
      </c>
    </row>
    <row r="254" spans="1:3" x14ac:dyDescent="0.2">
      <c r="A254" t="s">
        <v>1153</v>
      </c>
      <c r="B254" t="s">
        <v>543</v>
      </c>
      <c r="C254">
        <v>66.66</v>
      </c>
    </row>
    <row r="255" spans="1:3" x14ac:dyDescent="0.2">
      <c r="A255" t="s">
        <v>1153</v>
      </c>
      <c r="B255" t="s">
        <v>242</v>
      </c>
      <c r="C255">
        <v>66.5</v>
      </c>
    </row>
    <row r="256" spans="1:3" x14ac:dyDescent="0.2">
      <c r="A256" t="s">
        <v>1153</v>
      </c>
      <c r="B256" t="s">
        <v>803</v>
      </c>
      <c r="C256">
        <v>65.569999999999993</v>
      </c>
    </row>
    <row r="257" spans="1:3" x14ac:dyDescent="0.2">
      <c r="A257" t="s">
        <v>1153</v>
      </c>
      <c r="B257" t="s">
        <v>784</v>
      </c>
      <c r="C257">
        <v>65.5</v>
      </c>
    </row>
    <row r="258" spans="1:3" x14ac:dyDescent="0.2">
      <c r="A258" t="s">
        <v>1153</v>
      </c>
      <c r="B258" t="s">
        <v>362</v>
      </c>
      <c r="C258">
        <v>65.260000000000005</v>
      </c>
    </row>
    <row r="259" spans="1:3" x14ac:dyDescent="0.2">
      <c r="A259" t="s">
        <v>1153</v>
      </c>
      <c r="B259" t="s">
        <v>403</v>
      </c>
      <c r="C259">
        <v>65.25</v>
      </c>
    </row>
    <row r="260" spans="1:3" x14ac:dyDescent="0.2">
      <c r="A260" t="s">
        <v>1153</v>
      </c>
      <c r="B260" t="s">
        <v>335</v>
      </c>
      <c r="C260">
        <v>64.709999999999994</v>
      </c>
    </row>
    <row r="261" spans="1:3" x14ac:dyDescent="0.2">
      <c r="A261" t="s">
        <v>1153</v>
      </c>
      <c r="B261" t="s">
        <v>946</v>
      </c>
      <c r="C261">
        <v>64.67</v>
      </c>
    </row>
    <row r="262" spans="1:3" x14ac:dyDescent="0.2">
      <c r="A262" t="s">
        <v>1153</v>
      </c>
      <c r="B262" t="s">
        <v>947</v>
      </c>
      <c r="C262">
        <v>64.239999999999995</v>
      </c>
    </row>
    <row r="263" spans="1:3" x14ac:dyDescent="0.2">
      <c r="A263" t="s">
        <v>1153</v>
      </c>
      <c r="B263" t="s">
        <v>932</v>
      </c>
      <c r="C263">
        <v>63.91</v>
      </c>
    </row>
    <row r="264" spans="1:3" x14ac:dyDescent="0.2">
      <c r="A264" t="s">
        <v>1153</v>
      </c>
      <c r="B264" t="s">
        <v>405</v>
      </c>
      <c r="C264">
        <v>60.68</v>
      </c>
    </row>
    <row r="265" spans="1:3" x14ac:dyDescent="0.2">
      <c r="A265" t="s">
        <v>1153</v>
      </c>
      <c r="B265" t="s">
        <v>9</v>
      </c>
      <c r="C265">
        <v>60</v>
      </c>
    </row>
    <row r="266" spans="1:3" x14ac:dyDescent="0.2">
      <c r="A266" t="s">
        <v>1153</v>
      </c>
      <c r="B266" t="s">
        <v>948</v>
      </c>
      <c r="C266">
        <v>58.37</v>
      </c>
    </row>
    <row r="267" spans="1:3" x14ac:dyDescent="0.2">
      <c r="A267" t="s">
        <v>1153</v>
      </c>
      <c r="B267" t="s">
        <v>791</v>
      </c>
      <c r="C267">
        <v>55.1</v>
      </c>
    </row>
    <row r="268" spans="1:3" x14ac:dyDescent="0.2">
      <c r="A268" t="s">
        <v>1153</v>
      </c>
      <c r="B268" t="s">
        <v>949</v>
      </c>
      <c r="C268">
        <v>50.03</v>
      </c>
    </row>
    <row r="269" spans="1:3" x14ac:dyDescent="0.2">
      <c r="A269" t="s">
        <v>1153</v>
      </c>
      <c r="B269" t="s">
        <v>407</v>
      </c>
      <c r="C269">
        <v>48.3</v>
      </c>
    </row>
    <row r="270" spans="1:3" x14ac:dyDescent="0.2">
      <c r="A270" t="s">
        <v>1153</v>
      </c>
      <c r="B270" t="s">
        <v>650</v>
      </c>
      <c r="C270">
        <v>47.3</v>
      </c>
    </row>
    <row r="271" spans="1:3" x14ac:dyDescent="0.2">
      <c r="A271" t="s">
        <v>1153</v>
      </c>
      <c r="B271" t="s">
        <v>950</v>
      </c>
      <c r="C271">
        <v>43.4</v>
      </c>
    </row>
    <row r="272" spans="1:3" x14ac:dyDescent="0.2">
      <c r="A272" t="s">
        <v>1153</v>
      </c>
      <c r="B272" t="s">
        <v>951</v>
      </c>
      <c r="C272">
        <v>37.64</v>
      </c>
    </row>
    <row r="273" spans="1:3" x14ac:dyDescent="0.2">
      <c r="A273" t="s">
        <v>1153</v>
      </c>
      <c r="B273" t="s">
        <v>952</v>
      </c>
      <c r="C273">
        <v>33.6</v>
      </c>
    </row>
    <row r="274" spans="1:3" x14ac:dyDescent="0.2">
      <c r="A274" t="s">
        <v>1154</v>
      </c>
      <c r="B274" t="s">
        <v>1026</v>
      </c>
      <c r="C274">
        <v>87.85</v>
      </c>
    </row>
    <row r="275" spans="1:3" x14ac:dyDescent="0.2">
      <c r="A275" t="s">
        <v>1154</v>
      </c>
      <c r="B275" t="s">
        <v>645</v>
      </c>
      <c r="C275">
        <v>87.78</v>
      </c>
    </row>
    <row r="276" spans="1:3" x14ac:dyDescent="0.2">
      <c r="A276" t="s">
        <v>1154</v>
      </c>
      <c r="B276" t="s">
        <v>1027</v>
      </c>
      <c r="C276">
        <v>86.91</v>
      </c>
    </row>
    <row r="277" spans="1:3" x14ac:dyDescent="0.2">
      <c r="A277" t="s">
        <v>1154</v>
      </c>
      <c r="B277" t="s">
        <v>542</v>
      </c>
      <c r="C277">
        <v>82.28</v>
      </c>
    </row>
    <row r="278" spans="1:3" x14ac:dyDescent="0.2">
      <c r="A278" t="s">
        <v>1154</v>
      </c>
      <c r="B278" t="s">
        <v>222</v>
      </c>
      <c r="C278">
        <v>81.599999999999994</v>
      </c>
    </row>
    <row r="279" spans="1:3" x14ac:dyDescent="0.2">
      <c r="A279" t="s">
        <v>1154</v>
      </c>
      <c r="B279" t="s">
        <v>785</v>
      </c>
      <c r="C279">
        <v>80.650000000000006</v>
      </c>
    </row>
    <row r="280" spans="1:3" x14ac:dyDescent="0.2">
      <c r="A280" t="s">
        <v>1154</v>
      </c>
      <c r="B280" t="s">
        <v>219</v>
      </c>
      <c r="C280">
        <v>79.989999999999995</v>
      </c>
    </row>
    <row r="281" spans="1:3" x14ac:dyDescent="0.2">
      <c r="A281" t="s">
        <v>1154</v>
      </c>
      <c r="B281" t="s">
        <v>401</v>
      </c>
      <c r="C281">
        <v>78.989999999999995</v>
      </c>
    </row>
    <row r="282" spans="1:3" x14ac:dyDescent="0.2">
      <c r="A282" t="s">
        <v>1154</v>
      </c>
      <c r="B282" t="s">
        <v>786</v>
      </c>
      <c r="C282">
        <v>78.61</v>
      </c>
    </row>
    <row r="283" spans="1:3" x14ac:dyDescent="0.2">
      <c r="A283" t="s">
        <v>1154</v>
      </c>
      <c r="B283" t="s">
        <v>406</v>
      </c>
      <c r="C283">
        <v>78</v>
      </c>
    </row>
    <row r="284" spans="1:3" x14ac:dyDescent="0.2">
      <c r="A284" t="s">
        <v>1154</v>
      </c>
      <c r="B284" t="s">
        <v>218</v>
      </c>
      <c r="C284">
        <v>77.7</v>
      </c>
    </row>
    <row r="285" spans="1:3" x14ac:dyDescent="0.2">
      <c r="A285" t="s">
        <v>1154</v>
      </c>
      <c r="B285" t="s">
        <v>412</v>
      </c>
      <c r="C285">
        <v>77.599999999999994</v>
      </c>
    </row>
    <row r="286" spans="1:3" x14ac:dyDescent="0.2">
      <c r="A286" t="s">
        <v>1154</v>
      </c>
      <c r="B286" t="s">
        <v>242</v>
      </c>
      <c r="C286">
        <v>76.5</v>
      </c>
    </row>
    <row r="287" spans="1:3" x14ac:dyDescent="0.2">
      <c r="A287" t="s">
        <v>1154</v>
      </c>
      <c r="B287" t="s">
        <v>336</v>
      </c>
      <c r="C287">
        <v>76.400000000000006</v>
      </c>
    </row>
    <row r="288" spans="1:3" x14ac:dyDescent="0.2">
      <c r="A288" t="s">
        <v>1154</v>
      </c>
      <c r="B288" t="s">
        <v>1028</v>
      </c>
      <c r="C288">
        <v>76.319999999999993</v>
      </c>
    </row>
    <row r="289" spans="1:3" x14ac:dyDescent="0.2">
      <c r="A289" t="s">
        <v>1154</v>
      </c>
      <c r="B289" t="s">
        <v>408</v>
      </c>
      <c r="C289">
        <v>76.260000000000005</v>
      </c>
    </row>
    <row r="290" spans="1:3" x14ac:dyDescent="0.2">
      <c r="A290" t="s">
        <v>1154</v>
      </c>
      <c r="B290" t="s">
        <v>944</v>
      </c>
      <c r="C290">
        <v>76.22</v>
      </c>
    </row>
    <row r="291" spans="1:3" x14ac:dyDescent="0.2">
      <c r="A291" t="s">
        <v>1154</v>
      </c>
      <c r="B291" t="s">
        <v>381</v>
      </c>
      <c r="C291">
        <v>75.040000000000006</v>
      </c>
    </row>
    <row r="292" spans="1:3" x14ac:dyDescent="0.2">
      <c r="A292" t="s">
        <v>1154</v>
      </c>
      <c r="B292" t="s">
        <v>362</v>
      </c>
      <c r="C292">
        <v>74.81</v>
      </c>
    </row>
    <row r="293" spans="1:3" x14ac:dyDescent="0.2">
      <c r="A293" t="s">
        <v>1154</v>
      </c>
      <c r="B293" t="s">
        <v>225</v>
      </c>
      <c r="C293">
        <v>74.8</v>
      </c>
    </row>
    <row r="294" spans="1:3" x14ac:dyDescent="0.2">
      <c r="A294" t="s">
        <v>1154</v>
      </c>
      <c r="B294" t="s">
        <v>474</v>
      </c>
      <c r="C294">
        <v>74.77</v>
      </c>
    </row>
    <row r="295" spans="1:3" x14ac:dyDescent="0.2">
      <c r="A295" t="s">
        <v>1154</v>
      </c>
      <c r="B295" t="s">
        <v>414</v>
      </c>
      <c r="C295">
        <v>74.3</v>
      </c>
    </row>
    <row r="296" spans="1:3" x14ac:dyDescent="0.2">
      <c r="A296" t="s">
        <v>1154</v>
      </c>
      <c r="B296" t="s">
        <v>328</v>
      </c>
      <c r="C296">
        <v>73.349999999999994</v>
      </c>
    </row>
    <row r="297" spans="1:3" x14ac:dyDescent="0.2">
      <c r="A297" t="s">
        <v>1154</v>
      </c>
      <c r="B297" t="s">
        <v>413</v>
      </c>
      <c r="C297">
        <v>73.33</v>
      </c>
    </row>
    <row r="298" spans="1:3" x14ac:dyDescent="0.2">
      <c r="A298" t="s">
        <v>1154</v>
      </c>
      <c r="B298" t="s">
        <v>364</v>
      </c>
      <c r="C298">
        <v>73.12</v>
      </c>
    </row>
    <row r="299" spans="1:3" x14ac:dyDescent="0.2">
      <c r="A299" t="s">
        <v>1154</v>
      </c>
      <c r="B299" t="s">
        <v>403</v>
      </c>
      <c r="C299">
        <v>72.599999999999994</v>
      </c>
    </row>
    <row r="300" spans="1:3" x14ac:dyDescent="0.2">
      <c r="A300" t="s">
        <v>1154</v>
      </c>
      <c r="B300" t="s">
        <v>780</v>
      </c>
      <c r="C300">
        <v>71.5</v>
      </c>
    </row>
    <row r="301" spans="1:3" x14ac:dyDescent="0.2">
      <c r="A301" t="s">
        <v>1154</v>
      </c>
      <c r="B301" t="s">
        <v>363</v>
      </c>
      <c r="C301">
        <v>71.2</v>
      </c>
    </row>
    <row r="302" spans="1:3" x14ac:dyDescent="0.2">
      <c r="A302" t="s">
        <v>1154</v>
      </c>
      <c r="B302" t="s">
        <v>215</v>
      </c>
      <c r="C302">
        <v>70.7</v>
      </c>
    </row>
    <row r="303" spans="1:3" x14ac:dyDescent="0.2">
      <c r="A303" t="s">
        <v>1154</v>
      </c>
      <c r="B303" t="s">
        <v>792</v>
      </c>
      <c r="C303">
        <v>70.5</v>
      </c>
    </row>
    <row r="304" spans="1:3" x14ac:dyDescent="0.2">
      <c r="A304" t="s">
        <v>1154</v>
      </c>
      <c r="B304" t="s">
        <v>1029</v>
      </c>
      <c r="C304">
        <v>70.45</v>
      </c>
    </row>
    <row r="305" spans="1:3" x14ac:dyDescent="0.2">
      <c r="A305" t="s">
        <v>1154</v>
      </c>
      <c r="B305" t="s">
        <v>409</v>
      </c>
      <c r="C305">
        <v>69.989999999999995</v>
      </c>
    </row>
    <row r="306" spans="1:3" x14ac:dyDescent="0.2">
      <c r="A306" t="s">
        <v>1154</v>
      </c>
      <c r="B306" t="s">
        <v>784</v>
      </c>
      <c r="C306">
        <v>69.959999999999994</v>
      </c>
    </row>
    <row r="307" spans="1:3" x14ac:dyDescent="0.2">
      <c r="A307" t="s">
        <v>1154</v>
      </c>
      <c r="B307" t="s">
        <v>942</v>
      </c>
      <c r="C307">
        <v>69.7</v>
      </c>
    </row>
    <row r="308" spans="1:3" x14ac:dyDescent="0.2">
      <c r="A308" t="s">
        <v>1154</v>
      </c>
      <c r="B308" t="s">
        <v>803</v>
      </c>
      <c r="C308">
        <v>69.569999999999993</v>
      </c>
    </row>
    <row r="309" spans="1:3" x14ac:dyDescent="0.2">
      <c r="A309" t="s">
        <v>1154</v>
      </c>
      <c r="B309" t="s">
        <v>948</v>
      </c>
      <c r="C309">
        <v>69.37</v>
      </c>
    </row>
    <row r="310" spans="1:3" x14ac:dyDescent="0.2">
      <c r="A310" t="s">
        <v>1154</v>
      </c>
      <c r="B310" t="s">
        <v>221</v>
      </c>
      <c r="C310">
        <v>69.099999999999994</v>
      </c>
    </row>
    <row r="311" spans="1:3" x14ac:dyDescent="0.2">
      <c r="A311" t="s">
        <v>1154</v>
      </c>
      <c r="B311" t="s">
        <v>292</v>
      </c>
      <c r="C311">
        <v>65.86</v>
      </c>
    </row>
    <row r="312" spans="1:3" x14ac:dyDescent="0.2">
      <c r="A312" t="s">
        <v>1154</v>
      </c>
      <c r="B312" t="s">
        <v>217</v>
      </c>
      <c r="C312">
        <v>65.430000000000007</v>
      </c>
    </row>
    <row r="313" spans="1:3" x14ac:dyDescent="0.2">
      <c r="A313" t="s">
        <v>1154</v>
      </c>
      <c r="B313" t="s">
        <v>652</v>
      </c>
      <c r="C313">
        <v>64.66</v>
      </c>
    </row>
    <row r="314" spans="1:3" x14ac:dyDescent="0.2">
      <c r="A314" t="s">
        <v>1154</v>
      </c>
      <c r="B314" t="s">
        <v>9</v>
      </c>
      <c r="C314">
        <v>60</v>
      </c>
    </row>
    <row r="315" spans="1:3" x14ac:dyDescent="0.2">
      <c r="A315" t="s">
        <v>1155</v>
      </c>
      <c r="B315" t="s">
        <v>944</v>
      </c>
      <c r="C315">
        <v>104.34</v>
      </c>
    </row>
    <row r="316" spans="1:3" x14ac:dyDescent="0.2">
      <c r="A316" t="s">
        <v>1155</v>
      </c>
      <c r="B316" t="s">
        <v>242</v>
      </c>
      <c r="C316">
        <v>98.5</v>
      </c>
    </row>
    <row r="317" spans="1:3" x14ac:dyDescent="0.2">
      <c r="A317" t="s">
        <v>1155</v>
      </c>
      <c r="B317" t="s">
        <v>785</v>
      </c>
      <c r="C317">
        <v>97.05</v>
      </c>
    </row>
    <row r="318" spans="1:3" x14ac:dyDescent="0.2">
      <c r="A318" t="s">
        <v>1155</v>
      </c>
      <c r="B318" t="s">
        <v>542</v>
      </c>
      <c r="C318">
        <v>95.54</v>
      </c>
    </row>
    <row r="319" spans="1:3" x14ac:dyDescent="0.2">
      <c r="A319" t="s">
        <v>1155</v>
      </c>
      <c r="B319" t="s">
        <v>1026</v>
      </c>
      <c r="C319">
        <v>95.22</v>
      </c>
    </row>
    <row r="320" spans="1:3" x14ac:dyDescent="0.2">
      <c r="A320" t="s">
        <v>1155</v>
      </c>
      <c r="B320" t="s">
        <v>222</v>
      </c>
      <c r="C320">
        <v>94.79</v>
      </c>
    </row>
    <row r="321" spans="1:3" x14ac:dyDescent="0.2">
      <c r="A321" t="s">
        <v>1155</v>
      </c>
      <c r="B321" t="s">
        <v>414</v>
      </c>
      <c r="C321">
        <v>94.3</v>
      </c>
    </row>
    <row r="322" spans="1:3" x14ac:dyDescent="0.2">
      <c r="A322" t="s">
        <v>1155</v>
      </c>
      <c r="B322" t="s">
        <v>401</v>
      </c>
      <c r="C322">
        <v>93.89</v>
      </c>
    </row>
    <row r="323" spans="1:3" x14ac:dyDescent="0.2">
      <c r="A323" t="s">
        <v>1155</v>
      </c>
      <c r="B323" t="s">
        <v>362</v>
      </c>
      <c r="C323">
        <v>93.65</v>
      </c>
    </row>
    <row r="324" spans="1:3" x14ac:dyDescent="0.2">
      <c r="A324" t="s">
        <v>1155</v>
      </c>
      <c r="B324" t="s">
        <v>474</v>
      </c>
      <c r="C324">
        <v>92.87</v>
      </c>
    </row>
    <row r="325" spans="1:3" x14ac:dyDescent="0.2">
      <c r="A325" t="s">
        <v>1155</v>
      </c>
      <c r="B325" t="s">
        <v>225</v>
      </c>
      <c r="C325">
        <v>92.8</v>
      </c>
    </row>
    <row r="326" spans="1:3" x14ac:dyDescent="0.2">
      <c r="A326" t="s">
        <v>1155</v>
      </c>
      <c r="B326" t="s">
        <v>1027</v>
      </c>
      <c r="C326">
        <v>91.86</v>
      </c>
    </row>
    <row r="327" spans="1:3" x14ac:dyDescent="0.2">
      <c r="A327" t="s">
        <v>1155</v>
      </c>
      <c r="B327" t="s">
        <v>792</v>
      </c>
      <c r="C327">
        <v>91.77</v>
      </c>
    </row>
    <row r="328" spans="1:3" x14ac:dyDescent="0.2">
      <c r="A328" t="s">
        <v>1155</v>
      </c>
      <c r="B328" t="s">
        <v>1103</v>
      </c>
      <c r="C328">
        <v>91.26</v>
      </c>
    </row>
    <row r="329" spans="1:3" x14ac:dyDescent="0.2">
      <c r="A329" t="s">
        <v>1155</v>
      </c>
      <c r="B329" t="s">
        <v>219</v>
      </c>
      <c r="C329">
        <v>91.11</v>
      </c>
    </row>
    <row r="330" spans="1:3" x14ac:dyDescent="0.2">
      <c r="A330" t="s">
        <v>1155</v>
      </c>
      <c r="B330" t="s">
        <v>215</v>
      </c>
      <c r="C330">
        <v>90.9</v>
      </c>
    </row>
    <row r="331" spans="1:3" x14ac:dyDescent="0.2">
      <c r="A331" t="s">
        <v>1155</v>
      </c>
      <c r="B331" t="s">
        <v>942</v>
      </c>
      <c r="C331">
        <v>90.66</v>
      </c>
    </row>
    <row r="332" spans="1:3" x14ac:dyDescent="0.2">
      <c r="A332" t="s">
        <v>1155</v>
      </c>
      <c r="B332" t="s">
        <v>381</v>
      </c>
      <c r="C332">
        <v>89.93</v>
      </c>
    </row>
    <row r="333" spans="1:3" x14ac:dyDescent="0.2">
      <c r="A333" t="s">
        <v>1155</v>
      </c>
      <c r="B333" t="s">
        <v>1104</v>
      </c>
      <c r="C333">
        <v>89.4</v>
      </c>
    </row>
    <row r="334" spans="1:3" x14ac:dyDescent="0.2">
      <c r="A334" t="s">
        <v>1155</v>
      </c>
      <c r="B334" t="s">
        <v>1028</v>
      </c>
      <c r="C334">
        <v>89.23</v>
      </c>
    </row>
    <row r="335" spans="1:3" x14ac:dyDescent="0.2">
      <c r="A335" t="s">
        <v>1155</v>
      </c>
      <c r="B335" t="s">
        <v>218</v>
      </c>
      <c r="C335">
        <v>88.88</v>
      </c>
    </row>
    <row r="336" spans="1:3" x14ac:dyDescent="0.2">
      <c r="A336" t="s">
        <v>1155</v>
      </c>
      <c r="B336" t="s">
        <v>328</v>
      </c>
      <c r="C336">
        <v>88.05</v>
      </c>
    </row>
    <row r="337" spans="1:3" x14ac:dyDescent="0.2">
      <c r="A337" t="s">
        <v>1155</v>
      </c>
      <c r="B337" t="s">
        <v>406</v>
      </c>
      <c r="C337">
        <v>88</v>
      </c>
    </row>
    <row r="338" spans="1:3" x14ac:dyDescent="0.2">
      <c r="A338" t="s">
        <v>1155</v>
      </c>
      <c r="B338" t="s">
        <v>412</v>
      </c>
      <c r="C338">
        <v>87.6</v>
      </c>
    </row>
    <row r="339" spans="1:3" x14ac:dyDescent="0.2">
      <c r="A339" t="s">
        <v>1155</v>
      </c>
      <c r="B339" t="s">
        <v>363</v>
      </c>
      <c r="C339">
        <v>87.4</v>
      </c>
    </row>
    <row r="340" spans="1:3" x14ac:dyDescent="0.2">
      <c r="A340" t="s">
        <v>1155</v>
      </c>
      <c r="B340" t="s">
        <v>413</v>
      </c>
      <c r="C340">
        <v>86.86</v>
      </c>
    </row>
    <row r="341" spans="1:3" x14ac:dyDescent="0.2">
      <c r="A341" t="s">
        <v>1155</v>
      </c>
      <c r="B341" t="s">
        <v>645</v>
      </c>
      <c r="C341">
        <v>86.44</v>
      </c>
    </row>
    <row r="342" spans="1:3" x14ac:dyDescent="0.2">
      <c r="A342" t="s">
        <v>1155</v>
      </c>
      <c r="B342" t="s">
        <v>408</v>
      </c>
      <c r="C342">
        <v>85.98</v>
      </c>
    </row>
    <row r="343" spans="1:3" x14ac:dyDescent="0.2">
      <c r="A343" t="s">
        <v>1155</v>
      </c>
      <c r="B343" t="s">
        <v>403</v>
      </c>
      <c r="C343">
        <v>85.5</v>
      </c>
    </row>
    <row r="344" spans="1:3" x14ac:dyDescent="0.2">
      <c r="A344" t="s">
        <v>1155</v>
      </c>
      <c r="B344" t="s">
        <v>1106</v>
      </c>
      <c r="C344">
        <v>85.23</v>
      </c>
    </row>
    <row r="345" spans="1:3" x14ac:dyDescent="0.2">
      <c r="A345" t="s">
        <v>1155</v>
      </c>
      <c r="B345" t="s">
        <v>336</v>
      </c>
      <c r="C345">
        <v>84.9</v>
      </c>
    </row>
    <row r="346" spans="1:3" x14ac:dyDescent="0.2">
      <c r="A346" t="s">
        <v>1155</v>
      </c>
      <c r="B346" t="s">
        <v>652</v>
      </c>
      <c r="C346">
        <v>82.44</v>
      </c>
    </row>
    <row r="347" spans="1:3" x14ac:dyDescent="0.2">
      <c r="A347" t="s">
        <v>1155</v>
      </c>
      <c r="B347" t="s">
        <v>786</v>
      </c>
      <c r="C347">
        <v>81.73</v>
      </c>
    </row>
    <row r="348" spans="1:3" x14ac:dyDescent="0.2">
      <c r="A348" t="s">
        <v>1155</v>
      </c>
      <c r="B348" t="s">
        <v>784</v>
      </c>
      <c r="C348">
        <v>81.459999999999994</v>
      </c>
    </row>
    <row r="349" spans="1:3" x14ac:dyDescent="0.2">
      <c r="A349" t="s">
        <v>1155</v>
      </c>
      <c r="B349" t="s">
        <v>292</v>
      </c>
      <c r="C349">
        <v>79.89</v>
      </c>
    </row>
    <row r="350" spans="1:3" x14ac:dyDescent="0.2">
      <c r="A350" t="s">
        <v>1155</v>
      </c>
      <c r="B350" t="s">
        <v>217</v>
      </c>
      <c r="C350">
        <v>77.77</v>
      </c>
    </row>
    <row r="351" spans="1:3" x14ac:dyDescent="0.2">
      <c r="A351" t="s">
        <v>1155</v>
      </c>
      <c r="B351" t="s">
        <v>409</v>
      </c>
      <c r="C351">
        <v>73.55</v>
      </c>
    </row>
    <row r="352" spans="1:3" x14ac:dyDescent="0.2">
      <c r="A352" t="s">
        <v>1155</v>
      </c>
      <c r="B352" t="s">
        <v>803</v>
      </c>
      <c r="C352">
        <v>68.239999999999995</v>
      </c>
    </row>
    <row r="353" spans="1:3" x14ac:dyDescent="0.2">
      <c r="A353" t="s">
        <v>1155</v>
      </c>
      <c r="B353" t="s">
        <v>9</v>
      </c>
      <c r="C353">
        <v>65</v>
      </c>
    </row>
    <row r="354" spans="1:3" x14ac:dyDescent="0.2">
      <c r="A354" t="s">
        <v>1156</v>
      </c>
      <c r="B354" t="s">
        <v>1113</v>
      </c>
      <c r="C354">
        <v>141.62</v>
      </c>
    </row>
    <row r="355" spans="1:3" x14ac:dyDescent="0.2">
      <c r="A355" t="s">
        <v>1156</v>
      </c>
      <c r="B355" t="s">
        <v>1027</v>
      </c>
      <c r="C355">
        <v>89.16</v>
      </c>
    </row>
    <row r="356" spans="1:3" x14ac:dyDescent="0.2">
      <c r="A356" t="s">
        <v>1156</v>
      </c>
      <c r="B356" t="s">
        <v>362</v>
      </c>
      <c r="C356">
        <v>85.17</v>
      </c>
    </row>
    <row r="357" spans="1:3" x14ac:dyDescent="0.2">
      <c r="A357" t="s">
        <v>1156</v>
      </c>
      <c r="B357" t="s">
        <v>786</v>
      </c>
      <c r="C357">
        <v>84.07</v>
      </c>
    </row>
    <row r="358" spans="1:3" x14ac:dyDescent="0.2">
      <c r="A358" t="s">
        <v>1156</v>
      </c>
      <c r="B358" t="s">
        <v>475</v>
      </c>
      <c r="C358">
        <v>83.81</v>
      </c>
    </row>
    <row r="359" spans="1:3" x14ac:dyDescent="0.2">
      <c r="A359" t="s">
        <v>1156</v>
      </c>
      <c r="B359" t="s">
        <v>792</v>
      </c>
      <c r="C359">
        <v>83.75</v>
      </c>
    </row>
    <row r="360" spans="1:3" x14ac:dyDescent="0.2">
      <c r="A360" t="s">
        <v>1156</v>
      </c>
      <c r="B360" t="s">
        <v>242</v>
      </c>
      <c r="C360">
        <v>82.5</v>
      </c>
    </row>
    <row r="361" spans="1:3" x14ac:dyDescent="0.2">
      <c r="A361" t="s">
        <v>1156</v>
      </c>
      <c r="B361" t="s">
        <v>412</v>
      </c>
      <c r="C361">
        <v>80.099999999999994</v>
      </c>
    </row>
    <row r="362" spans="1:3" x14ac:dyDescent="0.2">
      <c r="A362" t="s">
        <v>1156</v>
      </c>
      <c r="B362" t="s">
        <v>1118</v>
      </c>
      <c r="C362">
        <v>79.819999999999993</v>
      </c>
    </row>
    <row r="363" spans="1:3" x14ac:dyDescent="0.2">
      <c r="A363" t="s">
        <v>1156</v>
      </c>
      <c r="B363" t="s">
        <v>225</v>
      </c>
      <c r="C363">
        <v>78.319999999999993</v>
      </c>
    </row>
    <row r="364" spans="1:3" x14ac:dyDescent="0.2">
      <c r="A364" t="s">
        <v>1156</v>
      </c>
      <c r="B364" t="s">
        <v>218</v>
      </c>
      <c r="C364">
        <v>77.77</v>
      </c>
    </row>
    <row r="365" spans="1:3" x14ac:dyDescent="0.2">
      <c r="A365" t="s">
        <v>1156</v>
      </c>
      <c r="B365" t="s">
        <v>336</v>
      </c>
      <c r="C365">
        <v>77.2</v>
      </c>
    </row>
    <row r="366" spans="1:3" x14ac:dyDescent="0.2">
      <c r="A366" t="s">
        <v>1156</v>
      </c>
      <c r="B366" t="s">
        <v>784</v>
      </c>
      <c r="C366">
        <v>75.2</v>
      </c>
    </row>
    <row r="367" spans="1:3" x14ac:dyDescent="0.2">
      <c r="A367" t="s">
        <v>1156</v>
      </c>
      <c r="B367" t="s">
        <v>803</v>
      </c>
      <c r="C367">
        <v>74.19</v>
      </c>
    </row>
    <row r="368" spans="1:3" x14ac:dyDescent="0.2">
      <c r="A368" t="s">
        <v>1156</v>
      </c>
      <c r="B368" t="s">
        <v>381</v>
      </c>
      <c r="C368">
        <v>74.09</v>
      </c>
    </row>
    <row r="369" spans="1:3" x14ac:dyDescent="0.2">
      <c r="A369" t="s">
        <v>1156</v>
      </c>
      <c r="B369" t="s">
        <v>942</v>
      </c>
      <c r="C369">
        <v>73.75</v>
      </c>
    </row>
    <row r="370" spans="1:3" x14ac:dyDescent="0.2">
      <c r="A370" t="s">
        <v>1156</v>
      </c>
      <c r="B370" t="s">
        <v>1126</v>
      </c>
      <c r="C370">
        <v>72.58</v>
      </c>
    </row>
    <row r="371" spans="1:3" x14ac:dyDescent="0.2">
      <c r="A371" t="s">
        <v>1156</v>
      </c>
      <c r="B371" t="s">
        <v>408</v>
      </c>
      <c r="C371">
        <v>72.45</v>
      </c>
    </row>
    <row r="372" spans="1:3" x14ac:dyDescent="0.2">
      <c r="A372" t="s">
        <v>1156</v>
      </c>
      <c r="B372" t="s">
        <v>219</v>
      </c>
      <c r="C372">
        <v>72.22</v>
      </c>
    </row>
    <row r="373" spans="1:3" x14ac:dyDescent="0.2">
      <c r="A373" t="s">
        <v>1156</v>
      </c>
      <c r="B373" t="s">
        <v>652</v>
      </c>
      <c r="C373">
        <v>71.739999999999995</v>
      </c>
    </row>
    <row r="374" spans="1:3" x14ac:dyDescent="0.2">
      <c r="A374" t="s">
        <v>1156</v>
      </c>
      <c r="B374" t="s">
        <v>474</v>
      </c>
      <c r="C374">
        <v>71.010000000000005</v>
      </c>
    </row>
    <row r="375" spans="1:3" x14ac:dyDescent="0.2">
      <c r="A375" t="s">
        <v>1156</v>
      </c>
      <c r="B375" t="s">
        <v>414</v>
      </c>
      <c r="C375">
        <v>70.3</v>
      </c>
    </row>
    <row r="376" spans="1:3" x14ac:dyDescent="0.2">
      <c r="A376" t="s">
        <v>1156</v>
      </c>
      <c r="B376" t="s">
        <v>542</v>
      </c>
      <c r="C376">
        <v>70.069999999999993</v>
      </c>
    </row>
    <row r="377" spans="1:3" x14ac:dyDescent="0.2">
      <c r="A377" t="s">
        <v>1156</v>
      </c>
      <c r="B377" t="s">
        <v>406</v>
      </c>
      <c r="C377">
        <v>70</v>
      </c>
    </row>
    <row r="378" spans="1:3" x14ac:dyDescent="0.2">
      <c r="A378" t="s">
        <v>1156</v>
      </c>
      <c r="B378" t="s">
        <v>217</v>
      </c>
      <c r="C378">
        <v>69.959999999999994</v>
      </c>
    </row>
    <row r="379" spans="1:3" x14ac:dyDescent="0.2">
      <c r="A379" t="s">
        <v>1156</v>
      </c>
      <c r="B379" t="s">
        <v>785</v>
      </c>
      <c r="C379">
        <v>69.36</v>
      </c>
    </row>
    <row r="380" spans="1:3" x14ac:dyDescent="0.2">
      <c r="A380" t="s">
        <v>1156</v>
      </c>
      <c r="B380" t="s">
        <v>409</v>
      </c>
      <c r="C380">
        <v>69.08</v>
      </c>
    </row>
    <row r="381" spans="1:3" x14ac:dyDescent="0.2">
      <c r="A381" t="s">
        <v>1156</v>
      </c>
      <c r="B381" t="s">
        <v>328</v>
      </c>
      <c r="C381">
        <v>69.03</v>
      </c>
    </row>
    <row r="382" spans="1:3" x14ac:dyDescent="0.2">
      <c r="A382" t="s">
        <v>1156</v>
      </c>
      <c r="B382" t="s">
        <v>413</v>
      </c>
      <c r="C382">
        <v>68.680000000000007</v>
      </c>
    </row>
    <row r="383" spans="1:3" x14ac:dyDescent="0.2">
      <c r="A383" t="s">
        <v>1156</v>
      </c>
      <c r="B383" t="s">
        <v>222</v>
      </c>
      <c r="C383">
        <v>68.08</v>
      </c>
    </row>
    <row r="384" spans="1:3" x14ac:dyDescent="0.2">
      <c r="A384" t="s">
        <v>1156</v>
      </c>
      <c r="B384" t="s">
        <v>221</v>
      </c>
      <c r="C384">
        <v>67.849999999999994</v>
      </c>
    </row>
    <row r="385" spans="1:3" x14ac:dyDescent="0.2">
      <c r="A385" t="s">
        <v>1156</v>
      </c>
      <c r="B385" t="s">
        <v>363</v>
      </c>
      <c r="C385">
        <v>66.400000000000006</v>
      </c>
    </row>
    <row r="386" spans="1:3" x14ac:dyDescent="0.2">
      <c r="A386" t="s">
        <v>1156</v>
      </c>
      <c r="B386" t="s">
        <v>1103</v>
      </c>
      <c r="C386">
        <v>66.25</v>
      </c>
    </row>
    <row r="387" spans="1:3" x14ac:dyDescent="0.2">
      <c r="A387" t="s">
        <v>1156</v>
      </c>
      <c r="B387" t="s">
        <v>1106</v>
      </c>
      <c r="C387">
        <v>65.36</v>
      </c>
    </row>
    <row r="388" spans="1:3" x14ac:dyDescent="0.2">
      <c r="A388" t="s">
        <v>1156</v>
      </c>
      <c r="B388" t="s">
        <v>1028</v>
      </c>
      <c r="C388">
        <v>65.23</v>
      </c>
    </row>
    <row r="389" spans="1:3" x14ac:dyDescent="0.2">
      <c r="A389" t="s">
        <v>1156</v>
      </c>
      <c r="B389" t="s">
        <v>1135</v>
      </c>
      <c r="C389">
        <v>62.4</v>
      </c>
    </row>
    <row r="390" spans="1:3" x14ac:dyDescent="0.2">
      <c r="A390" t="s">
        <v>1156</v>
      </c>
      <c r="B390" t="s">
        <v>9</v>
      </c>
      <c r="C390">
        <v>60</v>
      </c>
    </row>
    <row r="391" spans="1:3" x14ac:dyDescent="0.2">
      <c r="A391" t="s">
        <v>1156</v>
      </c>
      <c r="B391" t="s">
        <v>215</v>
      </c>
      <c r="C391">
        <v>59.8</v>
      </c>
    </row>
    <row r="392" spans="1:3" x14ac:dyDescent="0.2">
      <c r="A392" t="s">
        <v>1156</v>
      </c>
      <c r="B392" t="s">
        <v>1026</v>
      </c>
      <c r="C392">
        <v>44.62</v>
      </c>
    </row>
  </sheetData>
  <phoneticPr fontId="9"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21</vt:i4>
      </vt:variant>
    </vt:vector>
  </HeadingPairs>
  <TitlesOfParts>
    <vt:vector size="21" baseType="lpstr">
      <vt:lpstr>in</vt:lpstr>
      <vt:lpstr>omie</vt:lpstr>
      <vt:lpstr>ene</vt:lpstr>
      <vt:lpstr>feb</vt:lpstr>
      <vt:lpstr>mar</vt:lpstr>
      <vt:lpstr>abr</vt:lpstr>
      <vt:lpstr>may</vt:lpstr>
      <vt:lpstr>jun</vt:lpstr>
      <vt:lpstr>jul</vt:lpstr>
      <vt:lpstr>ago</vt:lpstr>
      <vt:lpstr>sep</vt:lpstr>
      <vt:lpstr>oct</vt:lpstr>
      <vt:lpstr>powerrange</vt:lpstr>
      <vt:lpstr>gauss</vt:lpstr>
      <vt:lpstr>externo</vt:lpstr>
      <vt:lpstr>res_mes</vt:lpstr>
      <vt:lpstr>acum_porc</vt:lpstr>
      <vt:lpstr>acum_abs</vt:lpstr>
      <vt:lpstr>estadisticas</vt:lpstr>
      <vt:lpstr>jugadores_2024</vt:lpstr>
      <vt:lpstr>apuestas_2024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2024-10-19T15:25:57Z</dcterms:modified>
</cp:coreProperties>
</file>