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drawings/drawing26.xml" ContentType="application/vnd.openxmlformats-officedocument.drawing+xml"/>
  <Override PartName="/xl/tables/table55.xml" ContentType="application/vnd.openxmlformats-officedocument.spreadsheetml.table+xml"/>
  <Override PartName="/xl/queryTables/queryTable37.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7.xml" ContentType="application/vnd.openxmlformats-officedocument.spreadsheetml.table+xml"/>
  <Override PartName="/xl/tables/table58.xml" ContentType="application/vnd.openxmlformats-officedocument.spreadsheetml.table+xml"/>
  <Override PartName="/xl/queryTables/queryTable39.xml" ContentType="application/vnd.openxmlformats-officedocument.spreadsheetml.queryTable+xml"/>
  <Override PartName="/xl/tables/table59.xml" ContentType="application/vnd.openxmlformats-officedocument.spreadsheetml.table+xml"/>
  <Override PartName="/xl/queryTables/queryTable4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936282EB-628D-4F17-BB8C-0511AD18E5E7}" xr6:coauthVersionLast="47" xr6:coauthVersionMax="47" xr10:uidLastSave="{00000000-0000-0000-0000-000000000000}"/>
  <bookViews>
    <workbookView xWindow="-120" yWindow="-120" windowWidth="38640" windowHeight="21840" activeTab="16"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 name="apuestas_2024" sheetId="46" r:id="rId21"/>
  </sheets>
  <externalReferences>
    <externalReference r:id="rId22"/>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0" hidden="1">apuestas_2024!$A$1:$C$392</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omie!$A$4:$B$293</definedName>
    <definedName name="DatosExternos_1" localSheetId="10" hidden="1">sep!$A$6:$E$45</definedName>
    <definedName name="DatosExternos_10" localSheetId="1" hidden="1">omie!$AB$4:$AC$34</definedName>
    <definedName name="DatosExternos_11" localSheetId="1" hidden="1">omie!$AE$4:$AF$19</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67" r:id="rId23"/>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8" i="32" l="1"/>
  <c r="L30" i="32"/>
  <c r="L62" i="32"/>
  <c r="L63" i="32"/>
  <c r="L19" i="32"/>
  <c r="L2" i="32"/>
  <c r="N2" i="32" s="1"/>
  <c r="L64" i="32"/>
  <c r="N64" i="32" s="1"/>
  <c r="L46" i="32"/>
  <c r="N46" i="32" s="1"/>
  <c r="L65" i="32"/>
  <c r="N65" i="32" s="1"/>
  <c r="L66" i="32"/>
  <c r="L26" i="32"/>
  <c r="L67" i="32"/>
  <c r="N67" i="32" s="1"/>
  <c r="L14" i="32"/>
  <c r="L52" i="32"/>
  <c r="L31" i="32"/>
  <c r="L27" i="32"/>
  <c r="N27" i="32" s="1"/>
  <c r="L47" i="32"/>
  <c r="L68" i="32"/>
  <c r="N68" i="32" s="1"/>
  <c r="L69" i="32"/>
  <c r="N69" i="32" s="1"/>
  <c r="L53" i="32"/>
  <c r="N53" i="32" s="1"/>
  <c r="L48" i="32"/>
  <c r="N48" i="32" s="1"/>
  <c r="L70" i="32"/>
  <c r="L71" i="32"/>
  <c r="L3" i="32"/>
  <c r="L4" i="32"/>
  <c r="L39" i="32"/>
  <c r="L54" i="32"/>
  <c r="L5" i="32"/>
  <c r="L72" i="32"/>
  <c r="L32" i="32"/>
  <c r="N32" i="32" s="1"/>
  <c r="L73" i="32"/>
  <c r="N73" i="32" s="1"/>
  <c r="L74" i="32"/>
  <c r="N74" i="32" s="1"/>
  <c r="L6" i="32"/>
  <c r="N6" i="32" s="1"/>
  <c r="L49" i="32"/>
  <c r="L75" i="32"/>
  <c r="L15" i="32"/>
  <c r="L76" i="32"/>
  <c r="L20" i="32"/>
  <c r="L21" i="32"/>
  <c r="L77" i="32"/>
  <c r="N77" i="32" s="1"/>
  <c r="L78" i="32"/>
  <c r="L79" i="32"/>
  <c r="N79" i="32" s="1"/>
  <c r="L7" i="32"/>
  <c r="N7" i="32" s="1"/>
  <c r="L8" i="32"/>
  <c r="N8" i="32" s="1"/>
  <c r="L80" i="32"/>
  <c r="L33" i="32"/>
  <c r="L55" i="32"/>
  <c r="L40" i="32"/>
  <c r="N40" i="32" s="1"/>
  <c r="L9" i="32"/>
  <c r="L81" i="32"/>
  <c r="L34" i="32"/>
  <c r="L41" i="32"/>
  <c r="L82" i="32"/>
  <c r="L10" i="32"/>
  <c r="N10" i="32" s="1"/>
  <c r="L11" i="32"/>
  <c r="N11" i="32" s="1"/>
  <c r="L56" i="32"/>
  <c r="N56" i="32" s="1"/>
  <c r="L83" i="32"/>
  <c r="N83" i="32" s="1"/>
  <c r="L57" i="32"/>
  <c r="L42" i="32"/>
  <c r="L16" i="32"/>
  <c r="L84" i="32"/>
  <c r="L85" i="32"/>
  <c r="L12" i="32"/>
  <c r="L17" i="32"/>
  <c r="N17" i="32" s="1"/>
  <c r="L86" i="32"/>
  <c r="L23" i="32"/>
  <c r="N23" i="32" s="1"/>
  <c r="L87" i="32"/>
  <c r="N87" i="32" s="1"/>
  <c r="L50" i="32"/>
  <c r="N50" i="32" s="1"/>
  <c r="L58" i="32"/>
  <c r="N58" i="32" s="1"/>
  <c r="L28" i="32"/>
  <c r="L88" i="32"/>
  <c r="L89" i="32"/>
  <c r="N89" i="32" s="1"/>
  <c r="L90" i="32"/>
  <c r="N90" i="32" s="1"/>
  <c r="L91" i="32"/>
  <c r="L92" i="32"/>
  <c r="L24" i="32"/>
  <c r="L93" i="32"/>
  <c r="L51" i="32"/>
  <c r="N51" i="32" s="1"/>
  <c r="L94" i="32"/>
  <c r="N94" i="32" s="1"/>
  <c r="L35" i="32"/>
  <c r="N35" i="32" s="1"/>
  <c r="L59" i="32"/>
  <c r="N59" i="32" s="1"/>
  <c r="L43" i="32"/>
  <c r="L44" i="32"/>
  <c r="L36" i="32"/>
  <c r="L22" i="32"/>
  <c r="L95" i="32"/>
  <c r="L29" i="32"/>
  <c r="L13" i="32"/>
  <c r="N13" i="32" s="1"/>
  <c r="L60" i="32"/>
  <c r="L25" i="32"/>
  <c r="N25" i="32" s="1"/>
  <c r="L61" i="32"/>
  <c r="N61" i="32" s="1"/>
  <c r="L96" i="32"/>
  <c r="N96" i="32" s="1"/>
  <c r="L45" i="32"/>
  <c r="N45" i="32" s="1"/>
  <c r="L97" i="32"/>
  <c r="L98" i="32"/>
  <c r="L37" i="32"/>
  <c r="N37" i="32" s="1"/>
  <c r="L99" i="32"/>
  <c r="N99" i="32" s="1"/>
  <c r="L38" i="32"/>
  <c r="N38" i="32" s="1"/>
  <c r="L100" i="32"/>
  <c r="N18" i="32"/>
  <c r="N30" i="32"/>
  <c r="N62" i="32"/>
  <c r="N63" i="32"/>
  <c r="N19" i="32"/>
  <c r="N14" i="32"/>
  <c r="N52" i="32"/>
  <c r="N31" i="32"/>
  <c r="N47" i="32"/>
  <c r="N4" i="32"/>
  <c r="N39" i="32"/>
  <c r="N54" i="32"/>
  <c r="N5" i="32"/>
  <c r="N72" i="32"/>
  <c r="N76" i="32"/>
  <c r="N20" i="32"/>
  <c r="N21" i="32"/>
  <c r="N78" i="32"/>
  <c r="N9" i="32"/>
  <c r="N81" i="32"/>
  <c r="N34" i="32"/>
  <c r="N41" i="32"/>
  <c r="N82" i="32"/>
  <c r="N84" i="32"/>
  <c r="N85" i="32"/>
  <c r="N12" i="32"/>
  <c r="N86" i="32"/>
  <c r="N91" i="32"/>
  <c r="N92" i="32"/>
  <c r="N24" i="32"/>
  <c r="N93" i="32"/>
  <c r="N22" i="32"/>
  <c r="N29" i="32"/>
  <c r="N60" i="32"/>
  <c r="N100" i="32"/>
  <c r="Q22" i="45"/>
  <c r="Q21" i="45"/>
  <c r="Q20" i="45"/>
  <c r="Q19" i="45"/>
  <c r="Q18" i="45"/>
  <c r="Q17" i="45"/>
  <c r="Q16" i="45"/>
  <c r="Q15" i="45"/>
  <c r="Q14" i="45"/>
  <c r="Q13" i="45"/>
  <c r="Q12" i="45"/>
  <c r="Q11" i="45"/>
  <c r="Q10" i="45"/>
  <c r="Q9" i="45"/>
  <c r="Q8" i="45"/>
  <c r="AE4" i="7"/>
  <c r="AE5" i="7"/>
  <c r="AE6" i="7"/>
  <c r="AE7" i="7"/>
  <c r="AE8" i="7"/>
  <c r="AE9" i="7"/>
  <c r="AE10" i="7"/>
  <c r="AE11" i="7"/>
  <c r="AE12" i="7"/>
  <c r="AE13" i="7"/>
  <c r="AE14" i="7"/>
  <c r="AE15" i="7"/>
  <c r="AE16" i="7"/>
  <c r="AE17" i="7"/>
  <c r="AE18" i="7"/>
  <c r="N95" i="32" l="1"/>
  <c r="N16" i="32"/>
  <c r="N36" i="32"/>
  <c r="N15" i="32"/>
  <c r="N3" i="32"/>
  <c r="N80" i="32"/>
  <c r="N98" i="32"/>
  <c r="N44" i="32"/>
  <c r="N88" i="32"/>
  <c r="N42" i="32"/>
  <c r="N55" i="32"/>
  <c r="N75" i="32"/>
  <c r="N71" i="32"/>
  <c r="N26" i="32"/>
  <c r="N97" i="32"/>
  <c r="N43" i="32"/>
  <c r="N28" i="32"/>
  <c r="N57" i="32"/>
  <c r="N33" i="32"/>
  <c r="N49" i="32"/>
  <c r="N70" i="32"/>
  <c r="N66" i="32"/>
  <c r="P16" i="32" l="1"/>
  <c r="P10" i="32"/>
  <c r="P8" i="32"/>
  <c r="Q16" i="32"/>
  <c r="P18" i="32"/>
  <c r="Q7" i="45"/>
  <c r="U17" i="39" l="1"/>
  <c r="F18" i="39"/>
  <c r="Q37" i="45"/>
  <c r="Q36" i="45"/>
  <c r="C38" i="39" s="1"/>
  <c r="Q35" i="45"/>
  <c r="C37" i="39" s="1"/>
  <c r="Q34" i="45"/>
  <c r="C36" i="39" s="1"/>
  <c r="Q33" i="45"/>
  <c r="C35" i="39" s="1"/>
  <c r="Q32" i="45"/>
  <c r="C34" i="39" s="1"/>
  <c r="Q31" i="45"/>
  <c r="C33" i="39" s="1"/>
  <c r="Q30" i="45"/>
  <c r="C32" i="39" s="1"/>
  <c r="Q29" i="45"/>
  <c r="C31" i="39" s="1"/>
  <c r="Q28" i="45"/>
  <c r="C30" i="39" s="1"/>
  <c r="Q27" i="45"/>
  <c r="C29" i="39" s="1"/>
  <c r="Q26" i="45"/>
  <c r="C28" i="39" s="1"/>
  <c r="Q25" i="45"/>
  <c r="C27" i="39" s="1"/>
  <c r="Q24" i="45"/>
  <c r="C26" i="39" s="1"/>
  <c r="Q23" i="45"/>
  <c r="C25" i="39" s="1"/>
  <c r="C24" i="39"/>
  <c r="C23" i="39"/>
  <c r="C22" i="39"/>
  <c r="C21" i="39"/>
  <c r="C20" i="39"/>
  <c r="C19" i="39"/>
  <c r="C18" i="39"/>
  <c r="C17" i="39"/>
  <c r="C16" i="39"/>
  <c r="C15" i="39"/>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P3" i="45"/>
  <c r="U34" i="39"/>
  <c r="N22" i="45" l="1"/>
  <c r="N7" i="45"/>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34" i="32" l="1"/>
  <c r="M39" i="32"/>
  <c r="M82" i="32"/>
  <c r="M54" i="32"/>
  <c r="M29" i="32"/>
  <c r="M60" i="32"/>
  <c r="M52" i="32"/>
  <c r="M91" i="32"/>
  <c r="M81" i="32"/>
  <c r="M30" i="32"/>
  <c r="M72" i="32"/>
  <c r="M20" i="32"/>
  <c r="M21" i="32"/>
  <c r="M62" i="32"/>
  <c r="M32" i="32"/>
  <c r="M85" i="32"/>
  <c r="M2" i="32"/>
  <c r="M86" i="32"/>
  <c r="M100" i="32"/>
  <c r="M47" i="32"/>
  <c r="M51" i="32"/>
  <c r="M19" i="32"/>
  <c r="M12" i="32"/>
  <c r="M78" i="32"/>
  <c r="M31" i="32"/>
  <c r="M79" i="32"/>
  <c r="M92" i="32"/>
  <c r="M93" i="32"/>
  <c r="M68" i="32"/>
  <c r="M3" i="32"/>
  <c r="M28" i="32"/>
  <c r="M42" i="32"/>
  <c r="M10" i="32"/>
  <c r="M77" i="32"/>
  <c r="M96" i="32"/>
  <c r="M7" i="32"/>
  <c r="M74" i="32"/>
  <c r="M26" i="32"/>
  <c r="M75" i="32"/>
  <c r="M87" i="32"/>
  <c r="M16" i="32"/>
  <c r="M57" i="32"/>
  <c r="M80" i="32"/>
  <c r="M99" i="32"/>
  <c r="M27" i="32"/>
  <c r="M35" i="32"/>
  <c r="M73" i="32"/>
  <c r="M48" i="32"/>
  <c r="M15" i="32"/>
  <c r="M33" i="32"/>
  <c r="M22" i="32"/>
  <c r="M25" i="32"/>
  <c r="M50" i="32"/>
  <c r="M69" i="32"/>
  <c r="M8" i="32"/>
  <c r="M9" i="32"/>
  <c r="M59" i="32"/>
  <c r="M58" i="32"/>
  <c r="M40" i="32"/>
  <c r="M61" i="32"/>
  <c r="M6" i="32"/>
  <c r="M97" i="32"/>
  <c r="M36" i="32"/>
  <c r="M49" i="32"/>
  <c r="M37" i="32"/>
  <c r="M90" i="32"/>
  <c r="M23" i="32"/>
  <c r="M56" i="32"/>
  <c r="M64" i="32"/>
  <c r="M95" i="32"/>
  <c r="M70" i="32"/>
  <c r="M44" i="32"/>
  <c r="M84" i="32"/>
  <c r="M46" i="32"/>
  <c r="M63" i="32"/>
  <c r="M18" i="32"/>
  <c r="M94" i="32"/>
  <c r="M13" i="32"/>
  <c r="M66" i="32"/>
  <c r="M24" i="32"/>
  <c r="M45" i="32"/>
  <c r="M4" i="32"/>
  <c r="M83" i="32"/>
  <c r="M98" i="32"/>
  <c r="M89" i="32"/>
  <c r="M41" i="32"/>
  <c r="M76" i="32"/>
  <c r="M53" i="32"/>
  <c r="M5" i="32"/>
  <c r="M14" i="32"/>
  <c r="M71" i="32"/>
  <c r="M88" i="32"/>
  <c r="M55" i="32"/>
  <c r="M43" i="32"/>
  <c r="M38" i="32"/>
  <c r="M67" i="32"/>
  <c r="M17" i="32"/>
  <c r="M65" i="32"/>
  <c r="M11"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28" i="7" l="1"/>
  <c r="AE22" i="7"/>
  <c r="AE29" i="7"/>
  <c r="AE26" i="7"/>
  <c r="AE30" i="7"/>
  <c r="AE34" i="7"/>
  <c r="AE19" i="7"/>
  <c r="AE31" i="7"/>
  <c r="AE33" i="7"/>
  <c r="AE20" i="7"/>
  <c r="AE32" i="7"/>
  <c r="AE21" i="7"/>
  <c r="AE23" i="7"/>
  <c r="AE24" i="7"/>
  <c r="AE25" i="7"/>
  <c r="AE27" i="7"/>
  <c r="M3" i="15"/>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4" xr16:uid="{F961D745-BB12-4E6A-93B1-DDDA9906DB75}" keepAlive="1" name="Consulta - apuestas_2024" description="Conexión a la consulta 'apuestas_2024' en el libro." type="5" refreshedVersion="8" background="1" saveData="1">
    <dbPr connection="Provider=Microsoft.Mashup.OleDb.1;Data Source=$Workbook$;Location=apuestas_2024;Extended Properties=&quot;&quot;" command="SELECT * FROM [apuestas_2024]"/>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0"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1"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2"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3"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4"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5"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6"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7"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8"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<sst xmlns="http://schemas.openxmlformats.org/spreadsheetml/2006/main" count="6983" uniqueCount="1157">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</sst>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8">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2" fontId="1" fillId="0" borderId="0" xfId="0" applyNumberFormat="1" applyFont="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77">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68.2</c:v>
                </c:pt>
                <c:pt idx="1">
                  <c:v>68.2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68.2</c:v>
                </c:pt>
                <c:pt idx="1">
                  <c:v>68.2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68.2</c:v>
                </c:pt>
                <c:pt idx="1">
                  <c:v>68.2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68.2</c:v>
                </c:pt>
                <c:pt idx="1">
                  <c:v>68.2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pt idx="4">
                  <c:v>40.74</c:v>
                </c:pt>
                <c:pt idx="5">
                  <c:v>40.730000000000011</c:v>
                </c:pt>
                <c:pt idx="6">
                  <c:v>41.24</c:v>
                </c:pt>
                <c:pt idx="7">
                  <c:v>40.299999999999983</c:v>
                </c:pt>
                <c:pt idx="8">
                  <c:v>38.590000000000025</c:v>
                </c:pt>
                <c:pt idx="9">
                  <c:v>38.119999999999997</c:v>
                </c:pt>
                <c:pt idx="10">
                  <c:v>39.789999999999985</c:v>
                </c:pt>
                <c:pt idx="11">
                  <c:v>39.269999999999989</c:v>
                </c:pt>
                <c:pt idx="12">
                  <c:v>38.950000000000017</c:v>
                </c:pt>
                <c:pt idx="13">
                  <c:v>40.039999999999985</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39.590000000000003</c:v>
                </c:pt>
                <c:pt idx="1">
                  <c:v>39.590000000000003</c:v>
                </c:pt>
                <c:pt idx="2">
                  <c:v>39.590000000000003</c:v>
                </c:pt>
                <c:pt idx="3">
                  <c:v>39.590000000000003</c:v>
                </c:pt>
                <c:pt idx="4">
                  <c:v>39.590000000000003</c:v>
                </c:pt>
                <c:pt idx="5">
                  <c:v>39.590000000000003</c:v>
                </c:pt>
                <c:pt idx="6">
                  <c:v>39.590000000000003</c:v>
                </c:pt>
                <c:pt idx="7">
                  <c:v>39.590000000000003</c:v>
                </c:pt>
                <c:pt idx="8">
                  <c:v>39.590000000000003</c:v>
                </c:pt>
                <c:pt idx="9">
                  <c:v>39.590000000000003</c:v>
                </c:pt>
                <c:pt idx="10">
                  <c:v>39.590000000000003</c:v>
                </c:pt>
                <c:pt idx="11">
                  <c:v>39.590000000000003</c:v>
                </c:pt>
                <c:pt idx="12">
                  <c:v>39.590000000000003</c:v>
                </c:pt>
                <c:pt idx="13">
                  <c:v>39.590000000000003</c:v>
                </c:pt>
                <c:pt idx="14">
                  <c:v>39.590000000000003</c:v>
                </c:pt>
                <c:pt idx="15">
                  <c:v>39.590000000000003</c:v>
                </c:pt>
                <c:pt idx="16">
                  <c:v>39.590000000000003</c:v>
                </c:pt>
                <c:pt idx="17">
                  <c:v>39.590000000000003</c:v>
                </c:pt>
                <c:pt idx="18">
                  <c:v>39.590000000000003</c:v>
                </c:pt>
                <c:pt idx="19">
                  <c:v>39.590000000000003</c:v>
                </c:pt>
                <c:pt idx="20">
                  <c:v>39.590000000000003</c:v>
                </c:pt>
                <c:pt idx="21">
                  <c:v>39.590000000000003</c:v>
                </c:pt>
                <c:pt idx="22">
                  <c:v>39.590000000000003</c:v>
                </c:pt>
                <c:pt idx="23">
                  <c:v>39.590000000000003</c:v>
                </c:pt>
                <c:pt idx="24">
                  <c:v>39.590000000000003</c:v>
                </c:pt>
                <c:pt idx="25">
                  <c:v>39.590000000000003</c:v>
                </c:pt>
                <c:pt idx="26">
                  <c:v>39.590000000000003</c:v>
                </c:pt>
                <c:pt idx="27">
                  <c:v>39.590000000000003</c:v>
                </c:pt>
                <c:pt idx="28">
                  <c:v>39.590000000000003</c:v>
                </c:pt>
                <c:pt idx="29">
                  <c:v>39.590000000000003</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72.22</c:v>
                </c:pt>
                <c:pt idx="1">
                  <c:v>63.51</c:v>
                </c:pt>
                <c:pt idx="2">
                  <c:v>60.57</c:v>
                </c:pt>
                <c:pt idx="3">
                  <c:v>54.49</c:v>
                </c:pt>
                <c:pt idx="4">
                  <c:v>52.14</c:v>
                </c:pt>
                <c:pt idx="5">
                  <c:v>55.85</c:v>
                </c:pt>
                <c:pt idx="6">
                  <c:v>67.56</c:v>
                </c:pt>
                <c:pt idx="7">
                  <c:v>86.82</c:v>
                </c:pt>
                <c:pt idx="8">
                  <c:v>99.95</c:v>
                </c:pt>
                <c:pt idx="9">
                  <c:v>82.43</c:v>
                </c:pt>
                <c:pt idx="10">
                  <c:v>66.61</c:v>
                </c:pt>
                <c:pt idx="11">
                  <c:v>52.96</c:v>
                </c:pt>
                <c:pt idx="12">
                  <c:v>44.84</c:v>
                </c:pt>
                <c:pt idx="13">
                  <c:v>40.14</c:v>
                </c:pt>
                <c:pt idx="14">
                  <c:v>36.119999999999997</c:v>
                </c:pt>
                <c:pt idx="15">
                  <c:v>34.85</c:v>
                </c:pt>
                <c:pt idx="16">
                  <c:v>38.119999999999997</c:v>
                </c:pt>
                <c:pt idx="17">
                  <c:v>51.05</c:v>
                </c:pt>
                <c:pt idx="18">
                  <c:v>75.38</c:v>
                </c:pt>
                <c:pt idx="19">
                  <c:v>101.79</c:v>
                </c:pt>
                <c:pt idx="20">
                  <c:v>120.1</c:v>
                </c:pt>
                <c:pt idx="21">
                  <c:v>109.56</c:v>
                </c:pt>
                <c:pt idx="22">
                  <c:v>89.07</c:v>
                </c:pt>
                <c:pt idx="23">
                  <c:v>80.569999999999993</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60.38</c:v>
                </c:pt>
                <c:pt idx="1">
                  <c:v>49.28</c:v>
                </c:pt>
                <c:pt idx="2">
                  <c:v>25.31</c:v>
                </c:pt>
                <c:pt idx="3">
                  <c:v>33.19</c:v>
                </c:pt>
                <c:pt idx="4">
                  <c:v>35.520000000000003</c:v>
                </c:pt>
                <c:pt idx="5">
                  <c:v>40.119999999999997</c:v>
                </c:pt>
                <c:pt idx="6">
                  <c:v>53.54</c:v>
                </c:pt>
                <c:pt idx="7">
                  <c:v>78.33</c:v>
                </c:pt>
                <c:pt idx="8">
                  <c:v>59.57</c:v>
                </c:pt>
                <c:pt idx="9">
                  <c:v>69.150000000000006</c:v>
                </c:pt>
                <c:pt idx="10">
                  <c:v>58.32</c:v>
                </c:pt>
                <c:pt idx="11">
                  <c:v>37.14</c:v>
                </c:pt>
                <c:pt idx="12">
                  <c:v>42.92</c:v>
                </c:pt>
                <c:pt idx="13">
                  <c:v>45.28</c:v>
                </c:pt>
                <c:pt idx="14">
                  <c:v>41.2</c:v>
                </c:pt>
                <c:pt idx="15">
                  <c:v>33.28</c:v>
                </c:pt>
                <c:pt idx="16">
                  <c:v>32.93</c:v>
                </c:pt>
                <c:pt idx="17">
                  <c:v>38.35</c:v>
                </c:pt>
                <c:pt idx="18">
                  <c:v>48.11</c:v>
                </c:pt>
                <c:pt idx="19">
                  <c:v>94</c:v>
                </c:pt>
                <c:pt idx="20">
                  <c:v>96.83</c:v>
                </c:pt>
                <c:pt idx="21">
                  <c:v>83.19</c:v>
                </c:pt>
                <c:pt idx="23">
                  <c:v>78.42</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4">
                  <c:v>84.72</c:v>
                </c:pt>
                <c:pt idx="6">
                  <c:v>99.95</c:v>
                </c:pt>
                <c:pt idx="7">
                  <c:v>121.17</c:v>
                </c:pt>
                <c:pt idx="8">
                  <c:v>119.78</c:v>
                </c:pt>
                <c:pt idx="9">
                  <c:v>122.86</c:v>
                </c:pt>
                <c:pt idx="20">
                  <c:v>155.87</c:v>
                </c:pt>
                <c:pt idx="21">
                  <c:v>153.55000000000001</c:v>
                </c:pt>
                <c:pt idx="22">
                  <c:v>100.24</c:v>
                </c:pt>
                <c:pt idx="23">
                  <c:v>100.34</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80.94</c:v>
                </c:pt>
                <c:pt idx="1">
                  <c:v>81.38</c:v>
                </c:pt>
                <c:pt idx="2">
                  <c:v>74.84</c:v>
                </c:pt>
                <c:pt idx="3">
                  <c:v>86.08</c:v>
                </c:pt>
                <c:pt idx="4">
                  <c:v>80.67</c:v>
                </c:pt>
                <c:pt idx="5">
                  <c:v>85.71</c:v>
                </c:pt>
                <c:pt idx="6">
                  <c:v>102</c:v>
                </c:pt>
                <c:pt idx="7">
                  <c:v>109.18</c:v>
                </c:pt>
                <c:pt idx="8">
                  <c:v>105.18</c:v>
                </c:pt>
                <c:pt idx="9">
                  <c:v>78.38</c:v>
                </c:pt>
                <c:pt idx="10">
                  <c:v>78.86</c:v>
                </c:pt>
                <c:pt idx="11">
                  <c:v>64.94</c:v>
                </c:pt>
                <c:pt idx="12">
                  <c:v>48.68</c:v>
                </c:pt>
                <c:pt idx="13">
                  <c:v>29.86</c:v>
                </c:pt>
                <c:pt idx="14">
                  <c:v>26.18</c:v>
                </c:pt>
                <c:pt idx="15">
                  <c:v>37.979999999999997</c:v>
                </c:pt>
                <c:pt idx="16">
                  <c:v>46.03</c:v>
                </c:pt>
                <c:pt idx="17">
                  <c:v>65.55</c:v>
                </c:pt>
                <c:pt idx="18">
                  <c:v>86.04</c:v>
                </c:pt>
                <c:pt idx="19">
                  <c:v>106.96</c:v>
                </c:pt>
                <c:pt idx="20">
                  <c:v>119.8</c:v>
                </c:pt>
                <c:pt idx="21">
                  <c:v>99.46</c:v>
                </c:pt>
                <c:pt idx="22">
                  <c:v>87.16</c:v>
                </c:pt>
                <c:pt idx="23">
                  <c:v>73.81</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61</c:v>
                </c:pt>
                <c:pt idx="4">
                  <c:v>61</c:v>
                </c:pt>
                <c:pt idx="5">
                  <c:v>61</c:v>
                </c:pt>
                <c:pt idx="6">
                  <c:v>61.920000000000016</c:v>
                </c:pt>
                <c:pt idx="7">
                  <c:v>59.869999999999969</c:v>
                </c:pt>
                <c:pt idx="8">
                  <c:v>61.75</c:v>
                </c:pt>
                <c:pt idx="9">
                  <c:v>64.539999999999978</c:v>
                </c:pt>
                <c:pt idx="10">
                  <c:v>64.279999999999987</c:v>
                </c:pt>
                <c:pt idx="11">
                  <c:v>64.279999999999987</c:v>
                </c:pt>
                <c:pt idx="12">
                  <c:v>64.279999999999987</c:v>
                </c:pt>
                <c:pt idx="13">
                  <c:v>64.279999999999987</c:v>
                </c:pt>
                <c:pt idx="14">
                  <c:v>64.279999999999987</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62.68</c:v>
                </c:pt>
                <c:pt idx="1">
                  <c:v>62.68</c:v>
                </c:pt>
                <c:pt idx="2">
                  <c:v>62.68</c:v>
                </c:pt>
                <c:pt idx="3">
                  <c:v>62.68</c:v>
                </c:pt>
                <c:pt idx="4">
                  <c:v>62.68</c:v>
                </c:pt>
                <c:pt idx="5">
                  <c:v>62.68</c:v>
                </c:pt>
                <c:pt idx="6">
                  <c:v>62.68</c:v>
                </c:pt>
                <c:pt idx="7">
                  <c:v>62.68</c:v>
                </c:pt>
                <c:pt idx="8">
                  <c:v>62.68</c:v>
                </c:pt>
                <c:pt idx="9">
                  <c:v>62.68</c:v>
                </c:pt>
                <c:pt idx="10">
                  <c:v>62.68</c:v>
                </c:pt>
                <c:pt idx="11">
                  <c:v>62.68</c:v>
                </c:pt>
                <c:pt idx="12">
                  <c:v>62.68</c:v>
                </c:pt>
                <c:pt idx="13">
                  <c:v>62.68</c:v>
                </c:pt>
                <c:pt idx="14">
                  <c:v>62.68</c:v>
                </c:pt>
                <c:pt idx="15">
                  <c:v>62.68</c:v>
                </c:pt>
                <c:pt idx="16">
                  <c:v>62.68</c:v>
                </c:pt>
                <c:pt idx="17">
                  <c:v>62.68</c:v>
                </c:pt>
                <c:pt idx="18">
                  <c:v>62.68</c:v>
                </c:pt>
                <c:pt idx="19">
                  <c:v>62.68</c:v>
                </c:pt>
                <c:pt idx="20">
                  <c:v>62.68</c:v>
                </c:pt>
                <c:pt idx="21">
                  <c:v>62.68</c:v>
                </c:pt>
                <c:pt idx="22">
                  <c:v>62.68</c:v>
                </c:pt>
                <c:pt idx="23">
                  <c:v>62.68</c:v>
                </c:pt>
                <c:pt idx="24">
                  <c:v>62.68</c:v>
                </c:pt>
                <c:pt idx="25">
                  <c:v>62.68</c:v>
                </c:pt>
                <c:pt idx="26">
                  <c:v>62.68</c:v>
                </c:pt>
                <c:pt idx="27">
                  <c:v>62.68</c:v>
                </c:pt>
                <c:pt idx="28">
                  <c:v>62.68</c:v>
                </c:pt>
                <c:pt idx="29">
                  <c:v>62.68</c:v>
                </c:pt>
                <c:pt idx="30">
                  <c:v>62.68</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0.442</c:v>
                      </c:pt>
                      <c:pt idx="1">
                        <c:v>0.442</c:v>
                      </c:pt>
                      <c:pt idx="2">
                        <c:v>0.442</c:v>
                      </c:pt>
                      <c:pt idx="3">
                        <c:v>0.442</c:v>
                      </c:pt>
                      <c:pt idx="4">
                        <c:v>0.442</c:v>
                      </c:pt>
                      <c:pt idx="5">
                        <c:v>0.442</c:v>
                      </c:pt>
                      <c:pt idx="6">
                        <c:v>0.442</c:v>
                      </c:pt>
                      <c:pt idx="7">
                        <c:v>0.442</c:v>
                      </c:pt>
                      <c:pt idx="8">
                        <c:v>0.442</c:v>
                      </c:pt>
                      <c:pt idx="9">
                        <c:v>0.442</c:v>
                      </c:pt>
                      <c:pt idx="10">
                        <c:v>0.442</c:v>
                      </c:pt>
                      <c:pt idx="11">
                        <c:v>0.442</c:v>
                      </c:pt>
                      <c:pt idx="12">
                        <c:v>0.442</c:v>
                      </c:pt>
                      <c:pt idx="13">
                        <c:v>0.442</c:v>
                      </c:pt>
                      <c:pt idx="14">
                        <c:v>0.442</c:v>
                      </c:pt>
                      <c:pt idx="15">
                        <c:v>0.442</c:v>
                      </c:pt>
                      <c:pt idx="16">
                        <c:v>0.442</c:v>
                      </c:pt>
                      <c:pt idx="17">
                        <c:v>0.442</c:v>
                      </c:pt>
                      <c:pt idx="18">
                        <c:v>0.442</c:v>
                      </c:pt>
                      <c:pt idx="19">
                        <c:v>0.442</c:v>
                      </c:pt>
                      <c:pt idx="20">
                        <c:v>0.442</c:v>
                      </c:pt>
                      <c:pt idx="21">
                        <c:v>0.442</c:v>
                      </c:pt>
                      <c:pt idx="22">
                        <c:v>0.442</c:v>
                      </c:pt>
                      <c:pt idx="23">
                        <c:v>0.442</c:v>
                      </c:pt>
                      <c:pt idx="24">
                        <c:v>0.442</c:v>
                      </c:pt>
                      <c:pt idx="25">
                        <c:v>0.442</c:v>
                      </c:pt>
                      <c:pt idx="26">
                        <c:v>0.442</c:v>
                      </c:pt>
                      <c:pt idx="27">
                        <c:v>0.442</c:v>
                      </c:pt>
                      <c:pt idx="28">
                        <c:v>0.442</c:v>
                      </c:pt>
                      <c:pt idx="29">
                        <c:v>0.442</c:v>
                      </c:pt>
                      <c:pt idx="30">
                        <c:v>0.442</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pt idx="5">
                  <c:v>0.58333333333333337</c:v>
                </c:pt>
                <c:pt idx="6">
                  <c:v>0.5</c:v>
                </c:pt>
                <c:pt idx="7">
                  <c:v>0.70833333333333337</c:v>
                </c:pt>
                <c:pt idx="8">
                  <c:v>0.58333333333333337</c:v>
                </c:pt>
                <c:pt idx="9">
                  <c:v>0.58333333333333337</c:v>
                </c:pt>
                <c:pt idx="10">
                  <c:v>0.29166666666666669</c:v>
                </c:pt>
                <c:pt idx="11">
                  <c:v>0.5</c:v>
                </c:pt>
                <c:pt idx="12">
                  <c:v>0.58333333333333337</c:v>
                </c:pt>
                <c:pt idx="13">
                  <c:v>0.29166666666666669</c:v>
                </c:pt>
                <c:pt idx="14">
                  <c:v>0.29166666666666669</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pt idx="5">
                  <c:v>0</c:v>
                </c:pt>
                <c:pt idx="6">
                  <c:v>0</c:v>
                </c:pt>
                <c:pt idx="7">
                  <c:v>0</c:v>
                </c:pt>
                <c:pt idx="8">
                  <c:v>0</c:v>
                </c:pt>
                <c:pt idx="9">
                  <c:v>0.16666666666666666</c:v>
                </c:pt>
                <c:pt idx="10">
                  <c:v>0.125</c:v>
                </c:pt>
                <c:pt idx="11">
                  <c:v>0</c:v>
                </c:pt>
                <c:pt idx="12">
                  <c:v>4.1666666666666664E-2</c:v>
                </c:pt>
                <c:pt idx="13">
                  <c:v>0.16666666666666666</c:v>
                </c:pt>
                <c:pt idx="14">
                  <c:v>4.1666666666666664E-2</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pt idx="5">
                  <c:v>0.41666666666666674</c:v>
                </c:pt>
                <c:pt idx="6">
                  <c:v>0.41666666666666674</c:v>
                </c:pt>
                <c:pt idx="7">
                  <c:v>0.25</c:v>
                </c:pt>
                <c:pt idx="8">
                  <c:v>0.33333333333333331</c:v>
                </c:pt>
                <c:pt idx="9">
                  <c:v>0.20833333333333337</c:v>
                </c:pt>
                <c:pt idx="10">
                  <c:v>0.45833333333333326</c:v>
                </c:pt>
                <c:pt idx="11">
                  <c:v>0.45833333333333326</c:v>
                </c:pt>
                <c:pt idx="12">
                  <c:v>0.29166666666666669</c:v>
                </c:pt>
                <c:pt idx="13">
                  <c:v>0.45833333333333326</c:v>
                </c:pt>
                <c:pt idx="14">
                  <c:v>0.5</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68.195999999999998</c:v>
                </c:pt>
                <c:pt idx="1">
                  <c:v>68.195999999999998</c:v>
                </c:pt>
                <c:pt idx="2">
                  <c:v>68.195999999999998</c:v>
                </c:pt>
                <c:pt idx="3">
                  <c:v>68.195999999999998</c:v>
                </c:pt>
                <c:pt idx="4">
                  <c:v>68.195999999999998</c:v>
                </c:pt>
                <c:pt idx="5">
                  <c:v>68.195999999999998</c:v>
                </c:pt>
                <c:pt idx="6">
                  <c:v>68.195999999999998</c:v>
                </c:pt>
                <c:pt idx="7">
                  <c:v>68.195999999999998</c:v>
                </c:pt>
                <c:pt idx="8">
                  <c:v>68.195999999999998</c:v>
                </c:pt>
                <c:pt idx="9">
                  <c:v>68.195999999999998</c:v>
                </c:pt>
                <c:pt idx="10">
                  <c:v>68.195999999999998</c:v>
                </c:pt>
                <c:pt idx="11">
                  <c:v>68.195999999999998</c:v>
                </c:pt>
                <c:pt idx="12">
                  <c:v>68.195999999999998</c:v>
                </c:pt>
                <c:pt idx="13">
                  <c:v>68.195999999999998</c:v>
                </c:pt>
                <c:pt idx="14">
                  <c:v>68.195999999999998</c:v>
                </c:pt>
                <c:pt idx="15">
                  <c:v>68.195999999999998</c:v>
                </c:pt>
                <c:pt idx="16">
                  <c:v>68.195999999999998</c:v>
                </c:pt>
                <c:pt idx="17">
                  <c:v>68.195999999999998</c:v>
                </c:pt>
                <c:pt idx="18">
                  <c:v>68.195999999999998</c:v>
                </c:pt>
                <c:pt idx="19">
                  <c:v>68.195999999999998</c:v>
                </c:pt>
                <c:pt idx="20">
                  <c:v>68.195999999999998</c:v>
                </c:pt>
                <c:pt idx="21">
                  <c:v>68.195999999999998</c:v>
                </c:pt>
                <c:pt idx="22">
                  <c:v>68.195999999999998</c:v>
                </c:pt>
                <c:pt idx="23">
                  <c:v>68.195999999999998</c:v>
                </c:pt>
                <c:pt idx="24">
                  <c:v>68.195999999999998</c:v>
                </c:pt>
                <c:pt idx="25">
                  <c:v>68.195999999999998</c:v>
                </c:pt>
                <c:pt idx="26">
                  <c:v>68.195999999999998</c:v>
                </c:pt>
                <c:pt idx="27">
                  <c:v>68.195999999999998</c:v>
                </c:pt>
                <c:pt idx="28">
                  <c:v>68.195999999999998</c:v>
                </c:pt>
                <c:pt idx="29">
                  <c:v>68.195999999999998</c:v>
                </c:pt>
                <c:pt idx="30">
                  <c:v>68.195999999999998</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pt idx="5">
                  <c:v>21.961666666666662</c:v>
                </c:pt>
                <c:pt idx="6">
                  <c:v>55.454999999999991</c:v>
                </c:pt>
                <c:pt idx="7">
                  <c:v>31.374583333333337</c:v>
                </c:pt>
                <c:pt idx="8">
                  <c:v>24.51541666666667</c:v>
                </c:pt>
                <c:pt idx="9">
                  <c:v>76.181666666666658</c:v>
                </c:pt>
                <c:pt idx="10">
                  <c:v>90.663750000000036</c:v>
                </c:pt>
                <c:pt idx="11">
                  <c:v>69.856250000000003</c:v>
                </c:pt>
                <c:pt idx="12">
                  <c:v>52.750416666666673</c:v>
                </c:pt>
                <c:pt idx="13">
                  <c:v>104.16708333333332</c:v>
                </c:pt>
                <c:pt idx="14">
                  <c:v>87.225416666666661</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0.05</c:v>
                      </c:pt>
                      <c:pt idx="1">
                        <c:v>4.8000000000000001E-2</c:v>
                      </c:pt>
                      <c:pt idx="2">
                        <c:v>4.4999999999999998E-2</c:v>
                      </c:pt>
                      <c:pt idx="3">
                        <c:v>4.4999999999999998E-2</c:v>
                      </c:pt>
                      <c:pt idx="4">
                        <c:v>4.9000000000000002E-2</c:v>
                      </c:pt>
                      <c:pt idx="5">
                        <c:v>5.3999999999999999E-2</c:v>
                      </c:pt>
                      <c:pt idx="6">
                        <c:v>0.06</c:v>
                      </c:pt>
                      <c:pt idx="7">
                        <c:v>6.8000000000000005E-2</c:v>
                      </c:pt>
                      <c:pt idx="8">
                        <c:v>7.6999999999999999E-2</c:v>
                      </c:pt>
                      <c:pt idx="9">
                        <c:v>0.09</c:v>
                      </c:pt>
                      <c:pt idx="10">
                        <c:v>7.4999999999999997E-2</c:v>
                      </c:pt>
                      <c:pt idx="11">
                        <c:v>6.3E-2</c:v>
                      </c:pt>
                      <c:pt idx="12">
                        <c:v>8.3000000000000004E-2</c:v>
                      </c:pt>
                      <c:pt idx="13">
                        <c:v>0.104</c:v>
                      </c:pt>
                      <c:pt idx="14">
                        <c:v>4.2000000000000003E-2</c:v>
                      </c:pt>
                      <c:pt idx="15">
                        <c:v>4.2000000000000003E-2</c:v>
                      </c:pt>
                      <c:pt idx="16">
                        <c:v>4.2000000000000003E-2</c:v>
                      </c:pt>
                      <c:pt idx="17">
                        <c:v>4.2000000000000003E-2</c:v>
                      </c:pt>
                      <c:pt idx="18">
                        <c:v>4.2000000000000003E-2</c:v>
                      </c:pt>
                      <c:pt idx="19">
                        <c:v>4.2000000000000003E-2</c:v>
                      </c:pt>
                      <c:pt idx="20">
                        <c:v>4.2000000000000003E-2</c:v>
                      </c:pt>
                      <c:pt idx="21">
                        <c:v>4.2000000000000003E-2</c:v>
                      </c:pt>
                      <c:pt idx="22">
                        <c:v>4.2000000000000003E-2</c:v>
                      </c:pt>
                      <c:pt idx="23">
                        <c:v>4.2000000000000003E-2</c:v>
                      </c:pt>
                      <c:pt idx="24">
                        <c:v>4.2000000000000003E-2</c:v>
                      </c:pt>
                      <c:pt idx="25">
                        <c:v>4.2000000000000003E-2</c:v>
                      </c:pt>
                      <c:pt idx="26">
                        <c:v>4.2000000000000003E-2</c:v>
                      </c:pt>
                      <c:pt idx="27">
                        <c:v>4.2000000000000003E-2</c:v>
                      </c:pt>
                      <c:pt idx="28">
                        <c:v>4.2000000000000003E-2</c:v>
                      </c:pt>
                      <c:pt idx="29">
                        <c:v>4.2000000000000003E-2</c:v>
                      </c:pt>
                      <c:pt idx="30">
                        <c:v>4.2000000000000003E-2</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0.41699999999999998</c:v>
                      </c:pt>
                      <c:pt idx="1">
                        <c:v>0.40500000000000003</c:v>
                      </c:pt>
                      <c:pt idx="2">
                        <c:v>0.40100000000000002</c:v>
                      </c:pt>
                      <c:pt idx="3">
                        <c:v>0.40300000000000002</c:v>
                      </c:pt>
                      <c:pt idx="4">
                        <c:v>0.38600000000000001</c:v>
                      </c:pt>
                      <c:pt idx="5">
                        <c:v>0.379</c:v>
                      </c:pt>
                      <c:pt idx="6">
                        <c:v>0.375</c:v>
                      </c:pt>
                      <c:pt idx="7">
                        <c:v>0.37</c:v>
                      </c:pt>
                      <c:pt idx="8">
                        <c:v>0.38700000000000001</c:v>
                      </c:pt>
                      <c:pt idx="9">
                        <c:v>0.39600000000000002</c:v>
                      </c:pt>
                      <c:pt idx="10">
                        <c:v>0.433</c:v>
                      </c:pt>
                      <c:pt idx="11">
                        <c:v>0.42699999999999999</c:v>
                      </c:pt>
                      <c:pt idx="12">
                        <c:v>0.41699999999999998</c:v>
                      </c:pt>
                      <c:pt idx="13">
                        <c:v>0.47899999999999998</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15.50285714285714</c:v>
                      </c:pt>
                      <c:pt idx="6">
                        <c:v>46.293333333333329</c:v>
                      </c:pt>
                      <c:pt idx="7">
                        <c:v>22.908823529411759</c:v>
                      </c:pt>
                      <c:pt idx="8">
                        <c:v>11.890714285714283</c:v>
                      </c:pt>
                      <c:pt idx="9">
                        <c:v>46.634285714285717</c:v>
                      </c:pt>
                      <c:pt idx="10">
                        <c:v>82.934285714285707</c:v>
                      </c:pt>
                      <c:pt idx="11">
                        <c:v>58.34</c:v>
                      </c:pt>
                      <c:pt idx="12">
                        <c:v>39.748571428571431</c:v>
                      </c:pt>
                      <c:pt idx="13">
                        <c:v>79.001428571428576</c:v>
                      </c:pt>
                      <c:pt idx="14">
                        <c:v>83.111428571428561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55.63</c:v>
                      </c:pt>
                      <c:pt idx="1">
                        <c:v>55.63</c:v>
                      </c:pt>
                      <c:pt idx="2">
                        <c:v>55.63</c:v>
                      </c:pt>
                      <c:pt idx="3">
                        <c:v>55.63</c:v>
                      </c:pt>
                      <c:pt idx="4">
                        <c:v>55.63</c:v>
                      </c:pt>
                      <c:pt idx="5">
                        <c:v>55.63</c:v>
                      </c:pt>
                      <c:pt idx="6">
                        <c:v>55.63</c:v>
                      </c:pt>
                      <c:pt idx="7">
                        <c:v>55.63</c:v>
                      </c:pt>
                      <c:pt idx="8">
                        <c:v>55.63</c:v>
                      </c:pt>
                      <c:pt idx="9">
                        <c:v>55.63</c:v>
                      </c:pt>
                      <c:pt idx="10">
                        <c:v>55.63</c:v>
                      </c:pt>
                      <c:pt idx="11">
                        <c:v>55.63</c:v>
                      </c:pt>
                      <c:pt idx="12">
                        <c:v>55.63</c:v>
                      </c:pt>
                      <c:pt idx="13">
                        <c:v>55.63</c:v>
                      </c:pt>
                      <c:pt idx="14">
                        <c:v>55.63</c:v>
                      </c:pt>
                      <c:pt idx="15">
                        <c:v>55.63</c:v>
                      </c:pt>
                      <c:pt idx="16">
                        <c:v>55.63</c:v>
                      </c:pt>
                      <c:pt idx="17">
                        <c:v>55.63</c:v>
                      </c:pt>
                      <c:pt idx="18">
                        <c:v>55.63</c:v>
                      </c:pt>
                      <c:pt idx="19">
                        <c:v>55.63</c:v>
                      </c:pt>
                      <c:pt idx="20">
                        <c:v>55.63</c:v>
                      </c:pt>
                      <c:pt idx="21">
                        <c:v>55.63</c:v>
                      </c:pt>
                      <c:pt idx="22">
                        <c:v>55.63</c:v>
                      </c:pt>
                      <c:pt idx="23">
                        <c:v>55.63</c:v>
                      </c:pt>
                      <c:pt idx="24">
                        <c:v>55.63</c:v>
                      </c:pt>
                      <c:pt idx="25">
                        <c:v>55.63</c:v>
                      </c:pt>
                      <c:pt idx="26">
                        <c:v>55.63</c:v>
                      </c:pt>
                      <c:pt idx="27">
                        <c:v>55.63</c:v>
                      </c:pt>
                      <c:pt idx="28">
                        <c:v>55.63</c:v>
                      </c:pt>
                      <c:pt idx="29">
                        <c:v>55.63</c:v>
                      </c:pt>
                      <c:pt idx="30">
                        <c:v>55.63</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142.75</c:v>
                      </c:pt>
                      <c:pt idx="10">
                        <c:v>97.893333333333331</c:v>
                      </c:pt>
                      <c:pt idx="11">
                        <c:v>0</c:v>
                      </c:pt>
                      <c:pt idx="12">
                        <c:v>121.28</c:v>
                      </c:pt>
                      <c:pt idx="13">
                        <c:v>131.14250000000001</c:v>
                      </c:pt>
                      <c:pt idx="14">
                        <c:v>122.28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64.932000000000002</c:v>
                      </c:pt>
                      <c:pt idx="1">
                        <c:v>64.932000000000002</c:v>
                      </c:pt>
                      <c:pt idx="2">
                        <c:v>64.932000000000002</c:v>
                      </c:pt>
                      <c:pt idx="3">
                        <c:v>64.932000000000002</c:v>
                      </c:pt>
                      <c:pt idx="4">
                        <c:v>64.932000000000002</c:v>
                      </c:pt>
                      <c:pt idx="5">
                        <c:v>64.932000000000002</c:v>
                      </c:pt>
                      <c:pt idx="6">
                        <c:v>64.932000000000002</c:v>
                      </c:pt>
                      <c:pt idx="7">
                        <c:v>64.932000000000002</c:v>
                      </c:pt>
                      <c:pt idx="8">
                        <c:v>64.932000000000002</c:v>
                      </c:pt>
                      <c:pt idx="9">
                        <c:v>64.932000000000002</c:v>
                      </c:pt>
                      <c:pt idx="10">
                        <c:v>64.932000000000002</c:v>
                      </c:pt>
                      <c:pt idx="11">
                        <c:v>64.932000000000002</c:v>
                      </c:pt>
                      <c:pt idx="12">
                        <c:v>64.932000000000002</c:v>
                      </c:pt>
                      <c:pt idx="13">
                        <c:v>64.932000000000002</c:v>
                      </c:pt>
                      <c:pt idx="14">
                        <c:v>64.932000000000002</c:v>
                      </c:pt>
                      <c:pt idx="15">
                        <c:v>64.932000000000002</c:v>
                      </c:pt>
                      <c:pt idx="16">
                        <c:v>64.932000000000002</c:v>
                      </c:pt>
                      <c:pt idx="17">
                        <c:v>64.932000000000002</c:v>
                      </c:pt>
                      <c:pt idx="18">
                        <c:v>64.932000000000002</c:v>
                      </c:pt>
                      <c:pt idx="19">
                        <c:v>64.932000000000002</c:v>
                      </c:pt>
                      <c:pt idx="20">
                        <c:v>64.932000000000002</c:v>
                      </c:pt>
                      <c:pt idx="21">
                        <c:v>64.932000000000002</c:v>
                      </c:pt>
                      <c:pt idx="22">
                        <c:v>64.932000000000002</c:v>
                      </c:pt>
                      <c:pt idx="23">
                        <c:v>64.932000000000002</c:v>
                      </c:pt>
                      <c:pt idx="24">
                        <c:v>64.932000000000002</c:v>
                      </c:pt>
                      <c:pt idx="25">
                        <c:v>64.932000000000002</c:v>
                      </c:pt>
                      <c:pt idx="26">
                        <c:v>64.932000000000002</c:v>
                      </c:pt>
                      <c:pt idx="27">
                        <c:v>64.932000000000002</c:v>
                      </c:pt>
                      <c:pt idx="28">
                        <c:v>64.932000000000002</c:v>
                      </c:pt>
                      <c:pt idx="29">
                        <c:v>64.932000000000002</c:v>
                      </c:pt>
                      <c:pt idx="30">
                        <c:v>64.932000000000002</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31.004000000000001</c:v>
                      </c:pt>
                      <c:pt idx="6">
                        <c:v>62.44100000000001</c:v>
                      </c:pt>
                      <c:pt idx="7">
                        <c:v>51.759999999999991</c:v>
                      </c:pt>
                      <c:pt idx="8">
                        <c:v>42.737499999999997</c:v>
                      </c:pt>
                      <c:pt idx="9">
                        <c:v>100.896</c:v>
                      </c:pt>
                      <c:pt idx="10">
                        <c:v>93.008181818181825</c:v>
                      </c:pt>
                      <c:pt idx="11">
                        <c:v>83.224545454545449</c:v>
                      </c:pt>
                      <c:pt idx="12">
                        <c:v>61.495714285714293</c:v>
                      </c:pt>
                      <c:pt idx="13">
                        <c:v>112.24636363636364</c:v>
                      </c:pt>
                      <c:pt idx="14">
                        <c:v>84.702499999999986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77.057000000000002</c:v>
                      </c:pt>
                      <c:pt idx="1">
                        <c:v>77.057000000000002</c:v>
                      </c:pt>
                      <c:pt idx="2">
                        <c:v>77.057000000000002</c:v>
                      </c:pt>
                      <c:pt idx="3">
                        <c:v>77.057000000000002</c:v>
                      </c:pt>
                      <c:pt idx="4">
                        <c:v>77.057000000000002</c:v>
                      </c:pt>
                      <c:pt idx="5">
                        <c:v>77.057000000000002</c:v>
                      </c:pt>
                      <c:pt idx="6">
                        <c:v>77.057000000000002</c:v>
                      </c:pt>
                      <c:pt idx="7">
                        <c:v>77.057000000000002</c:v>
                      </c:pt>
                      <c:pt idx="8">
                        <c:v>77.057000000000002</c:v>
                      </c:pt>
                      <c:pt idx="9">
                        <c:v>77.057000000000002</c:v>
                      </c:pt>
                      <c:pt idx="10">
                        <c:v>77.057000000000002</c:v>
                      </c:pt>
                      <c:pt idx="11">
                        <c:v>77.057000000000002</c:v>
                      </c:pt>
                      <c:pt idx="12">
                        <c:v>77.057000000000002</c:v>
                      </c:pt>
                      <c:pt idx="13">
                        <c:v>77.057000000000002</c:v>
                      </c:pt>
                      <c:pt idx="14">
                        <c:v>77.057000000000002</c:v>
                      </c:pt>
                      <c:pt idx="15">
                        <c:v>77.057000000000002</c:v>
                      </c:pt>
                      <c:pt idx="16">
                        <c:v>77.057000000000002</c:v>
                      </c:pt>
                      <c:pt idx="17">
                        <c:v>77.057000000000002</c:v>
                      </c:pt>
                      <c:pt idx="18">
                        <c:v>77.057000000000002</c:v>
                      </c:pt>
                      <c:pt idx="19">
                        <c:v>77.057000000000002</c:v>
                      </c:pt>
                      <c:pt idx="20">
                        <c:v>77.057000000000002</c:v>
                      </c:pt>
                      <c:pt idx="21">
                        <c:v>77.057000000000002</c:v>
                      </c:pt>
                      <c:pt idx="22">
                        <c:v>77.057000000000002</c:v>
                      </c:pt>
                      <c:pt idx="23">
                        <c:v>77.057000000000002</c:v>
                      </c:pt>
                      <c:pt idx="24">
                        <c:v>77.057000000000002</c:v>
                      </c:pt>
                      <c:pt idx="25">
                        <c:v>77.057000000000002</c:v>
                      </c:pt>
                      <c:pt idx="26">
                        <c:v>77.057000000000002</c:v>
                      </c:pt>
                      <c:pt idx="27">
                        <c:v>77.057000000000002</c:v>
                      </c:pt>
                      <c:pt idx="28">
                        <c:v>77.057000000000002</c:v>
                      </c:pt>
                      <c:pt idx="29">
                        <c:v>77.057000000000002</c:v>
                      </c:pt>
                      <c:pt idx="30">
                        <c:v>77.057000000000002</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pt idx="15">
                        <c:v>518.13333333333333</c:v>
                      </c:pt>
                      <c:pt idx="16">
                        <c:v>518.13333333333333</c:v>
                      </c:pt>
                      <c:pt idx="17">
                        <c:v>518.13333333333333</c:v>
                      </c:pt>
                      <c:pt idx="18">
                        <c:v>518.13333333333333</c:v>
                      </c:pt>
                      <c:pt idx="19">
                        <c:v>518.13333333333333</c:v>
                      </c:pt>
                      <c:pt idx="20">
                        <c:v>518.13333333333333</c:v>
                      </c:pt>
                      <c:pt idx="21">
                        <c:v>518.13333333333333</c:v>
                      </c:pt>
                      <c:pt idx="22">
                        <c:v>518.13333333333333</c:v>
                      </c:pt>
                      <c:pt idx="23">
                        <c:v>518.13333333333333</c:v>
                      </c:pt>
                      <c:pt idx="24">
                        <c:v>518.13333333333333</c:v>
                      </c:pt>
                      <c:pt idx="25">
                        <c:v>518.13333333333333</c:v>
                      </c:pt>
                      <c:pt idx="26">
                        <c:v>518.13333333333333</c:v>
                      </c:pt>
                      <c:pt idx="27">
                        <c:v>518.13333333333333</c:v>
                      </c:pt>
                      <c:pt idx="28">
                        <c:v>518.13333333333333</c:v>
                      </c:pt>
                      <c:pt idx="29">
                        <c:v>518.13333333333333</c:v>
                      </c:pt>
                      <c:pt idx="30">
                        <c:v>518.13333333333333</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0.93432894245661202</c:v>
                </c:pt>
              </c:numCache>
            </c:numRef>
          </c:xVal>
          <c:yVal>
            <c:numRef>
              <c:f>[1]omie_dinamic_dia!$Y$11:$Y$12</c:f>
              <c:numCache>
                <c:formatCode>General</c:formatCode>
                <c:ptCount val="2"/>
                <c:pt idx="0">
                  <c:v>0</c:v>
                </c:pt>
                <c:pt idx="1">
                  <c:v>0.35641187871325081</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-0.95105651629515353</c:v>
                </c:pt>
              </c:numCache>
            </c:numRef>
          </c:xVal>
          <c:yVal>
            <c:numRef>
              <c:f>[1]omie_dinamic_dia!$AC$20:$AC$21</c:f>
              <c:numCache>
                <c:formatCode>General</c:formatCode>
                <c:ptCount val="2"/>
                <c:pt idx="0">
                  <c:v>0</c:v>
                </c:pt>
                <c:pt idx="1">
                  <c:v>0.3090169943749474</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0.86707070116449003</c:v>
                </c:pt>
              </c:numCache>
            </c:numRef>
          </c:xVal>
          <c:yVal>
            <c:numRef>
              <c:f>[1]omie_dinamic_dia!$Y$37:$Y$38</c:f>
              <c:numCache>
                <c:formatCode>General</c:formatCode>
                <c:ptCount val="2"/>
                <c:pt idx="0">
                  <c:v>0</c:v>
                </c:pt>
                <c:pt idx="1">
                  <c:v>0.4981851053394909</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648</c:v>
                </c:pt>
                <c:pt idx="3">
                  <c:v>632</c:v>
                </c:pt>
                <c:pt idx="4">
                  <c:v>564</c:v>
                </c:pt>
                <c:pt idx="5">
                  <c:v>537</c:v>
                </c:pt>
                <c:pt idx="6">
                  <c:v>647</c:v>
                </c:pt>
                <c:pt idx="7">
                  <c:v>642</c:v>
                </c:pt>
                <c:pt idx="8">
                  <c:v>640</c:v>
                </c:pt>
                <c:pt idx="9">
                  <c:v>628</c:v>
                </c:pt>
                <c:pt idx="10">
                  <c:v>622</c:v>
                </c:pt>
                <c:pt idx="11">
                  <c:v>550</c:v>
                </c:pt>
                <c:pt idx="12">
                  <c:v>365</c:v>
                </c:pt>
                <c:pt idx="13">
                  <c:v>0</c:v>
                </c:pt>
                <c:pt idx="14">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68.2</c:v>
                </c:pt>
                <c:pt idx="1">
                  <c:v>68.2</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15"/>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5,0%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44,2%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5,0%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44,2%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41,7%</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39,59</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5,0%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44,2%</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41,7%</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39,59</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39,59</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62,68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5,0%</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44,2%</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41,7%</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39,59</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39,59</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62,68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5,0%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47,56</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125,46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79,30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62,68</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5,0%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47,56</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125,46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79,30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5,0%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47,56</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125,46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79,30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4,77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7,0%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5,0%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47,56</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125,46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79,30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4,77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7,0%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5,0%</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44,2%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41,7%</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47,56</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125,46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79,30</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7.773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39,59</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62,68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29308</xdr:colOff>
      <xdr:row>38</xdr:row>
      <xdr:rowOff>146537</xdr:rowOff>
    </xdr:from>
    <xdr:to>
      <xdr:col>16</xdr:col>
      <xdr:colOff>687711</xdr:colOff>
      <xdr:row>38</xdr:row>
      <xdr:rowOff>146730</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9308" y="6161941"/>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twoCellAnchor>
    <xdr:from>
      <xdr:col>11</xdr:col>
      <xdr:colOff>1348154</xdr:colOff>
      <xdr:row>21</xdr:row>
      <xdr:rowOff>21981</xdr:rowOff>
    </xdr:from>
    <xdr:to>
      <xdr:col>12</xdr:col>
      <xdr:colOff>366346</xdr:colOff>
      <xdr:row>23</xdr:row>
      <xdr:rowOff>7327</xdr:rowOff>
    </xdr:to>
    <xdr:sp macro="" textlink="">
      <xdr:nvSpPr>
        <xdr:cNvPr id="60" name="CuadroTexto 59">
          <a:extLst>
            <a:ext uri="{FF2B5EF4-FFF2-40B4-BE49-F238E27FC236}">
              <a16:creationId xmlns:a16="http://schemas.microsoft.com/office/drawing/2014/main" id="{D954D971-A9AF-4C49-8CC0-A2217330D7E1}"/>
            </a:ext>
          </a:extLst>
        </xdr:cNvPr>
        <xdr:cNvSpPr txBox="1"/>
      </xdr:nvSpPr>
      <xdr:spPr>
        <a:xfrm>
          <a:off x="8535866" y="3421673"/>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gauss!$R$45">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5217BFD3-4B43-4E07-A739-734B844B4935}" type="TxLink">
            <a:rPr lang="en-US" sz="900" b="0" i="0" u="none" strike="noStrike">
              <a:solidFill>
                <a:srgbClr val="000000"/>
              </a:solidFill>
              <a:latin typeface="Arial"/>
              <a:ea typeface="+mn-ea"/>
              <a:cs typeface="Arial"/>
            </a:rPr>
            <a:pPr marL="0" indent="0" algn="r"/>
            <a:t>68,20</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4,77</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0.6344</cdr:x>
      <cdr:y>0.0037</cdr:y>
    </cdr:from>
    <cdr:to>
      <cdr:x>0.75369</cdr:x>
      <cdr:y>0.14516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332580" y="7327"/>
          <a:ext cx="626640"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04BC65EB-6844-469F-B5BE-9B0B8755648B}" type="TxLink">
            <a:rPr lang="en-US" sz="900" b="0" i="0" u="none" strike="noStrike">
              <a:solidFill>
                <a:srgbClr val="000000"/>
              </a:solidFill>
              <a:latin typeface="Arial"/>
              <a:ea typeface="+mn-ea"/>
              <a:cs typeface="Arial"/>
            </a:rPr>
            <a:pPr marL="0" indent="0" algn="r"/>
            <a:t>72,97</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7,0%</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1509347</xdr:colOff>
      <xdr:row>22</xdr:row>
      <xdr:rowOff>14653</xdr:rowOff>
    </xdr:from>
    <xdr:to>
      <xdr:col>12</xdr:col>
      <xdr:colOff>446942</xdr:colOff>
      <xdr:row>23</xdr:row>
      <xdr:rowOff>153864</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36270" y="3311768"/>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72,97</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15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15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15</v>
          </cell>
        </row>
        <row r="9">
          <cell r="AE9">
            <v>1</v>
          </cell>
        </row>
        <row r="10">
          <cell r="W10" t="str">
            <v>flecha</v>
          </cell>
          <cell r="AE10">
            <v>1</v>
          </cell>
        </row>
        <row r="11">
          <cell r="W11" t="str">
            <v>inicio</v>
          </cell>
          <cell r="X11">
            <v>0</v>
          </cell>
          <cell r="Y11">
            <v>0</v>
          </cell>
          <cell r="AE11">
            <v>1</v>
          </cell>
        </row>
        <row r="12">
          <cell r="W12" t="str">
            <v>final</v>
          </cell>
          <cell r="X12">
            <v>0.93432894245661202</v>
          </cell>
          <cell r="Y12">
            <v>0.35641187871325081</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-0.95105651629515353</v>
          </cell>
          <cell r="AC21">
            <v>0.3090169943749474</v>
          </cell>
        </row>
        <row r="37">
          <cell r="X37">
            <v>0</v>
          </cell>
          <cell r="Y37">
            <v>0</v>
          </cell>
        </row>
        <row r="38">
          <cell r="X38">
            <v>0.86707070116449003</v>
          </cell>
          <cell r="Y38">
            <v>0.4981851053394909</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6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7"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6"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8"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9"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2"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3"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6" connectionId="41"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4" xr16:uid="{FC3ACA3B-2051-417C-B9FE-F1E2C9FBE0F0}" autoFormatId="16" applyNumberFormats="0" applyBorderFormats="0" applyFontFormats="0" applyPatternFormats="0" applyAlignmentFormats="0" applyWidthHeightFormats="0">
  <queryTableRefresh nextId="4">
    <queryTableFields count="3">
      <queryTableField id="1" name="mes" tableColumnId="4"/>
      <queryTableField id="2" name="Nombre " tableColumnId="2"/>
      <queryTableField id="3" name="apuesta"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93"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5"/>
    <tableColumn id="3" xr3:uid="{3861983E-9572-444C-947C-E7D57298824B}" uniqueName="3" name="valor" queryTableFieldId="3" dataDxfId="27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3"/>
    <tableColumn id="4" xr3:uid="{0C82DB85-0579-4D6B-8D4B-97B2C42C2143}" uniqueName="4" name="valor" queryTableFieldId="4" dataDxfId="27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1"/>
    <tableColumn id="3" xr3:uid="{5803D351-2AA9-49F6-B78D-A534B1C937AC}" uniqueName="3" name="valor" queryTableFieldId="3" dataDxfId="27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69"/>
    <tableColumn id="2" xr3:uid="{DF3CB2F5-3FE0-469D-802E-73C3788B7999}" uniqueName="2" name="valor" queryTableFieldId="2" dataDxfId="26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7" dataDxfId="266">
  <tableColumns count="2">
    <tableColumn id="3" xr3:uid="{958CB32F-1519-4445-A7B6-7A507919C51D}" uniqueName="3" name="fecha" queryTableFieldId="1" dataDxfId="265"/>
    <tableColumn id="2" xr3:uid="{2E071D30-423C-42F3-9B58-84AE7F983B6F}" uniqueName="2" name="valor" queryTableFieldId="2" dataDxfId="26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3" dataDxfId="262">
  <tableColumns count="2">
    <tableColumn id="3" xr3:uid="{D412FE74-06AC-4C73-A25E-1825DDE9DDF2}" uniqueName="3" name="fecha" queryTableFieldId="1" dataDxfId="261"/>
    <tableColumn id="2" xr3:uid="{1BC2D732-1DC6-47E5-B808-0EEEB12A5F4D}" uniqueName="2" name="valor" queryTableFieldId="2" dataDxfId="26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59">
  <tableColumns count="2">
    <tableColumn id="3" xr3:uid="{17EFC80D-C413-4738-91A8-6E4A15C3F558}" uniqueName="3" name="fecha" queryTableFieldId="1" dataDxfId="258"/>
    <tableColumn id="2" xr3:uid="{D8674625-135B-44E6-BB4A-DC53C2AFB103}" uniqueName="2" name="valor" queryTableFieldId="2" dataDxfId="25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6"/>
    <tableColumn id="2" xr3:uid="{49228BEA-DA9C-414C-9DC1-6E94566A29D3}" uniqueName="2" name="valor" queryTableFieldId="2" dataDxfId="2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4"/>
    <tableColumn id="2" xr3:uid="{BF43129B-9CF8-4FD8-B2E4-A9BBF4483548}" uniqueName="2" name="valor" queryTableFieldId="2" dataDxfId="25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19" tableType="queryTable" totalsRowShown="0">
  <autoFilter ref="AE4:AF19" xr:uid="{83E030E1-6ADE-4840-BF5D-8DDCEFE90B8A}"/>
  <tableColumns count="2">
    <tableColumn id="3" xr3:uid="{F00898CB-F12D-4BEA-B8DA-829DE1A88264}" uniqueName="3" name="fecha" queryTableFieldId="1" dataDxfId="32"/>
    <tableColumn id="2" xr3:uid="{5127E0A5-70FE-46F3-8D0F-91E0993A5F85}" uniqueName="2" name="valor" queryTableFieldId="2" dataDxfId="3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52">
      <calculatedColumnFormula>apuestas_ene24[[#This Row],[Apuesta Miniporra]]-$B$3</calculatedColumnFormula>
    </tableColumn>
    <tableColumn id="8" xr3:uid="{5839308A-FF43-4FE6-994A-69FC2FBFD373}" uniqueName="8" name="desvio %" queryTableFieldId="8" dataDxfId="251"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50"/>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9"/>
    <tableColumn id="2" xr3:uid="{112BE060-2A41-4409-AC9E-4B10C5D827B0}" uniqueName="2" name="€/MWh" queryTableFieldId="2" dataDxfId="248"/>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7"/>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6">
      <calculatedColumnFormula>apuestas_feb24[[#This Row],[Apuesta Miniporra]]-$B$3</calculatedColumnFormula>
    </tableColumn>
    <tableColumn id="8" xr3:uid="{81DC3DE0-9675-4AB8-94EE-E87E41FFB9E2}" uniqueName="8" name="desvio %" queryTableFieldId="8" dataDxfId="245"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44"/>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43"/>
    <tableColumn id="2" xr3:uid="{63125885-0138-47A5-A14A-5B38B8782CBD}" uniqueName="2" name="€/MWh" queryTableFieldId="2" dataDxfId="24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41"/>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40">
      <calculatedColumnFormula>apuestas_mar24[[#This Row],[Apuesta Miniporra]]-$B$3</calculatedColumnFormula>
    </tableColumn>
    <tableColumn id="8" xr3:uid="{EEC73F00-D21C-421E-9E94-1D3BF5D79A01}" uniqueName="8" name="desvio %" queryTableFieldId="7" dataDxfId="239"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38"/>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37"/>
    <tableColumn id="2" xr3:uid="{7DFE6567-AD6C-4D7F-9DE9-A9257B71CA31}" uniqueName="2" name="€/MWh" queryTableFieldId="2" dataDxfId="236"/>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35"/>
    <tableColumn id="2" xr3:uid="{63CC34E9-E87C-4C59-918A-26E8527564EE}" uniqueName="2" name="Nombre" queryTableFieldId="2" dataDxfId="234"/>
    <tableColumn id="3" xr3:uid="{D5309798-70CB-45EE-B7CE-DC81AAD9AF3E}" uniqueName="3" name="Apuesta Miniporra" queryTableFieldId="3" dataDxfId="233"/>
    <tableColumn id="4" xr3:uid="{6D244967-2AD4-4F80-AA3B-75E23E623EFF}" uniqueName="4" name="Comentario opcional sobre el mes (a ver si hay algún razonamiento, o pura potra!)" queryTableFieldId="4" dataDxfId="232"/>
    <tableColumn id="5" xr3:uid="{C7C1000D-440B-453E-A51D-A3D4A385C5DE}" uniqueName="5" name="Nick" queryTableFieldId="5" dataDxfId="231"/>
    <tableColumn id="7" xr3:uid="{DAE7AFD6-9B39-445C-950A-CA2CE06CADF7}" uniqueName="7" name="desvio" queryTableFieldId="6" dataDxfId="230">
      <calculatedColumnFormula>apuestas_abr24[[#This Row],[Apuesta Miniporra]]-$B$3</calculatedColumnFormula>
    </tableColumn>
    <tableColumn id="8" xr3:uid="{A30B4056-BA32-4443-9D36-347085E457DB}" uniqueName="8" name="desvio %" queryTableFieldId="7" dataDxfId="229" dataCellStyle="Porcentaje">
      <calculatedColumnFormula>ABS(apuestas_abr24[[#This Row],[desvio]])/$B$3</calculatedColumnFormula>
    </tableColumn>
    <tableColumn id="9" xr3:uid="{A5092CA8-C510-4F02-93C3-3191A125BC94}" uniqueName="9" name="orden" queryTableFieldId="8" dataDxfId="228">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27"/>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26">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25"/>
    <tableColumn id="2" xr3:uid="{6221ADDE-CB24-4A6A-96BA-57541B44C061}" uniqueName="2" name="€/MWh" queryTableFieldId="2" dataDxfId="224"/>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23"/>
    <tableColumn id="2" xr3:uid="{B5F7B107-5DDF-4C32-8615-14256617EF80}" uniqueName="2" name="Nombre" queryTableFieldId="2" dataDxfId="222"/>
    <tableColumn id="3" xr3:uid="{9A9D4B3D-3CA1-488F-B979-8F3D3E7E0FA3}" uniqueName="3" name="Apuesta Miniporra" queryTableFieldId="3" dataDxfId="221"/>
    <tableColumn id="4" xr3:uid="{4C308168-16E2-4D1E-A900-60D706F4AFE9}" uniqueName="4" name="Comentario opcional sobre el mes (a ver si hay algún razonamiento, o pura potra!)" queryTableFieldId="4" dataDxfId="220"/>
    <tableColumn id="5" xr3:uid="{194CBFA1-FDCF-4266-AAB7-44FFFA28F384}" uniqueName="5" name="Nick" queryTableFieldId="5" dataDxfId="219"/>
    <tableColumn id="7" xr3:uid="{51F8B782-841B-4580-B595-E4DC3B0D5138}" uniqueName="7" name="desvio" queryTableFieldId="6" dataDxfId="218">
      <calculatedColumnFormula>apuestas_may24[[#This Row],[Apuesta Miniporra]]-$B$3</calculatedColumnFormula>
    </tableColumn>
    <tableColumn id="8" xr3:uid="{313F1E8F-57D2-4E48-BCD1-079F75DE6779}" uniqueName="8" name="desvio %" queryTableFieldId="7" dataDxfId="217" dataCellStyle="Porcentaje">
      <calculatedColumnFormula>ABS(apuestas_may24[[#This Row],[desvio]])/$B$3</calculatedColumnFormula>
    </tableColumn>
    <tableColumn id="9" xr3:uid="{777E69ED-5E6E-476B-8031-58AFB11670EF}" uniqueName="9" name="orden" queryTableFieldId="8" dataDxfId="216">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215"/>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214">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213"/>
    <tableColumn id="2" xr3:uid="{0862D624-82CA-418C-8D1D-90D12B43D2C0}" uniqueName="2" name="Nombre" queryTableFieldId="2" dataDxfId="212"/>
    <tableColumn id="3" xr3:uid="{6D8DD44C-F12E-40C3-8FBC-3D50B196D54D}" uniqueName="3" name="Apuesta Miniporra" queryTableFieldId="3" dataDxfId="211"/>
    <tableColumn id="4" xr3:uid="{FBD7911B-6AA1-49D9-9D70-654CAC54530E}" uniqueName="4" name="Comentario opcional sobre el mes (a ver si hay algún razonamiento, o pura potra!)" queryTableFieldId="4" dataDxfId="210"/>
    <tableColumn id="5" xr3:uid="{FD3DBE29-3F14-4282-A720-773697844872}" uniqueName="5" name="Nick" queryTableFieldId="5" dataDxfId="209"/>
    <tableColumn id="7" xr3:uid="{76267DB3-4E70-4246-A439-DA7D5371FE83}" uniqueName="7" name="desvio" queryTableFieldId="6" dataDxfId="208">
      <calculatedColumnFormula>apuestas_jun24[[#This Row],[Apuesta Miniporra]]-$B$3</calculatedColumnFormula>
    </tableColumn>
    <tableColumn id="8" xr3:uid="{CC4EF30D-60B5-4DEE-8EA7-837A39EFC2B6}" uniqueName="8" name="desvio %" queryTableFieldId="7" dataDxfId="207" dataCellStyle="Porcentaje">
      <calculatedColumnFormula>ABS(apuestas_jun24[[#This Row],[desvio]])/$B$3</calculatedColumnFormula>
    </tableColumn>
    <tableColumn id="9" xr3:uid="{6DD54322-AA0F-4AB5-AD49-29681F0B3307}" uniqueName="9" name="orden" queryTableFieldId="8" dataDxfId="206">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205" dataDxfId="204" dataCellStyle="Porcentaje">
  <autoFilter ref="P6:Q36" xr:uid="{B925CE4A-9DB1-48C6-8628-348F1D747C81}"/>
  <tableColumns count="2">
    <tableColumn id="1" xr3:uid="{0852FBB8-A0B5-4443-B502-FE411EE21673}" name="dia" dataDxfId="203" dataCellStyle="Porcentaje"/>
    <tableColumn id="2" xr3:uid="{57C455C0-7EBB-428C-AC90-8CB177CA04C5}" name="€/MWh" dataDxfId="202"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201"/>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200">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99"/>
    <tableColumn id="2" xr3:uid="{3C95EF88-792A-4B03-A48D-FAABB8D319ED}" uniqueName="2" name="Nombre" queryTableFieldId="2" dataDxfId="198"/>
    <tableColumn id="3" xr3:uid="{5E1666B4-DEFF-4B09-B7CE-FEDB4DF2FD45}" uniqueName="3" name="Apuesta Miniporra" queryTableFieldId="3" dataDxfId="197"/>
    <tableColumn id="4" xr3:uid="{AAB1CC2D-E687-4CBB-97D2-3018F3751ECE}" uniqueName="4" name="Comentario opcional sobre el mes (a ver si hay algún razonamiento, o pura potra!)" queryTableFieldId="4" dataDxfId="196"/>
    <tableColumn id="5" xr3:uid="{A4F4CFCF-C1CA-454D-BF76-66054E59A27D}" uniqueName="5" name="Nick" queryTableFieldId="5" dataDxfId="195"/>
    <tableColumn id="7" xr3:uid="{85DD35A9-F592-49C7-97D0-F57D87B808D7}" uniqueName="7" name="desvio" queryTableFieldId="6" dataDxfId="194">
      <calculatedColumnFormula>apuestas_juL24[[#This Row],[Apuesta Miniporra]]-$B$3</calculatedColumnFormula>
    </tableColumn>
    <tableColumn id="8" xr3:uid="{EB8155C7-CC5C-4C72-8642-6A3E2FDB2607}" uniqueName="8" name="desvio %" queryTableFieldId="7" dataDxfId="193" dataCellStyle="Porcentaje">
      <calculatedColumnFormula>ABS(apuestas_juL24[[#This Row],[desvio]])/$B$3</calculatedColumnFormula>
    </tableColumn>
    <tableColumn id="9" xr3:uid="{22D7C25C-F560-48FF-8160-EA1162876DC1}" uniqueName="9" name="orden" queryTableFieldId="8" dataDxfId="192">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91" dataDxfId="190" dataCellStyle="Porcentaje">
  <tableColumns count="2">
    <tableColumn id="1" xr3:uid="{0603D470-0C98-429E-A818-BEADE992FD9C}" name="dia" dataDxfId="189" dataCellStyle="Porcentaje"/>
    <tableColumn id="2" xr3:uid="{282910E0-1DAE-4B53-B433-80DD2EADB27D}" name="€/MWh" dataDxfId="188"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8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8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85"/>
    <tableColumn id="2" xr3:uid="{79480BAA-12FF-4CCA-B87F-26662F8DC9C8}" uniqueName="2" name="Nombre" queryTableFieldId="2" dataDxfId="184"/>
    <tableColumn id="3" xr3:uid="{38960EFD-A1AC-42B9-B494-E9D87E32D545}" uniqueName="3" name="Apuesta Miniporra" queryTableFieldId="3" dataDxfId="183"/>
    <tableColumn id="4" xr3:uid="{77135B89-C04D-4F5F-8A25-AD55EF545A21}" uniqueName="4" name="Comentario opcional sobre el mes (a ver si hay algún razonamiento, o pura potra!)" queryTableFieldId="4" dataDxfId="182"/>
    <tableColumn id="5" xr3:uid="{2DD49D7F-8B6C-472E-AD73-C1A0DEB88EB6}" uniqueName="5" name="Nick" queryTableFieldId="5" dataDxfId="181"/>
    <tableColumn id="7" xr3:uid="{3E178D95-D6D0-489E-8BEB-BB2BEE7CE6E3}" uniqueName="7" name="desvio" queryTableFieldId="6" dataDxfId="180">
      <calculatedColumnFormula>apuestas_ago[[#This Row],[Apuesta Miniporra]]-$B$3</calculatedColumnFormula>
    </tableColumn>
    <tableColumn id="8" xr3:uid="{A1DF79F7-2B81-4165-9CE5-4565ED270850}" uniqueName="8" name="desvio %" queryTableFieldId="7" dataDxfId="179" dataCellStyle="Porcentaje">
      <calculatedColumnFormula>ABS(apuestas_ago[[#This Row],[desvio]])/$B$3</calculatedColumnFormula>
    </tableColumn>
    <tableColumn id="9" xr3:uid="{6B4580DE-71F9-4107-95C8-C2DACD17F21B}" uniqueName="9" name="orden" queryTableFieldId="8" dataDxfId="178">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77" dataDxfId="176" dataCellStyle="Porcentaje">
  <tableColumns count="2">
    <tableColumn id="1" xr3:uid="{2E77994E-75A3-44E5-8849-746D4C1F4C26}" name="dia" dataDxfId="175" dataCellStyle="Porcentaje"/>
    <tableColumn id="2" xr3:uid="{29D3D0DA-F6D3-4E28-9ABE-0CEF5601A5BC}" name="€/MWh" dataDxfId="174"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73"/>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72">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71"/>
    <tableColumn id="2" xr3:uid="{DCF4BC84-92F4-4879-A309-42A4E475601A}" uniqueName="2" name="Nombre" queryTableFieldId="2" dataDxfId="170"/>
    <tableColumn id="3" xr3:uid="{856E1625-7322-4FDB-9EFF-A80066AF5712}" uniqueName="3" name="Apuesta Miniporra" queryTableFieldId="3" dataDxfId="169"/>
    <tableColumn id="4" xr3:uid="{464BDCEC-10C8-4B44-A30B-0221294B793E}" uniqueName="4" name="Comentario opcional sobre el mes (a ver si hay algún razonamiento, o pura potra!)" queryTableFieldId="4" dataDxfId="168"/>
    <tableColumn id="5" xr3:uid="{910190F1-B7F9-4390-B2A9-949CEF085D89}" uniqueName="5" name="Nick" queryTableFieldId="5" dataDxfId="167"/>
    <tableColumn id="7" xr3:uid="{E831ACFE-0C8D-4917-B626-84DB8CBC9985}" uniqueName="7" name="desvio" queryTableFieldId="6" dataDxfId="166">
      <calculatedColumnFormula>apuestas_sep24[[#This Row],[Apuesta Miniporra]]-$B$3</calculatedColumnFormula>
    </tableColumn>
    <tableColumn id="8" xr3:uid="{49E004AA-6578-4D1C-BB1C-504EBB90C05C}" uniqueName="8" name="desvio %" queryTableFieldId="7" dataDxfId="165" dataCellStyle="Porcentaje">
      <calculatedColumnFormula>ABS(apuestas_sep24[[#This Row],[desvio]])/$B$3</calculatedColumnFormula>
    </tableColumn>
    <tableColumn id="9" xr3:uid="{326FDC06-457E-4071-834D-5E37256D3894}" uniqueName="9" name="orden" queryTableFieldId="8" dataDxfId="164">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63" dataDxfId="162" dataCellStyle="Porcentaje">
  <tableColumns count="2">
    <tableColumn id="1" xr3:uid="{015BABC2-5930-4F45-876B-16AC5F8A941A}" name="dia" dataDxfId="161" dataCellStyle="Porcentaje"/>
    <tableColumn id="2" xr3:uid="{FC81B15F-6143-4B5A-B7BF-AC4150E2FC0F}" name="€/MWh" dataDxfId="160"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159"/>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158">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157"/>
    <tableColumn id="2" xr3:uid="{082BC787-7CCE-4B19-9317-B2023D6BFE7C}" uniqueName="2" name="Nombre" queryTableFieldId="2" dataDxfId="156"/>
    <tableColumn id="3" xr3:uid="{56707A50-48FE-433D-B521-6889FCC0190C}" uniqueName="3" name="Apuesta Miniporra" queryTableFieldId="3" dataDxfId="155"/>
    <tableColumn id="4" xr3:uid="{01CE1579-0D95-4C91-8DE7-43D309136CE1}" uniqueName="4" name="Comentario opcional sobre el mes (a ver si hay algún razonamiento, o pura potra!)" queryTableFieldId="4" dataDxfId="154"/>
    <tableColumn id="5" xr3:uid="{C7B64C02-5D16-4365-9907-2E4F81C44BE1}" uniqueName="5" name="Nick" queryTableFieldId="5" dataDxfId="153"/>
    <tableColumn id="7" xr3:uid="{BBCEB654-A2F4-427D-9646-642D9B6C599E}" uniqueName="7" name="desvio" queryTableFieldId="6" dataDxfId="152">
      <calculatedColumnFormula>apuestas_oct24[[#This Row],[Apuesta Miniporra]]-$B$3</calculatedColumnFormula>
    </tableColumn>
    <tableColumn id="8" xr3:uid="{55600DD1-CB85-4C53-9F65-A9059A5A1847}" uniqueName="8" name="desvio %" queryTableFieldId="7" dataDxfId="151" dataCellStyle="Porcentaje">
      <calculatedColumnFormula>ABS(apuestas_oct24[[#This Row],[desvio]])/$B$3</calculatedColumnFormula>
    </tableColumn>
    <tableColumn id="9" xr3:uid="{AD1FDD2E-1C39-4D01-AABF-6B43092B8687}" uniqueName="9" name="orden" queryTableFieldId="8" dataDxfId="150">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149" dataDxfId="148" dataCellStyle="Porcentaje">
  <tableColumns count="2">
    <tableColumn id="1" xr3:uid="{CEA23670-B0B2-40A7-B83D-077D9B8DD811}" name="dia" dataDxfId="147" dataCellStyle="Porcentaje"/>
    <tableColumn id="2" xr3:uid="{E30E75B1-B4B5-4972-980A-AD6FA05E2983}" name="€/MWh" dataDxfId="146"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145">
  <tableColumns count="2">
    <tableColumn id="1" xr3:uid="{35DF48D8-C743-4C9F-921B-A1FC958186C3}" name="dia" dataDxfId="144"/>
    <tableColumn id="2" xr3:uid="{9841945D-0A16-4A16-BCE9-26670D0633AA}" name="€/MWh" dataDxfId="143">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142" dataDxfId="141">
  <tableColumns count="8">
    <tableColumn id="9" xr3:uid="{135DEB76-9113-4ED8-912B-5FC429B3735E}" name="Pos" dataDxfId="140">
      <calculatedColumnFormula>oct!K7</calculatedColumnFormula>
    </tableColumn>
    <tableColumn id="1" xr3:uid="{C1077472-5E08-4542-8973-2E3208450262}" name="Participante">
      <calculatedColumnFormula>oct!L7</calculatedColumnFormula>
    </tableColumn>
    <tableColumn id="2" xr3:uid="{52380920-90EB-44DF-AA67-8F826EBB8692}" name="apuesta" dataDxfId="139">
      <calculatedColumnFormula>oct!M7</calculatedColumnFormula>
    </tableColumn>
    <tableColumn id="3" xr3:uid="{B12D294F-B954-460C-9AAC-22D64E4B1BA8}" name="dif s/anterior" dataDxfId="138">
      <calculatedColumnFormula>M8-M9</calculatedColumnFormula>
    </tableColumn>
    <tableColumn id="4" xr3:uid="{3B455DC0-3CC7-4D0E-9042-001BF98F1C84}" name="limite inf" dataDxfId="137">
      <calculatedColumnFormula>M8-N8/2</calculatedColumnFormula>
    </tableColumn>
    <tableColumn id="5" xr3:uid="{DBF6BFE5-E5D0-45E7-AAEA-30CB0336EC13}" name="límite sup" dataDxfId="136">
      <calculatedColumnFormula>O7</calculatedColumnFormula>
    </tableColumn>
    <tableColumn id="7" xr3:uid="{E358B585-EA18-47BB-8FEF-852FB94FA3A9}" name="omie inf" dataDxfId="135">
      <calculatedColumnFormula>R9</calculatedColumnFormula>
    </tableColumn>
    <tableColumn id="8" xr3:uid="{E8A57C89-FBDF-4AA4-A9A8-15408D1067F9}" name="omie sup" dataDxfId="134">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133"/>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30"/>
    <tableColumn id="2" xr3:uid="{B74B277F-3EA1-4B86-BA13-AB707542DEC3}" uniqueName="2" name="RE media" queryTableFieldId="2" dataDxfId="29"/>
    <tableColumn id="3" xr3:uid="{7AF76DDC-047D-4719-8689-D2F7BFC8F171}" uniqueName="3" name="TCC media" queryTableFieldId="3" dataDxfId="28"/>
    <tableColumn id="4" xr3:uid="{356021E6-447F-4237-9628-8EE14FDF0DF6}" uniqueName="4" name="HI media" queryTableFieldId="4" dataDxfId="27"/>
    <tableColumn id="5" xr3:uid="{722AEE7E-A90E-44DF-ADF8-F2B0FA8C07FC}" uniqueName="5" name="OMIE" queryTableFieldId="5" dataDxfId="26"/>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25"/>
    <tableColumn id="2" xr3:uid="{0D2884B0-F8E6-4046-960C-92B6BB12AD60}" uniqueName="2" name="Mibgas D+1" queryTableFieldId="2" dataDxfId="24"/>
    <tableColumn id="3" xr3:uid="{F403C042-6C6B-4265-9744-654D84EC9366}" uniqueName="3" name="Media mensual" queryTableFieldId="3" dataDxfId="23"/>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22"/>
    <tableColumn id="2" xr3:uid="{0AAC8E48-3106-45C5-BD15-5C2D7DCC0492}" uniqueName="2" name="€/Ton" queryTableFieldId="2" dataDxfId="21"/>
    <tableColumn id="3" xr3:uid="{663199BC-268D-4661-9652-DF21A4887E93}" uniqueName="3" name="Media mensual" queryTableFieldId="3" dataDxfId="20"/>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9"/>
    <tableColumn id="2" xr3:uid="{86358F3D-5E83-44C8-96D1-7642D890E1CC}" uniqueName="2" name="Omie media mensual (€/MWh)" queryTableFieldId="2" dataDxfId="18"/>
    <tableColumn id="3" xr3:uid="{2965D49F-4277-4D41-BC17-2FFA3690E718}" uniqueName="3" name="Omie media diaria" queryTableFieldId="3" dataDxfId="17"/>
    <tableColumn id="4" xr3:uid="{8F682861-559E-4A0A-8B35-1534F8A5F69F}" uniqueName="4" name="% Horas RE" queryTableFieldId="4" dataDxfId="16"/>
    <tableColumn id="5" xr3:uid="{344D2180-B89F-4486-BC79-F47F0F44DADB}" uniqueName="5" name="Media RE" queryTableFieldId="5" dataDxfId="15"/>
    <tableColumn id="6" xr3:uid="{A36E75B8-8FD4-4C99-9725-6E3DA266953A}" uniqueName="6" name="% Horas TCC" queryTableFieldId="6" dataDxfId="14"/>
    <tableColumn id="7" xr3:uid="{43A6144B-7FD2-40F0-B6ED-D5E57CDFBAB3}" uniqueName="7" name="Media TCC" queryTableFieldId="7" dataDxfId="13"/>
    <tableColumn id="8" xr3:uid="{DA09BE26-A2F1-42A9-BA4D-7C9AE9DBD543}" uniqueName="8" name="% Horas HI" queryTableFieldId="8" dataDxfId="12"/>
    <tableColumn id="9" xr3:uid="{A91EC14A-FF51-4D62-91D0-937E724D6271}" uniqueName="9" name="Media HI" queryTableFieldId="9" dataDxfId="11"/>
    <tableColumn id="16" xr3:uid="{BF6E5F0C-B5E4-4FC0-A159-657DA0ABF921}" uniqueName="16" name="demanda GWh" queryTableFieldId="17" dataDxfId="10"/>
    <tableColumn id="1" xr3:uid="{B592C603-FE74-4AAC-A7C1-ECEAD3B3AE21}" uniqueName="1" name="Precio RE" queryTableFieldId="11" dataDxfId="9"/>
    <tableColumn id="11" xr3:uid="{C1508DD3-459F-4835-BBDF-8C2A8B2FDFE7}" uniqueName="11" name="Precio medio RE" queryTableFieldId="12" dataDxfId="8"/>
    <tableColumn id="12" xr3:uid="{9026679D-B662-4523-973E-EA357394609B}" uniqueName="12" name="Precio TCC" queryTableFieldId="13" dataDxfId="7"/>
    <tableColumn id="13" xr3:uid="{CC7FB6CB-EEDE-4ED3-9DA5-F327C6E5A005}" uniqueName="13" name="Precio medio TCC" queryTableFieldId="14" dataDxfId="6"/>
    <tableColumn id="14" xr3:uid="{A9F3EF14-38B3-40EF-99B0-680C34ED4F7C}" uniqueName="14" name="Precio HI" queryTableFieldId="15" dataDxfId="5"/>
    <tableColumn id="15" xr3:uid="{8AA8DD72-56CF-4570-AB9C-E4009ED6B6EF}" uniqueName="15" name="Precio medio HI" queryTableFieldId="16" dataDxfId="4"/>
    <tableColumn id="17" xr3:uid="{B2E69756-B019-4223-9637-3598684CE6DE}" uniqueName="17" name="demanda grafico" queryTableFieldId="19" dataDxfId="3">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32">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31"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30">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9"/>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8"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7">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6"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25"/>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24"/>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123"/>
    <tableColumn id="2" xr3:uid="{273CF2E4-AA71-4A38-8B09-B8C4341C8BDA}" uniqueName="2" name="Ene 2024" queryTableFieldId="2" dataDxfId="122"/>
    <tableColumn id="3" xr3:uid="{10CBB1D1-D219-4B55-BDE4-8EBED44AAD0D}" uniqueName="3" name="Feb 2024" queryTableFieldId="3" dataDxfId="121"/>
    <tableColumn id="4" xr3:uid="{E635CB03-C1F9-4F40-971A-E2B6D93952B0}" uniqueName="4" name="Mar 2024" queryTableFieldId="4" dataDxfId="120"/>
    <tableColumn id="7" xr3:uid="{C792BDFC-C6BD-4506-95F2-264CB023586B}" uniqueName="7" name="Abr 2024" queryTableFieldId="7" dataDxfId="119"/>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18">
      <calculatedColumnFormula>acum_porc!$AA$2- COUNTIF(acumulado_absoluto[[#This Row],[Ene 2024]:[Ago 2024]],"")</calculatedColumnFormula>
    </tableColumn>
    <tableColumn id="6" xr3:uid="{650181F5-E014-4486-A01F-0C1AF56FBFCD}" uniqueName="6" name="min" queryTableFieldId="5" dataDxfId="117">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otalsRowShown="0">
  <autoFilter ref="A1:F64" xr:uid="{1AC15776-3B16-4651-8B0B-E14FB0675A2E}"/>
  <tableColumns count="6">
    <tableColumn id="5" xr3:uid="{6369EE80-96C8-4269-958E-F699720BE8DC}" name="Nombre " dataDxfId="116"/>
    <tableColumn id="2" xr3:uid="{DA5AD0F9-3C4A-4B14-A66A-EBE608E14AA8}" name="Ene 2024" dataDxfId="115"/>
    <tableColumn id="3" xr3:uid="{B787E4BE-874B-4009-BA0D-80194F8C68DE}" name="Feb 2024" dataDxfId="114"/>
    <tableColumn id="4" xr3:uid="{A7428946-38B4-4AB4-9D18-6C838A9D5D0A}" name="Mar 2024" dataDxfId="113"/>
    <tableColumn id="7" xr3:uid="{5EB3169B-8C9C-4FEA-A8EE-C2B6CA065642}" name="Abr 2024"/>
    <tableColumn id="6" xr3:uid="{7F64FAE5-E722-4B80-ADFA-5A66E4A2C6B0}" name="porras" dataDxfId="112">
      <calculatedColumnFormula>COUNTA(acumulado_porcentaje_SIN_MAYO[[#This Row],[Ene 2024]:[Abr 2024]])</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111"/>
    <tableColumn id="2" xr3:uid="{14F77757-EE54-4FB2-9C68-4DD49DBC430F}" uniqueName="2" name="Apellidos" queryTableFieldId="2" dataDxfId="110"/>
    <tableColumn id="3" xr3:uid="{363B3867-DD54-4836-9944-787B922003EA}" uniqueName="3" name="Nick (o nombre corto)" queryTableFieldId="3" dataDxfId="109"/>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02B4B06-2D3E-46A6-A430-7E39505E4406}" name="apuestas_2024" displayName="apuestas_2024" ref="A1:C392" tableType="queryTable" totalsRowShown="0">
  <autoFilter ref="A1:C392" xr:uid="{902B4B06-2D3E-46A6-A430-7E39505E4406}"/>
  <tableColumns count="3">
    <tableColumn id="4" xr3:uid="{192067B6-B074-44ED-9EC2-87B2AA94A2C9}" uniqueName="4" name="mes" queryTableFieldId="1" dataDxfId="108"/>
    <tableColumn id="2" xr3:uid="{7697E439-6490-407A-ADFC-9CFDF31919E1}" uniqueName="2" name="Nombre " queryTableFieldId="2" dataDxfId="107"/>
    <tableColumn id="3" xr3:uid="{CC2BD3A9-C0B2-4598-92A2-EF281424F699}" uniqueName="3" name="apuesta" queryTableFieldId="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293"/>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9.85546875" bestFit="1" customWidth="1"/>
    <col min="32" max="32" width="7" bestFit="1" customWidth="1"/>
    <col min="34" max="34" width="22.28515625" customWidth="1"/>
  </cols>
  <sheetData>
    <row r="1" spans="1:36" ht="18" x14ac:dyDescent="0.2">
      <c r="A1" s="113" t="s">
        <v>341</v>
      </c>
      <c r="B1" s="113"/>
      <c r="D1" s="112" t="s">
        <v>237</v>
      </c>
      <c r="E1" s="112"/>
      <c r="G1" s="112" t="s">
        <v>368</v>
      </c>
      <c r="H1" s="112"/>
      <c r="J1" s="112" t="s">
        <v>476</v>
      </c>
      <c r="K1" s="112"/>
      <c r="M1" s="112" t="s">
        <v>551</v>
      </c>
      <c r="N1" s="112"/>
      <c r="P1" s="112" t="s">
        <v>659</v>
      </c>
      <c r="Q1" s="112"/>
      <c r="S1" s="112" t="s">
        <v>800</v>
      </c>
      <c r="T1" s="112"/>
      <c r="V1" s="112" t="s">
        <v>955</v>
      </c>
      <c r="W1" s="112"/>
      <c r="X1" s="93"/>
      <c r="Y1" s="112" t="s">
        <v>1030</v>
      </c>
      <c r="Z1" s="112"/>
      <c r="AA1" s="93"/>
      <c r="AB1" s="112" t="s">
        <v>1101</v>
      </c>
      <c r="AC1" s="112"/>
      <c r="AD1" s="93"/>
      <c r="AE1" s="112" t="s">
        <v>1138</v>
      </c>
      <c r="AF1" s="112"/>
      <c r="AG1" s="93"/>
      <c r="AH1" s="95" t="s">
        <v>486</v>
      </c>
      <c r="AI1" s="2">
        <f>MIN(omie[valor])</f>
        <v>0.44</v>
      </c>
      <c r="AJ1" s="96">
        <f>INDEX(omie[fecha],MATCH(AI1,omie[valor],0))</f>
        <v>45387</v>
      </c>
    </row>
    <row r="2" spans="1:36" ht="18" x14ac:dyDescent="0.2">
      <c r="A2" s="113"/>
      <c r="B2" s="113"/>
      <c r="D2" s="112"/>
      <c r="E2" s="112"/>
      <c r="G2" s="112"/>
      <c r="H2" s="112"/>
      <c r="J2" s="112"/>
      <c r="K2" s="112"/>
      <c r="M2" s="112"/>
      <c r="N2" s="112"/>
      <c r="P2" s="112"/>
      <c r="Q2" s="112"/>
      <c r="S2" s="112"/>
      <c r="T2" s="112"/>
      <c r="V2" s="112"/>
      <c r="W2" s="112"/>
      <c r="X2" s="93"/>
      <c r="Y2" s="112"/>
      <c r="Z2" s="112"/>
      <c r="AA2" s="93"/>
      <c r="AB2" s="112"/>
      <c r="AC2" s="112"/>
      <c r="AD2" s="93"/>
      <c r="AE2" s="112"/>
      <c r="AF2" s="112"/>
      <c r="AG2" s="93"/>
      <c r="AH2" s="95" t="s">
        <v>956</v>
      </c>
      <c r="AI2" s="2">
        <f>MAX(omie[valor])</f>
        <v>120.37</v>
      </c>
      <c r="AJ2" s="96">
        <f>INDEX(omie[fecha],MATCH(AI2,omie[valor],0))</f>
        <v>45533</v>
      </c>
    </row>
    <row r="3" spans="1:36" x14ac:dyDescent="0.2">
      <c r="A3" s="113"/>
      <c r="B3" s="113"/>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68.2</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45580</v>
      </c>
      <c r="B5" s="4">
        <v>87.23</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s="157">
        <v>97.9</v>
      </c>
    </row>
    <row r="6" spans="1:36" x14ac:dyDescent="0.2">
      <c r="A6" s="5">
        <v>45579</v>
      </c>
      <c r="B6" s="4">
        <v>104.17</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s="157">
        <v>93.59</v>
      </c>
    </row>
    <row r="7" spans="1:36" x14ac:dyDescent="0.2">
      <c r="A7" s="5">
        <v>45578</v>
      </c>
      <c r="B7" s="4">
        <v>52.75</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s="157">
        <v>57.92</v>
      </c>
    </row>
    <row r="8" spans="1:36" x14ac:dyDescent="0.2">
      <c r="A8" s="5">
        <v>45577</v>
      </c>
      <c r="B8" s="4">
        <v>69.86</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s="157">
        <v>98.98</v>
      </c>
    </row>
    <row r="9" spans="1:36" x14ac:dyDescent="0.2">
      <c r="A9" s="5">
        <v>45576</v>
      </c>
      <c r="B9" s="4">
        <v>90.66</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s="157">
        <v>60.4</v>
      </c>
    </row>
    <row r="10" spans="1:36" x14ac:dyDescent="0.2">
      <c r="A10" s="5">
        <v>45575</v>
      </c>
      <c r="B10" s="4">
        <v>76.180000000000007</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c r="AE10" s="24">
        <v>45571</v>
      </c>
      <c r="AF10" s="157">
        <v>21.96</v>
      </c>
    </row>
    <row r="11" spans="1:36" x14ac:dyDescent="0.2">
      <c r="A11" s="5">
        <v>45574</v>
      </c>
      <c r="B11" s="4">
        <v>24.52</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c r="AE11" s="24">
        <v>45572</v>
      </c>
      <c r="AF11" s="157">
        <v>55.46</v>
      </c>
    </row>
    <row r="12" spans="1:36" x14ac:dyDescent="0.2">
      <c r="A12" s="5">
        <v>45573</v>
      </c>
      <c r="B12" s="4">
        <v>31.37</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c r="AE12" s="24">
        <v>45573</v>
      </c>
      <c r="AF12" s="157">
        <v>31.37</v>
      </c>
    </row>
    <row r="13" spans="1:36" x14ac:dyDescent="0.2">
      <c r="A13" s="5">
        <v>45572</v>
      </c>
      <c r="B13" s="4">
        <v>55.46</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c r="AE13" s="24">
        <v>45574</v>
      </c>
      <c r="AF13" s="157">
        <v>24.52</v>
      </c>
    </row>
    <row r="14" spans="1:36" x14ac:dyDescent="0.2">
      <c r="A14" s="5">
        <v>45571</v>
      </c>
      <c r="B14" s="4">
        <v>21.96</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c r="AE14" s="24">
        <v>45575</v>
      </c>
      <c r="AF14" s="157">
        <v>76.180000000000007</v>
      </c>
    </row>
    <row r="15" spans="1:36" x14ac:dyDescent="0.2">
      <c r="A15" s="5">
        <v>45570</v>
      </c>
      <c r="B15" s="4">
        <v>60.4</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c r="AE15" s="24">
        <v>45576</v>
      </c>
      <c r="AF15" s="157">
        <v>90.66</v>
      </c>
    </row>
    <row r="16" spans="1:36" x14ac:dyDescent="0.2">
      <c r="A16" s="5">
        <v>45569</v>
      </c>
      <c r="B16" s="4">
        <v>98.98</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c r="AE16" s="24">
        <v>45577</v>
      </c>
      <c r="AF16" s="157">
        <v>69.86</v>
      </c>
    </row>
    <row r="17" spans="1:32" x14ac:dyDescent="0.2">
      <c r="A17" s="5">
        <v>45568</v>
      </c>
      <c r="B17" s="4">
        <v>57.92</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c r="AE17" s="24">
        <v>45578</v>
      </c>
      <c r="AF17" s="157">
        <v>52.75</v>
      </c>
    </row>
    <row r="18" spans="1:32" x14ac:dyDescent="0.2">
      <c r="A18" s="5">
        <v>45567</v>
      </c>
      <c r="B18" s="4">
        <v>93.59</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c r="AE18" s="24">
        <v>45579</v>
      </c>
      <c r="AF18" s="157">
        <v>104.17</v>
      </c>
    </row>
    <row r="19" spans="1:32" x14ac:dyDescent="0.2">
      <c r="A19" s="5">
        <v>45566</v>
      </c>
      <c r="B19" s="4">
        <v>97.9</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c r="AE19" s="24">
        <v>45580</v>
      </c>
      <c r="AF19" s="157">
        <v>87.23</v>
      </c>
    </row>
    <row r="20" spans="1:32" x14ac:dyDescent="0.2">
      <c r="A20" s="5">
        <v>45565</v>
      </c>
      <c r="B20" s="4">
        <v>87.85</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row>
    <row r="21" spans="1:32" x14ac:dyDescent="0.2">
      <c r="A21" s="5">
        <v>45564</v>
      </c>
      <c r="B21" s="4">
        <v>43.56</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row>
    <row r="22" spans="1:32" x14ac:dyDescent="0.2">
      <c r="A22" s="5">
        <v>45563</v>
      </c>
      <c r="B22" s="4">
        <v>46.81</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row>
    <row r="23" spans="1:32" x14ac:dyDescent="0.2">
      <c r="A23" s="5">
        <v>45562</v>
      </c>
      <c r="B23" s="4">
        <v>25.61</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row>
    <row r="24" spans="1:32" x14ac:dyDescent="0.2">
      <c r="A24" s="5">
        <v>45561</v>
      </c>
      <c r="B24" s="4">
        <v>24.18</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row>
    <row r="25" spans="1:32" x14ac:dyDescent="0.2">
      <c r="A25" s="5">
        <v>45560</v>
      </c>
      <c r="B25" s="4">
        <v>57.22</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32" x14ac:dyDescent="0.2">
      <c r="A26" s="5">
        <v>45559</v>
      </c>
      <c r="B26" s="4">
        <v>95.81</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32" x14ac:dyDescent="0.2">
      <c r="A27" s="5">
        <v>45558</v>
      </c>
      <c r="B27" s="4">
        <v>90.03</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32" x14ac:dyDescent="0.2">
      <c r="A28" s="5">
        <v>45557</v>
      </c>
      <c r="B28" s="4">
        <v>69.91</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32" x14ac:dyDescent="0.2">
      <c r="A29" s="5">
        <v>45556</v>
      </c>
      <c r="B29" s="4">
        <v>85.39</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32" x14ac:dyDescent="0.2">
      <c r="A30" s="5">
        <v>45555</v>
      </c>
      <c r="B30" s="4">
        <v>107.69</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32" x14ac:dyDescent="0.2">
      <c r="A31" s="5">
        <v>45554</v>
      </c>
      <c r="B31" s="4">
        <v>106.98</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32" x14ac:dyDescent="0.2">
      <c r="A32" s="5">
        <v>45553</v>
      </c>
      <c r="B32" s="28">
        <v>90.92</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45552</v>
      </c>
      <c r="B33" s="4">
        <v>25.7</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45551</v>
      </c>
      <c r="B34" s="4">
        <v>27.19</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45550</v>
      </c>
      <c r="B35" s="4">
        <v>32.520000000000003</v>
      </c>
      <c r="D35" s="24">
        <v>45322</v>
      </c>
      <c r="E35" s="21">
        <v>84.26</v>
      </c>
      <c r="G35" s="4"/>
      <c r="J35" s="51">
        <v>45382</v>
      </c>
      <c r="K35" s="47">
        <v>0.83</v>
      </c>
      <c r="P35" s="5">
        <v>45443</v>
      </c>
      <c r="Q35" s="4">
        <v>2.69</v>
      </c>
      <c r="V35" s="24">
        <v>45504</v>
      </c>
      <c r="W35" s="4">
        <v>105.34</v>
      </c>
      <c r="Y35" s="24">
        <v>45535</v>
      </c>
      <c r="Z35">
        <v>116.61</v>
      </c>
    </row>
    <row r="36" spans="1:29" x14ac:dyDescent="0.2">
      <c r="A36" s="5">
        <v>45549</v>
      </c>
      <c r="B36" s="4">
        <v>45.61</v>
      </c>
      <c r="F36" s="21"/>
      <c r="G36" s="4"/>
      <c r="J36"/>
    </row>
    <row r="37" spans="1:29" x14ac:dyDescent="0.2">
      <c r="A37" s="5">
        <v>45548</v>
      </c>
      <c r="B37" s="4">
        <v>47.1</v>
      </c>
      <c r="G37" s="4"/>
      <c r="J37"/>
    </row>
    <row r="38" spans="1:29" x14ac:dyDescent="0.2">
      <c r="A38" s="5">
        <v>45547</v>
      </c>
      <c r="B38" s="4">
        <v>72.209999999999994</v>
      </c>
      <c r="G38" s="4"/>
      <c r="J38"/>
    </row>
    <row r="39" spans="1:29" x14ac:dyDescent="0.2">
      <c r="A39" s="5">
        <v>45546</v>
      </c>
      <c r="B39" s="4">
        <v>76.739999999999995</v>
      </c>
      <c r="G39" s="4"/>
      <c r="J39"/>
    </row>
    <row r="40" spans="1:29" x14ac:dyDescent="0.2">
      <c r="A40" s="5">
        <v>45545</v>
      </c>
      <c r="B40" s="4">
        <v>75.209999999999994</v>
      </c>
      <c r="G40" s="4"/>
      <c r="J40"/>
    </row>
    <row r="41" spans="1:29" x14ac:dyDescent="0.2">
      <c r="A41" s="5">
        <v>45544</v>
      </c>
      <c r="B41" s="4">
        <v>86.54</v>
      </c>
      <c r="G41" s="4"/>
      <c r="J41"/>
    </row>
    <row r="42" spans="1:29" x14ac:dyDescent="0.2">
      <c r="A42" s="5">
        <v>45543</v>
      </c>
      <c r="B42" s="4">
        <v>67.760000000000005</v>
      </c>
      <c r="G42" s="4"/>
      <c r="J42"/>
    </row>
    <row r="43" spans="1:29" x14ac:dyDescent="0.2">
      <c r="A43" s="5">
        <v>45542</v>
      </c>
      <c r="B43" s="4">
        <v>79.010000000000005</v>
      </c>
      <c r="G43" s="4"/>
      <c r="J43"/>
    </row>
    <row r="44" spans="1:29" x14ac:dyDescent="0.2">
      <c r="A44" s="5">
        <v>45541</v>
      </c>
      <c r="B44" s="4">
        <v>86.72</v>
      </c>
      <c r="G44" s="4"/>
      <c r="J44"/>
    </row>
    <row r="45" spans="1:29" x14ac:dyDescent="0.2">
      <c r="A45" s="5">
        <v>45540</v>
      </c>
      <c r="B45" s="4">
        <v>104.28</v>
      </c>
      <c r="G45" s="4"/>
      <c r="J45"/>
    </row>
    <row r="46" spans="1:29" x14ac:dyDescent="0.2">
      <c r="A46" s="5">
        <v>45539</v>
      </c>
      <c r="B46" s="4">
        <v>95.41</v>
      </c>
      <c r="G46" s="4"/>
      <c r="J46"/>
    </row>
    <row r="47" spans="1:29" x14ac:dyDescent="0.2">
      <c r="A47" s="5">
        <v>45538</v>
      </c>
      <c r="B47" s="4">
        <v>108.44</v>
      </c>
      <c r="G47" s="4"/>
      <c r="J47"/>
    </row>
    <row r="48" spans="1:29" x14ac:dyDescent="0.2">
      <c r="A48" s="5">
        <v>45537</v>
      </c>
      <c r="B48" s="4">
        <v>116.66</v>
      </c>
      <c r="G48" s="4"/>
      <c r="J48"/>
    </row>
    <row r="49" spans="1:10" x14ac:dyDescent="0.2">
      <c r="A49" s="5">
        <v>45536</v>
      </c>
      <c r="B49" s="4">
        <v>99.64</v>
      </c>
      <c r="G49" s="4"/>
      <c r="J49"/>
    </row>
    <row r="50" spans="1:10" x14ac:dyDescent="0.2">
      <c r="A50" s="5">
        <v>45535</v>
      </c>
      <c r="B50" s="4">
        <v>116.61</v>
      </c>
      <c r="G50" s="4"/>
      <c r="J50"/>
    </row>
    <row r="51" spans="1:10" x14ac:dyDescent="0.2">
      <c r="A51" s="5">
        <v>45534</v>
      </c>
      <c r="B51" s="4">
        <v>115.57</v>
      </c>
      <c r="G51" s="4"/>
      <c r="J51"/>
    </row>
    <row r="52" spans="1:10" x14ac:dyDescent="0.2">
      <c r="A52" s="5">
        <v>45533</v>
      </c>
      <c r="B52" s="4">
        <v>120.37</v>
      </c>
      <c r="G52" s="4"/>
      <c r="J52"/>
    </row>
    <row r="53" spans="1:10" x14ac:dyDescent="0.2">
      <c r="A53" s="5">
        <v>45532</v>
      </c>
      <c r="B53" s="4">
        <v>108.43</v>
      </c>
      <c r="G53" s="4"/>
      <c r="J53"/>
    </row>
    <row r="54" spans="1:10" x14ac:dyDescent="0.2">
      <c r="A54" s="5">
        <v>45531</v>
      </c>
      <c r="B54" s="4">
        <v>107.71</v>
      </c>
      <c r="G54" s="4"/>
      <c r="J54"/>
    </row>
    <row r="55" spans="1:10" x14ac:dyDescent="0.2">
      <c r="A55" s="5">
        <v>45530</v>
      </c>
      <c r="B55" s="4">
        <v>94.19</v>
      </c>
      <c r="G55" s="4"/>
      <c r="J55"/>
    </row>
    <row r="56" spans="1:10" x14ac:dyDescent="0.2">
      <c r="A56" s="5">
        <v>45529</v>
      </c>
      <c r="B56" s="4">
        <v>31.2</v>
      </c>
      <c r="G56" s="4"/>
      <c r="J56"/>
    </row>
    <row r="57" spans="1:10" x14ac:dyDescent="0.2">
      <c r="A57" s="5">
        <v>45528</v>
      </c>
      <c r="B57" s="4">
        <v>60.32</v>
      </c>
      <c r="G57" s="4"/>
      <c r="J57"/>
    </row>
    <row r="58" spans="1:10" x14ac:dyDescent="0.2">
      <c r="A58" s="5">
        <v>45527</v>
      </c>
      <c r="B58" s="4">
        <v>107.09</v>
      </c>
      <c r="G58" s="4"/>
      <c r="J58"/>
    </row>
    <row r="59" spans="1:10" x14ac:dyDescent="0.2">
      <c r="A59" s="5">
        <v>45526</v>
      </c>
      <c r="B59" s="4">
        <v>109.4</v>
      </c>
      <c r="G59" s="4"/>
      <c r="J59"/>
    </row>
    <row r="60" spans="1:10" x14ac:dyDescent="0.2">
      <c r="A60" s="5">
        <v>45525</v>
      </c>
      <c r="B60" s="4">
        <v>79.06</v>
      </c>
      <c r="G60" s="4"/>
      <c r="J60"/>
    </row>
    <row r="61" spans="1:10" x14ac:dyDescent="0.2">
      <c r="A61" s="5">
        <v>45524</v>
      </c>
      <c r="B61" s="4">
        <v>95.62</v>
      </c>
      <c r="G61" s="4"/>
      <c r="J61"/>
    </row>
    <row r="62" spans="1:10" x14ac:dyDescent="0.2">
      <c r="A62" s="5">
        <v>45523</v>
      </c>
      <c r="B62" s="4">
        <v>93.72</v>
      </c>
      <c r="G62" s="4"/>
      <c r="J62"/>
    </row>
    <row r="63" spans="1:10" x14ac:dyDescent="0.2">
      <c r="A63" s="5">
        <v>45522</v>
      </c>
      <c r="B63" s="4">
        <v>55.6</v>
      </c>
      <c r="G63" s="4"/>
      <c r="J63"/>
    </row>
    <row r="64" spans="1:10" x14ac:dyDescent="0.2">
      <c r="A64" s="5">
        <v>45521</v>
      </c>
      <c r="B64" s="4">
        <v>83.21</v>
      </c>
      <c r="J64"/>
    </row>
    <row r="65" spans="1:2" x14ac:dyDescent="0.2">
      <c r="A65" s="5">
        <v>45520</v>
      </c>
      <c r="B65" s="4">
        <v>88.23</v>
      </c>
    </row>
    <row r="66" spans="1:2" x14ac:dyDescent="0.2">
      <c r="A66" s="5">
        <v>45519</v>
      </c>
      <c r="B66" s="4">
        <v>44.29</v>
      </c>
    </row>
    <row r="67" spans="1:2" x14ac:dyDescent="0.2">
      <c r="A67" s="5">
        <v>45518</v>
      </c>
      <c r="B67" s="4">
        <v>89.05</v>
      </c>
    </row>
    <row r="68" spans="1:2" x14ac:dyDescent="0.2">
      <c r="A68" s="5">
        <v>45517</v>
      </c>
      <c r="B68" s="4">
        <v>106.37</v>
      </c>
    </row>
    <row r="69" spans="1:2" x14ac:dyDescent="0.2">
      <c r="A69" s="5">
        <v>45516</v>
      </c>
      <c r="B69" s="4">
        <v>105.81</v>
      </c>
    </row>
    <row r="70" spans="1:2" x14ac:dyDescent="0.2">
      <c r="A70" s="5">
        <v>45515</v>
      </c>
      <c r="B70" s="4">
        <v>69.22</v>
      </c>
    </row>
    <row r="71" spans="1:2" x14ac:dyDescent="0.2">
      <c r="A71" s="5">
        <v>45514</v>
      </c>
      <c r="B71" s="4">
        <v>71.36</v>
      </c>
    </row>
    <row r="72" spans="1:2" x14ac:dyDescent="0.2">
      <c r="A72" s="5">
        <v>45513</v>
      </c>
      <c r="B72" s="4">
        <v>102.32</v>
      </c>
    </row>
    <row r="73" spans="1:2" x14ac:dyDescent="0.2">
      <c r="A73" s="5">
        <v>45512</v>
      </c>
      <c r="B73" s="4">
        <v>101.19</v>
      </c>
    </row>
    <row r="74" spans="1:2" x14ac:dyDescent="0.2">
      <c r="A74" s="5">
        <v>45511</v>
      </c>
      <c r="B74" s="4">
        <v>97.43</v>
      </c>
    </row>
    <row r="75" spans="1:2" x14ac:dyDescent="0.2">
      <c r="A75" s="5">
        <v>45510</v>
      </c>
      <c r="B75" s="4">
        <v>105.56</v>
      </c>
    </row>
    <row r="76" spans="1:2" x14ac:dyDescent="0.2">
      <c r="A76" s="5">
        <v>45509</v>
      </c>
      <c r="B76" s="4">
        <v>109.82</v>
      </c>
    </row>
    <row r="77" spans="1:2" x14ac:dyDescent="0.2">
      <c r="A77" s="5">
        <v>45508</v>
      </c>
      <c r="B77" s="4">
        <v>75.48</v>
      </c>
    </row>
    <row r="78" spans="1:2" x14ac:dyDescent="0.2">
      <c r="A78" s="5">
        <v>45507</v>
      </c>
      <c r="B78" s="4">
        <v>77.64</v>
      </c>
    </row>
    <row r="79" spans="1:2" x14ac:dyDescent="0.2">
      <c r="A79" s="5">
        <v>45506</v>
      </c>
      <c r="B79" s="4">
        <v>93.5</v>
      </c>
    </row>
    <row r="80" spans="1:2" x14ac:dyDescent="0.2">
      <c r="A80" s="5">
        <v>45505</v>
      </c>
      <c r="B80" s="4">
        <v>107.32</v>
      </c>
    </row>
    <row r="81" spans="1:2" x14ac:dyDescent="0.2">
      <c r="A81" s="5">
        <v>45504</v>
      </c>
      <c r="B81" s="4">
        <v>105.34</v>
      </c>
    </row>
    <row r="82" spans="1:2" x14ac:dyDescent="0.2">
      <c r="A82" s="5">
        <v>45503</v>
      </c>
      <c r="B82" s="4">
        <v>99.71</v>
      </c>
    </row>
    <row r="83" spans="1:2" x14ac:dyDescent="0.2">
      <c r="A83" s="5">
        <v>45502</v>
      </c>
      <c r="B83" s="4">
        <v>108.78</v>
      </c>
    </row>
    <row r="84" spans="1:2" x14ac:dyDescent="0.2">
      <c r="A84" s="5">
        <v>45501</v>
      </c>
      <c r="B84" s="4">
        <v>63.33</v>
      </c>
    </row>
    <row r="85" spans="1:2" x14ac:dyDescent="0.2">
      <c r="A85" s="5">
        <v>45500</v>
      </c>
      <c r="B85" s="4">
        <v>76.97</v>
      </c>
    </row>
    <row r="86" spans="1:2" x14ac:dyDescent="0.2">
      <c r="A86" s="5">
        <v>45499</v>
      </c>
      <c r="B86" s="4">
        <v>94.9</v>
      </c>
    </row>
    <row r="87" spans="1:2" x14ac:dyDescent="0.2">
      <c r="A87" s="5">
        <v>45498</v>
      </c>
      <c r="B87" s="4">
        <v>89.26</v>
      </c>
    </row>
    <row r="88" spans="1:2" x14ac:dyDescent="0.2">
      <c r="A88" s="5">
        <v>45497</v>
      </c>
      <c r="B88" s="4">
        <v>94.88</v>
      </c>
    </row>
    <row r="89" spans="1:2" x14ac:dyDescent="0.2">
      <c r="A89" s="5">
        <v>45496</v>
      </c>
      <c r="B89" s="4">
        <v>91.73</v>
      </c>
    </row>
    <row r="90" spans="1:2" x14ac:dyDescent="0.2">
      <c r="A90" s="5">
        <v>45495</v>
      </c>
      <c r="B90" s="4">
        <v>79.53</v>
      </c>
    </row>
    <row r="91" spans="1:2" x14ac:dyDescent="0.2">
      <c r="A91" s="5">
        <v>45494</v>
      </c>
      <c r="B91" s="4">
        <v>30.41</v>
      </c>
    </row>
    <row r="92" spans="1:2" x14ac:dyDescent="0.2">
      <c r="A92" s="5">
        <v>45493</v>
      </c>
      <c r="B92" s="4">
        <v>51.47</v>
      </c>
    </row>
    <row r="93" spans="1:2" x14ac:dyDescent="0.2">
      <c r="A93" s="5">
        <v>45492</v>
      </c>
      <c r="B93" s="4">
        <v>97.78</v>
      </c>
    </row>
    <row r="94" spans="1:2" x14ac:dyDescent="0.2">
      <c r="A94" s="5">
        <v>45491</v>
      </c>
      <c r="B94" s="4">
        <v>101.37</v>
      </c>
    </row>
    <row r="95" spans="1:2" x14ac:dyDescent="0.2">
      <c r="A95" s="5">
        <v>45490</v>
      </c>
      <c r="B95" s="4">
        <v>94.42</v>
      </c>
    </row>
    <row r="96" spans="1:2" x14ac:dyDescent="0.2">
      <c r="A96" s="5">
        <v>45489</v>
      </c>
      <c r="B96" s="4">
        <v>87.24</v>
      </c>
    </row>
    <row r="97" spans="1:2" x14ac:dyDescent="0.2">
      <c r="A97" s="5">
        <v>45488</v>
      </c>
      <c r="B97" s="4">
        <v>53.95</v>
      </c>
    </row>
    <row r="98" spans="1:2" x14ac:dyDescent="0.2">
      <c r="A98">
        <v>45487</v>
      </c>
      <c r="B98">
        <v>52.28</v>
      </c>
    </row>
    <row r="99" spans="1:2" x14ac:dyDescent="0.2">
      <c r="A99">
        <v>45486</v>
      </c>
      <c r="B99">
        <v>51.38</v>
      </c>
    </row>
    <row r="100" spans="1:2" x14ac:dyDescent="0.2">
      <c r="A100">
        <v>45485</v>
      </c>
      <c r="B100">
        <v>58.78</v>
      </c>
    </row>
    <row r="101" spans="1:2" x14ac:dyDescent="0.2">
      <c r="A101">
        <v>45484</v>
      </c>
      <c r="B101">
        <v>85.53</v>
      </c>
    </row>
    <row r="102" spans="1:2" x14ac:dyDescent="0.2">
      <c r="A102">
        <v>45483</v>
      </c>
      <c r="B102">
        <v>87.61</v>
      </c>
    </row>
    <row r="103" spans="1:2" x14ac:dyDescent="0.2">
      <c r="A103">
        <v>45482</v>
      </c>
      <c r="B103">
        <v>69.55</v>
      </c>
    </row>
    <row r="104" spans="1:2" x14ac:dyDescent="0.2">
      <c r="A104">
        <v>45481</v>
      </c>
      <c r="B104">
        <v>73.19</v>
      </c>
    </row>
    <row r="105" spans="1:2" x14ac:dyDescent="0.2">
      <c r="A105">
        <v>45480</v>
      </c>
      <c r="B105">
        <v>34.71</v>
      </c>
    </row>
    <row r="106" spans="1:2" x14ac:dyDescent="0.2">
      <c r="A106">
        <v>45479</v>
      </c>
      <c r="B106">
        <v>33.979999999999997</v>
      </c>
    </row>
    <row r="107" spans="1:2" x14ac:dyDescent="0.2">
      <c r="A107">
        <v>45478</v>
      </c>
      <c r="B107">
        <v>59.88</v>
      </c>
    </row>
    <row r="108" spans="1:2" x14ac:dyDescent="0.2">
      <c r="A108">
        <v>45477</v>
      </c>
      <c r="B108">
        <v>51.85</v>
      </c>
    </row>
    <row r="109" spans="1:2" x14ac:dyDescent="0.2">
      <c r="A109">
        <v>45476</v>
      </c>
      <c r="B109">
        <v>61.71</v>
      </c>
    </row>
    <row r="110" spans="1:2" x14ac:dyDescent="0.2">
      <c r="A110">
        <v>45475</v>
      </c>
      <c r="B110">
        <v>46.97</v>
      </c>
    </row>
    <row r="111" spans="1:2" x14ac:dyDescent="0.2">
      <c r="A111">
        <v>45474</v>
      </c>
      <c r="B111">
        <v>53.22</v>
      </c>
    </row>
    <row r="112" spans="1:2" x14ac:dyDescent="0.2">
      <c r="A112">
        <v>45473</v>
      </c>
      <c r="B112">
        <v>57.94</v>
      </c>
    </row>
    <row r="113" spans="1:2" x14ac:dyDescent="0.2">
      <c r="A113">
        <v>45472</v>
      </c>
      <c r="B113">
        <v>50.54</v>
      </c>
    </row>
    <row r="114" spans="1:2" x14ac:dyDescent="0.2">
      <c r="A114">
        <v>45471</v>
      </c>
      <c r="B114">
        <v>82.04</v>
      </c>
    </row>
    <row r="115" spans="1:2" x14ac:dyDescent="0.2">
      <c r="A115">
        <v>45470</v>
      </c>
      <c r="B115">
        <v>89.1</v>
      </c>
    </row>
    <row r="116" spans="1:2" x14ac:dyDescent="0.2">
      <c r="A116">
        <v>45469</v>
      </c>
      <c r="B116">
        <v>97.17</v>
      </c>
    </row>
    <row r="117" spans="1:2" x14ac:dyDescent="0.2">
      <c r="A117">
        <v>45468</v>
      </c>
      <c r="B117">
        <v>70.069999999999993</v>
      </c>
    </row>
    <row r="118" spans="1:2" x14ac:dyDescent="0.2">
      <c r="A118">
        <v>45467</v>
      </c>
      <c r="B118">
        <v>41.15</v>
      </c>
    </row>
    <row r="119" spans="1:2" x14ac:dyDescent="0.2">
      <c r="A119">
        <v>45466</v>
      </c>
      <c r="B119">
        <v>26.76</v>
      </c>
    </row>
    <row r="120" spans="1:2" x14ac:dyDescent="0.2">
      <c r="A120">
        <v>45465</v>
      </c>
      <c r="B120">
        <v>42.91</v>
      </c>
    </row>
    <row r="121" spans="1:2" x14ac:dyDescent="0.2">
      <c r="A121">
        <v>45464</v>
      </c>
      <c r="B121">
        <v>85.92</v>
      </c>
    </row>
    <row r="122" spans="1:2" x14ac:dyDescent="0.2">
      <c r="A122">
        <v>45463</v>
      </c>
      <c r="B122">
        <v>90.6</v>
      </c>
    </row>
    <row r="123" spans="1:2" x14ac:dyDescent="0.2">
      <c r="A123">
        <v>45462</v>
      </c>
      <c r="B123">
        <v>76.33</v>
      </c>
    </row>
    <row r="124" spans="1:2" x14ac:dyDescent="0.2">
      <c r="A124">
        <v>45461</v>
      </c>
      <c r="B124">
        <v>56.71</v>
      </c>
    </row>
    <row r="125" spans="1:2" x14ac:dyDescent="0.2">
      <c r="A125">
        <v>45460</v>
      </c>
      <c r="B125">
        <v>29.27</v>
      </c>
    </row>
    <row r="126" spans="1:2" x14ac:dyDescent="0.2">
      <c r="A126">
        <v>45459</v>
      </c>
      <c r="B126">
        <v>16.12</v>
      </c>
    </row>
    <row r="127" spans="1:2" x14ac:dyDescent="0.2">
      <c r="A127">
        <v>45458</v>
      </c>
      <c r="B127">
        <v>19.690000000000001</v>
      </c>
    </row>
    <row r="128" spans="1:2" x14ac:dyDescent="0.2">
      <c r="A128">
        <v>45457</v>
      </c>
      <c r="B128">
        <v>43.74</v>
      </c>
    </row>
    <row r="129" spans="1:2" x14ac:dyDescent="0.2">
      <c r="A129">
        <v>45456</v>
      </c>
      <c r="B129">
        <v>65.22</v>
      </c>
    </row>
    <row r="130" spans="1:2" x14ac:dyDescent="0.2">
      <c r="A130">
        <v>45455</v>
      </c>
      <c r="B130">
        <v>55.15</v>
      </c>
    </row>
    <row r="131" spans="1:2" x14ac:dyDescent="0.2">
      <c r="A131">
        <v>45454</v>
      </c>
      <c r="B131">
        <v>65.48</v>
      </c>
    </row>
    <row r="132" spans="1:2" x14ac:dyDescent="0.2">
      <c r="A132">
        <v>45453</v>
      </c>
      <c r="B132">
        <v>44.61</v>
      </c>
    </row>
    <row r="133" spans="1:2" x14ac:dyDescent="0.2">
      <c r="A133">
        <v>45452</v>
      </c>
      <c r="B133">
        <v>16.43</v>
      </c>
    </row>
    <row r="134" spans="1:2" x14ac:dyDescent="0.2">
      <c r="A134">
        <v>45451</v>
      </c>
      <c r="B134">
        <v>71.42</v>
      </c>
    </row>
    <row r="135" spans="1:2" x14ac:dyDescent="0.2">
      <c r="A135">
        <v>45450</v>
      </c>
      <c r="B135">
        <v>79.13</v>
      </c>
    </row>
    <row r="136" spans="1:2" x14ac:dyDescent="0.2">
      <c r="A136">
        <v>45449</v>
      </c>
      <c r="B136">
        <v>93.42</v>
      </c>
    </row>
    <row r="137" spans="1:2" x14ac:dyDescent="0.2">
      <c r="A137">
        <v>45448</v>
      </c>
      <c r="B137">
        <v>93.26</v>
      </c>
    </row>
    <row r="138" spans="1:2" x14ac:dyDescent="0.2">
      <c r="A138">
        <v>45447</v>
      </c>
      <c r="B138">
        <v>87.64</v>
      </c>
    </row>
    <row r="139" spans="1:2" x14ac:dyDescent="0.2">
      <c r="A139">
        <v>45446</v>
      </c>
      <c r="B139">
        <v>28.56</v>
      </c>
    </row>
    <row r="140" spans="1:2" x14ac:dyDescent="0.2">
      <c r="A140">
        <v>45445</v>
      </c>
      <c r="B140">
        <v>4.26</v>
      </c>
    </row>
    <row r="141" spans="1:2" x14ac:dyDescent="0.2">
      <c r="A141">
        <v>45444</v>
      </c>
      <c r="B141">
        <v>1.76</v>
      </c>
    </row>
    <row r="142" spans="1:2" x14ac:dyDescent="0.2">
      <c r="A142">
        <v>45443</v>
      </c>
      <c r="B142">
        <v>2.69</v>
      </c>
    </row>
    <row r="143" spans="1:2" x14ac:dyDescent="0.2">
      <c r="A143">
        <v>45442</v>
      </c>
      <c r="B143">
        <v>24.37</v>
      </c>
    </row>
    <row r="144" spans="1:2" x14ac:dyDescent="0.2">
      <c r="A144">
        <v>45441</v>
      </c>
      <c r="B144">
        <v>38.86</v>
      </c>
    </row>
    <row r="145" spans="1:2" x14ac:dyDescent="0.2">
      <c r="A145">
        <v>45440</v>
      </c>
      <c r="B145">
        <v>27.47</v>
      </c>
    </row>
    <row r="146" spans="1:2" x14ac:dyDescent="0.2">
      <c r="A146">
        <v>45439</v>
      </c>
      <c r="B146">
        <v>30.84</v>
      </c>
    </row>
    <row r="147" spans="1:2" x14ac:dyDescent="0.2">
      <c r="A147">
        <v>45438</v>
      </c>
      <c r="B147">
        <v>25.42</v>
      </c>
    </row>
    <row r="148" spans="1:2" x14ac:dyDescent="0.2">
      <c r="A148">
        <v>45437</v>
      </c>
      <c r="B148">
        <v>43.71</v>
      </c>
    </row>
    <row r="149" spans="1:2" x14ac:dyDescent="0.2">
      <c r="A149">
        <v>45436</v>
      </c>
      <c r="B149">
        <v>71.67</v>
      </c>
    </row>
    <row r="150" spans="1:2" x14ac:dyDescent="0.2">
      <c r="A150">
        <v>45435</v>
      </c>
      <c r="B150">
        <v>60.45</v>
      </c>
    </row>
    <row r="151" spans="1:2" x14ac:dyDescent="0.2">
      <c r="A151">
        <v>45434</v>
      </c>
      <c r="B151">
        <v>44.76</v>
      </c>
    </row>
    <row r="152" spans="1:2" x14ac:dyDescent="0.2">
      <c r="A152">
        <v>45433</v>
      </c>
      <c r="B152">
        <v>46.09</v>
      </c>
    </row>
    <row r="153" spans="1:2" x14ac:dyDescent="0.2">
      <c r="A153">
        <v>45432</v>
      </c>
      <c r="B153">
        <v>32.72</v>
      </c>
    </row>
    <row r="154" spans="1:2" x14ac:dyDescent="0.2">
      <c r="A154">
        <v>45431</v>
      </c>
      <c r="B154">
        <v>26.6</v>
      </c>
    </row>
    <row r="155" spans="1:2" x14ac:dyDescent="0.2">
      <c r="A155">
        <v>45430</v>
      </c>
      <c r="B155">
        <v>32.99</v>
      </c>
    </row>
    <row r="156" spans="1:2" x14ac:dyDescent="0.2">
      <c r="A156">
        <v>45429</v>
      </c>
      <c r="B156">
        <v>53.42</v>
      </c>
    </row>
    <row r="157" spans="1:2" x14ac:dyDescent="0.2">
      <c r="A157">
        <v>45428</v>
      </c>
      <c r="B157">
        <v>32.35</v>
      </c>
    </row>
    <row r="158" spans="1:2" x14ac:dyDescent="0.2">
      <c r="A158">
        <v>45427</v>
      </c>
      <c r="B158">
        <v>14.21</v>
      </c>
    </row>
    <row r="159" spans="1:2" x14ac:dyDescent="0.2">
      <c r="A159">
        <v>45426</v>
      </c>
      <c r="B159">
        <v>8.14</v>
      </c>
    </row>
    <row r="160" spans="1:2" x14ac:dyDescent="0.2">
      <c r="A160">
        <v>45425</v>
      </c>
      <c r="B160">
        <v>23.34</v>
      </c>
    </row>
    <row r="161" spans="1:2" x14ac:dyDescent="0.2">
      <c r="A161">
        <v>45424</v>
      </c>
      <c r="B161">
        <v>21.53</v>
      </c>
    </row>
    <row r="162" spans="1:2" x14ac:dyDescent="0.2">
      <c r="A162">
        <v>45423</v>
      </c>
      <c r="B162">
        <v>20.59</v>
      </c>
    </row>
    <row r="163" spans="1:2" x14ac:dyDescent="0.2">
      <c r="A163">
        <v>45422</v>
      </c>
      <c r="B163">
        <v>28.95</v>
      </c>
    </row>
    <row r="164" spans="1:2" x14ac:dyDescent="0.2">
      <c r="A164">
        <v>45421</v>
      </c>
      <c r="B164">
        <v>33.54</v>
      </c>
    </row>
    <row r="165" spans="1:2" x14ac:dyDescent="0.2">
      <c r="A165">
        <v>45420</v>
      </c>
      <c r="B165">
        <v>21.24</v>
      </c>
    </row>
    <row r="166" spans="1:2" x14ac:dyDescent="0.2">
      <c r="A166">
        <v>45419</v>
      </c>
      <c r="B166">
        <v>42.04</v>
      </c>
    </row>
    <row r="167" spans="1:2" x14ac:dyDescent="0.2">
      <c r="A167">
        <v>45418</v>
      </c>
      <c r="B167">
        <v>47.8</v>
      </c>
    </row>
    <row r="168" spans="1:2" x14ac:dyDescent="0.2">
      <c r="A168">
        <v>45417</v>
      </c>
      <c r="B168">
        <v>17.53</v>
      </c>
    </row>
    <row r="169" spans="1:2" x14ac:dyDescent="0.2">
      <c r="A169">
        <v>45416</v>
      </c>
      <c r="B169">
        <v>14.8</v>
      </c>
    </row>
    <row r="170" spans="1:2" x14ac:dyDescent="0.2">
      <c r="A170">
        <v>45415</v>
      </c>
      <c r="B170">
        <v>26.11</v>
      </c>
    </row>
    <row r="171" spans="1:2" x14ac:dyDescent="0.2">
      <c r="A171">
        <v>45414</v>
      </c>
      <c r="B171">
        <v>15.6</v>
      </c>
    </row>
    <row r="172" spans="1:2" x14ac:dyDescent="0.2">
      <c r="A172">
        <v>45413</v>
      </c>
      <c r="B172">
        <v>12.53</v>
      </c>
    </row>
    <row r="173" spans="1:2" x14ac:dyDescent="0.2">
      <c r="A173">
        <v>45412</v>
      </c>
      <c r="B173">
        <v>53.44</v>
      </c>
    </row>
    <row r="174" spans="1:2" x14ac:dyDescent="0.2">
      <c r="A174">
        <v>45411</v>
      </c>
      <c r="B174">
        <v>58.27</v>
      </c>
    </row>
    <row r="175" spans="1:2" x14ac:dyDescent="0.2">
      <c r="A175">
        <v>45410</v>
      </c>
      <c r="B175">
        <v>28.72</v>
      </c>
    </row>
    <row r="176" spans="1:2" x14ac:dyDescent="0.2">
      <c r="A176">
        <v>45409</v>
      </c>
      <c r="B176">
        <v>25.02</v>
      </c>
    </row>
    <row r="177" spans="1:2" x14ac:dyDescent="0.2">
      <c r="A177">
        <v>45408</v>
      </c>
      <c r="B177">
        <v>57.49</v>
      </c>
    </row>
    <row r="178" spans="1:2" x14ac:dyDescent="0.2">
      <c r="A178">
        <v>45407</v>
      </c>
      <c r="B178">
        <v>41.44</v>
      </c>
    </row>
    <row r="179" spans="1:2" x14ac:dyDescent="0.2">
      <c r="A179">
        <v>45406</v>
      </c>
      <c r="B179">
        <v>18.57</v>
      </c>
    </row>
    <row r="180" spans="1:2" x14ac:dyDescent="0.2">
      <c r="A180">
        <v>45405</v>
      </c>
      <c r="B180">
        <v>5.84</v>
      </c>
    </row>
    <row r="181" spans="1:2" x14ac:dyDescent="0.2">
      <c r="A181">
        <v>45404</v>
      </c>
      <c r="B181">
        <v>1.9</v>
      </c>
    </row>
    <row r="182" spans="1:2" x14ac:dyDescent="0.2">
      <c r="A182">
        <v>45403</v>
      </c>
      <c r="B182">
        <v>2.17</v>
      </c>
    </row>
    <row r="183" spans="1:2" x14ac:dyDescent="0.2">
      <c r="A183">
        <v>45402</v>
      </c>
      <c r="B183">
        <v>5.66</v>
      </c>
    </row>
    <row r="184" spans="1:2" x14ac:dyDescent="0.2">
      <c r="A184">
        <v>45401</v>
      </c>
      <c r="B184">
        <v>15.18</v>
      </c>
    </row>
    <row r="185" spans="1:2" x14ac:dyDescent="0.2">
      <c r="A185">
        <v>45400</v>
      </c>
      <c r="B185">
        <v>4.54</v>
      </c>
    </row>
    <row r="186" spans="1:2" x14ac:dyDescent="0.2">
      <c r="A186">
        <v>45399</v>
      </c>
      <c r="B186">
        <v>3.26</v>
      </c>
    </row>
    <row r="187" spans="1:2" x14ac:dyDescent="0.2">
      <c r="A187">
        <v>45398</v>
      </c>
      <c r="B187">
        <v>1.37</v>
      </c>
    </row>
    <row r="188" spans="1:2" x14ac:dyDescent="0.2">
      <c r="A188">
        <v>45397</v>
      </c>
      <c r="B188">
        <v>3.48</v>
      </c>
    </row>
    <row r="189" spans="1:2" x14ac:dyDescent="0.2">
      <c r="A189">
        <v>45396</v>
      </c>
      <c r="B189">
        <v>5.6</v>
      </c>
    </row>
    <row r="190" spans="1:2" x14ac:dyDescent="0.2">
      <c r="A190">
        <v>45395</v>
      </c>
      <c r="B190">
        <v>9.17</v>
      </c>
    </row>
    <row r="191" spans="1:2" x14ac:dyDescent="0.2">
      <c r="A191">
        <v>45394</v>
      </c>
      <c r="B191">
        <v>19.940000000000001</v>
      </c>
    </row>
    <row r="192" spans="1:2" x14ac:dyDescent="0.2">
      <c r="A192">
        <v>45393</v>
      </c>
      <c r="B192">
        <v>12.03</v>
      </c>
    </row>
    <row r="193" spans="1:2" x14ac:dyDescent="0.2">
      <c r="A193">
        <v>45392</v>
      </c>
      <c r="B193">
        <v>4.3099999999999996</v>
      </c>
    </row>
    <row r="194" spans="1:2" x14ac:dyDescent="0.2">
      <c r="A194">
        <v>45391</v>
      </c>
      <c r="B194">
        <v>1.29</v>
      </c>
    </row>
    <row r="195" spans="1:2" x14ac:dyDescent="0.2">
      <c r="A195">
        <v>45390</v>
      </c>
      <c r="B195">
        <v>0.52</v>
      </c>
    </row>
    <row r="196" spans="1:2" x14ac:dyDescent="0.2">
      <c r="A196">
        <v>45389</v>
      </c>
      <c r="B196">
        <v>4.05</v>
      </c>
    </row>
    <row r="197" spans="1:2" x14ac:dyDescent="0.2">
      <c r="A197">
        <v>45388</v>
      </c>
      <c r="B197">
        <v>0.74</v>
      </c>
    </row>
    <row r="198" spans="1:2" x14ac:dyDescent="0.2">
      <c r="A198">
        <v>45387</v>
      </c>
      <c r="B198">
        <v>0.44</v>
      </c>
    </row>
    <row r="199" spans="1:2" x14ac:dyDescent="0.2">
      <c r="A199">
        <v>45386</v>
      </c>
      <c r="B199">
        <v>4</v>
      </c>
    </row>
    <row r="200" spans="1:2" x14ac:dyDescent="0.2">
      <c r="A200">
        <v>45385</v>
      </c>
      <c r="B200">
        <v>9.0299999999999994</v>
      </c>
    </row>
    <row r="201" spans="1:2" x14ac:dyDescent="0.2">
      <c r="A201">
        <v>45384</v>
      </c>
      <c r="B201">
        <v>9.85</v>
      </c>
    </row>
    <row r="202" spans="1:2" x14ac:dyDescent="0.2">
      <c r="A202">
        <v>45383</v>
      </c>
      <c r="B202">
        <v>2.76</v>
      </c>
    </row>
    <row r="203" spans="1:2" x14ac:dyDescent="0.2">
      <c r="A203">
        <v>45382</v>
      </c>
      <c r="B203">
        <v>0.83</v>
      </c>
    </row>
    <row r="204" spans="1:2" x14ac:dyDescent="0.2">
      <c r="A204">
        <v>45381</v>
      </c>
      <c r="B204">
        <v>4.5199999999999996</v>
      </c>
    </row>
    <row r="205" spans="1:2" x14ac:dyDescent="0.2">
      <c r="A205">
        <v>45380</v>
      </c>
      <c r="B205">
        <v>4.05</v>
      </c>
    </row>
    <row r="206" spans="1:2" x14ac:dyDescent="0.2">
      <c r="A206">
        <v>45379</v>
      </c>
      <c r="B206">
        <v>0.66</v>
      </c>
    </row>
    <row r="207" spans="1:2" x14ac:dyDescent="0.2">
      <c r="A207">
        <v>45378</v>
      </c>
      <c r="B207">
        <v>0.76</v>
      </c>
    </row>
    <row r="208" spans="1:2" x14ac:dyDescent="0.2">
      <c r="A208">
        <v>45377</v>
      </c>
      <c r="B208">
        <v>2.36</v>
      </c>
    </row>
    <row r="209" spans="1:2" x14ac:dyDescent="0.2">
      <c r="A209">
        <v>45376</v>
      </c>
      <c r="B209">
        <v>23.75</v>
      </c>
    </row>
    <row r="210" spans="1:2" x14ac:dyDescent="0.2">
      <c r="A210">
        <v>45375</v>
      </c>
      <c r="B210">
        <v>6.69</v>
      </c>
    </row>
    <row r="211" spans="1:2" x14ac:dyDescent="0.2">
      <c r="A211">
        <v>45374</v>
      </c>
      <c r="B211">
        <v>2.0099999999999998</v>
      </c>
    </row>
    <row r="212" spans="1:2" x14ac:dyDescent="0.2">
      <c r="A212">
        <v>45373</v>
      </c>
      <c r="B212">
        <v>22.4</v>
      </c>
    </row>
    <row r="213" spans="1:2" x14ac:dyDescent="0.2">
      <c r="A213">
        <v>45372</v>
      </c>
      <c r="B213">
        <v>35.9</v>
      </c>
    </row>
    <row r="214" spans="1:2" x14ac:dyDescent="0.2">
      <c r="A214">
        <v>45371</v>
      </c>
      <c r="B214">
        <v>56.94</v>
      </c>
    </row>
    <row r="215" spans="1:2" x14ac:dyDescent="0.2">
      <c r="A215">
        <v>45370</v>
      </c>
      <c r="B215">
        <v>65</v>
      </c>
    </row>
    <row r="216" spans="1:2" x14ac:dyDescent="0.2">
      <c r="A216">
        <v>45369</v>
      </c>
      <c r="B216">
        <v>61.34</v>
      </c>
    </row>
    <row r="217" spans="1:2" x14ac:dyDescent="0.2">
      <c r="A217">
        <v>45368</v>
      </c>
      <c r="B217">
        <v>28.05</v>
      </c>
    </row>
    <row r="218" spans="1:2" x14ac:dyDescent="0.2">
      <c r="A218">
        <v>45367</v>
      </c>
      <c r="B218">
        <v>31.61</v>
      </c>
    </row>
    <row r="219" spans="1:2" x14ac:dyDescent="0.2">
      <c r="A219">
        <v>45366</v>
      </c>
      <c r="B219">
        <v>37.729999999999997</v>
      </c>
    </row>
    <row r="220" spans="1:2" x14ac:dyDescent="0.2">
      <c r="A220">
        <v>45365</v>
      </c>
      <c r="B220">
        <v>35.99</v>
      </c>
    </row>
    <row r="221" spans="1:2" x14ac:dyDescent="0.2">
      <c r="A221">
        <v>45364</v>
      </c>
      <c r="B221">
        <v>42.36</v>
      </c>
    </row>
    <row r="222" spans="1:2" x14ac:dyDescent="0.2">
      <c r="A222">
        <v>45363</v>
      </c>
      <c r="B222">
        <v>42.28</v>
      </c>
    </row>
    <row r="223" spans="1:2" x14ac:dyDescent="0.2">
      <c r="A223">
        <v>45362</v>
      </c>
      <c r="B223">
        <v>14.63</v>
      </c>
    </row>
    <row r="224" spans="1:2" x14ac:dyDescent="0.2">
      <c r="A224">
        <v>45361</v>
      </c>
      <c r="B224">
        <v>0.54</v>
      </c>
    </row>
    <row r="225" spans="1:2" x14ac:dyDescent="0.2">
      <c r="A225">
        <v>45360</v>
      </c>
      <c r="B225">
        <v>0.59</v>
      </c>
    </row>
    <row r="226" spans="1:2" x14ac:dyDescent="0.2">
      <c r="A226">
        <v>45359</v>
      </c>
      <c r="B226">
        <v>1.67</v>
      </c>
    </row>
    <row r="227" spans="1:2" x14ac:dyDescent="0.2">
      <c r="A227">
        <v>45358</v>
      </c>
      <c r="B227">
        <v>8.52</v>
      </c>
    </row>
    <row r="228" spans="1:2" x14ac:dyDescent="0.2">
      <c r="A228">
        <v>45357</v>
      </c>
      <c r="B228">
        <v>45.97</v>
      </c>
    </row>
    <row r="229" spans="1:2" x14ac:dyDescent="0.2">
      <c r="A229">
        <v>45356</v>
      </c>
      <c r="B229">
        <v>33.450000000000003</v>
      </c>
    </row>
    <row r="230" spans="1:2" x14ac:dyDescent="0.2">
      <c r="A230">
        <v>45355</v>
      </c>
      <c r="B230">
        <v>7.95</v>
      </c>
    </row>
    <row r="231" spans="1:2" x14ac:dyDescent="0.2">
      <c r="A231">
        <v>45354</v>
      </c>
      <c r="B231">
        <v>3.79</v>
      </c>
    </row>
    <row r="232" spans="1:2" x14ac:dyDescent="0.2">
      <c r="A232">
        <v>45353</v>
      </c>
      <c r="B232">
        <v>4.16</v>
      </c>
    </row>
    <row r="233" spans="1:2" x14ac:dyDescent="0.2">
      <c r="A233">
        <v>45352</v>
      </c>
      <c r="B233">
        <v>2.14</v>
      </c>
    </row>
    <row r="234" spans="1:2" x14ac:dyDescent="0.2">
      <c r="A234">
        <v>45351</v>
      </c>
      <c r="B234">
        <v>4.8</v>
      </c>
    </row>
    <row r="235" spans="1:2" x14ac:dyDescent="0.2">
      <c r="A235">
        <v>45350</v>
      </c>
      <c r="B235">
        <v>9.35</v>
      </c>
    </row>
    <row r="236" spans="1:2" x14ac:dyDescent="0.2">
      <c r="A236">
        <v>45349</v>
      </c>
      <c r="B236">
        <v>3.66</v>
      </c>
    </row>
    <row r="237" spans="1:2" x14ac:dyDescent="0.2">
      <c r="A237">
        <v>45348</v>
      </c>
      <c r="B237">
        <v>3.82</v>
      </c>
    </row>
    <row r="238" spans="1:2" x14ac:dyDescent="0.2">
      <c r="A238">
        <v>45347</v>
      </c>
      <c r="B238">
        <v>3.06</v>
      </c>
    </row>
    <row r="239" spans="1:2" x14ac:dyDescent="0.2">
      <c r="A239">
        <v>45346</v>
      </c>
      <c r="B239">
        <v>6.94</v>
      </c>
    </row>
    <row r="240" spans="1:2" x14ac:dyDescent="0.2">
      <c r="A240">
        <v>45345</v>
      </c>
      <c r="B240">
        <v>6.72</v>
      </c>
    </row>
    <row r="241" spans="1:2" x14ac:dyDescent="0.2">
      <c r="A241">
        <v>45344</v>
      </c>
      <c r="B241">
        <v>10.71</v>
      </c>
    </row>
    <row r="242" spans="1:2" x14ac:dyDescent="0.2">
      <c r="A242">
        <v>45343</v>
      </c>
      <c r="B242">
        <v>45.3</v>
      </c>
    </row>
    <row r="243" spans="1:2" x14ac:dyDescent="0.2">
      <c r="A243">
        <v>45342</v>
      </c>
      <c r="B243">
        <v>52.86</v>
      </c>
    </row>
    <row r="244" spans="1:2" x14ac:dyDescent="0.2">
      <c r="A244">
        <v>45341</v>
      </c>
      <c r="B244">
        <v>45.55</v>
      </c>
    </row>
    <row r="245" spans="1:2" x14ac:dyDescent="0.2">
      <c r="A245">
        <v>45340</v>
      </c>
      <c r="B245">
        <v>47.04</v>
      </c>
    </row>
    <row r="246" spans="1:2" x14ac:dyDescent="0.2">
      <c r="A246">
        <v>45339</v>
      </c>
      <c r="B246">
        <v>48.69</v>
      </c>
    </row>
    <row r="247" spans="1:2" x14ac:dyDescent="0.2">
      <c r="A247">
        <v>45338</v>
      </c>
      <c r="B247">
        <v>54.24</v>
      </c>
    </row>
    <row r="248" spans="1:2" x14ac:dyDescent="0.2">
      <c r="A248">
        <v>45337</v>
      </c>
      <c r="B248">
        <v>51.22</v>
      </c>
    </row>
    <row r="249" spans="1:2" x14ac:dyDescent="0.2">
      <c r="A249">
        <v>45336</v>
      </c>
      <c r="B249">
        <v>59.57</v>
      </c>
    </row>
    <row r="250" spans="1:2" x14ac:dyDescent="0.2">
      <c r="A250">
        <v>45335</v>
      </c>
      <c r="B250">
        <v>62.72</v>
      </c>
    </row>
    <row r="251" spans="1:2" x14ac:dyDescent="0.2">
      <c r="A251">
        <v>45334</v>
      </c>
      <c r="B251">
        <v>45.85</v>
      </c>
    </row>
    <row r="252" spans="1:2" x14ac:dyDescent="0.2">
      <c r="A252">
        <v>45333</v>
      </c>
      <c r="B252">
        <v>44.83</v>
      </c>
    </row>
    <row r="253" spans="1:2" x14ac:dyDescent="0.2">
      <c r="A253">
        <v>45332</v>
      </c>
      <c r="B253">
        <v>9.4700000000000006</v>
      </c>
    </row>
    <row r="254" spans="1:2" x14ac:dyDescent="0.2">
      <c r="A254">
        <v>45331</v>
      </c>
      <c r="B254">
        <v>40.18</v>
      </c>
    </row>
    <row r="255" spans="1:2" x14ac:dyDescent="0.2">
      <c r="A255">
        <v>45330</v>
      </c>
      <c r="B255">
        <v>38.67</v>
      </c>
    </row>
    <row r="256" spans="1:2" x14ac:dyDescent="0.2">
      <c r="A256">
        <v>45329</v>
      </c>
      <c r="B256">
        <v>50.11</v>
      </c>
    </row>
    <row r="257" spans="1:2" x14ac:dyDescent="0.2">
      <c r="A257">
        <v>45328</v>
      </c>
      <c r="B257">
        <v>74.03</v>
      </c>
    </row>
    <row r="258" spans="1:2" x14ac:dyDescent="0.2">
      <c r="A258">
        <v>45327</v>
      </c>
      <c r="B258">
        <v>80.92</v>
      </c>
    </row>
    <row r="259" spans="1:2" x14ac:dyDescent="0.2">
      <c r="A259">
        <v>45326</v>
      </c>
      <c r="B259">
        <v>63.1</v>
      </c>
    </row>
    <row r="260" spans="1:2" x14ac:dyDescent="0.2">
      <c r="A260">
        <v>45325</v>
      </c>
      <c r="B260">
        <v>60.32</v>
      </c>
    </row>
    <row r="261" spans="1:2" x14ac:dyDescent="0.2">
      <c r="A261">
        <v>45324</v>
      </c>
      <c r="B261">
        <v>65.319999999999993</v>
      </c>
    </row>
    <row r="262" spans="1:2" x14ac:dyDescent="0.2">
      <c r="A262">
        <v>45323</v>
      </c>
      <c r="B262">
        <v>70.95</v>
      </c>
    </row>
    <row r="263" spans="1:2" x14ac:dyDescent="0.2">
      <c r="A263">
        <v>45322</v>
      </c>
      <c r="B263">
        <v>84.26</v>
      </c>
    </row>
    <row r="264" spans="1:2" x14ac:dyDescent="0.2">
      <c r="A264">
        <v>45321</v>
      </c>
      <c r="B264">
        <v>81.28</v>
      </c>
    </row>
    <row r="265" spans="1:2" x14ac:dyDescent="0.2">
      <c r="A265">
        <v>45320</v>
      </c>
      <c r="B265">
        <v>77.97</v>
      </c>
    </row>
    <row r="266" spans="1:2" x14ac:dyDescent="0.2">
      <c r="A266">
        <v>45319</v>
      </c>
      <c r="B266">
        <v>52.14</v>
      </c>
    </row>
    <row r="267" spans="1:2" x14ac:dyDescent="0.2">
      <c r="A267">
        <v>45318</v>
      </c>
      <c r="B267">
        <v>66.06</v>
      </c>
    </row>
    <row r="268" spans="1:2" x14ac:dyDescent="0.2">
      <c r="A268">
        <v>45317</v>
      </c>
      <c r="B268">
        <v>72.56</v>
      </c>
    </row>
    <row r="269" spans="1:2" x14ac:dyDescent="0.2">
      <c r="A269">
        <v>45316</v>
      </c>
      <c r="B269">
        <v>76.8</v>
      </c>
    </row>
    <row r="270" spans="1:2" x14ac:dyDescent="0.2">
      <c r="A270">
        <v>45315</v>
      </c>
      <c r="B270">
        <v>83.42</v>
      </c>
    </row>
    <row r="271" spans="1:2" x14ac:dyDescent="0.2">
      <c r="A271">
        <v>45314</v>
      </c>
      <c r="B271">
        <v>78.02</v>
      </c>
    </row>
    <row r="272" spans="1:2" x14ac:dyDescent="0.2">
      <c r="A272">
        <v>45313</v>
      </c>
      <c r="B272">
        <v>67.92</v>
      </c>
    </row>
    <row r="273" spans="1:2" x14ac:dyDescent="0.2">
      <c r="A273">
        <v>45312</v>
      </c>
      <c r="B273">
        <v>64.400000000000006</v>
      </c>
    </row>
    <row r="274" spans="1:2" x14ac:dyDescent="0.2">
      <c r="A274">
        <v>45311</v>
      </c>
      <c r="B274">
        <v>80.53</v>
      </c>
    </row>
    <row r="275" spans="1:2" x14ac:dyDescent="0.2">
      <c r="A275">
        <v>45310</v>
      </c>
      <c r="B275">
        <v>70.87</v>
      </c>
    </row>
    <row r="276" spans="1:2" x14ac:dyDescent="0.2">
      <c r="A276">
        <v>45309</v>
      </c>
      <c r="B276">
        <v>46.84</v>
      </c>
    </row>
    <row r="277" spans="1:2" x14ac:dyDescent="0.2">
      <c r="A277">
        <v>45308</v>
      </c>
      <c r="B277">
        <v>26.96</v>
      </c>
    </row>
    <row r="278" spans="1:2" x14ac:dyDescent="0.2">
      <c r="A278">
        <v>45307</v>
      </c>
      <c r="B278">
        <v>90.12</v>
      </c>
    </row>
    <row r="279" spans="1:2" x14ac:dyDescent="0.2">
      <c r="A279">
        <v>45306</v>
      </c>
      <c r="B279">
        <v>87.56</v>
      </c>
    </row>
    <row r="280" spans="1:2" x14ac:dyDescent="0.2">
      <c r="A280">
        <v>45305</v>
      </c>
      <c r="B280">
        <v>75.13</v>
      </c>
    </row>
    <row r="281" spans="1:2" x14ac:dyDescent="0.2">
      <c r="A281">
        <v>45304</v>
      </c>
      <c r="B281">
        <v>87.35</v>
      </c>
    </row>
    <row r="282" spans="1:2" x14ac:dyDescent="0.2">
      <c r="A282">
        <v>45303</v>
      </c>
      <c r="B282">
        <v>97.56</v>
      </c>
    </row>
    <row r="283" spans="1:2" x14ac:dyDescent="0.2">
      <c r="A283">
        <v>45302</v>
      </c>
      <c r="B283">
        <v>96.97</v>
      </c>
    </row>
    <row r="284" spans="1:2" x14ac:dyDescent="0.2">
      <c r="A284">
        <v>45301</v>
      </c>
      <c r="B284">
        <v>100.88</v>
      </c>
    </row>
    <row r="285" spans="1:2" x14ac:dyDescent="0.2">
      <c r="A285">
        <v>45300</v>
      </c>
      <c r="B285">
        <v>113.83</v>
      </c>
    </row>
    <row r="286" spans="1:2" x14ac:dyDescent="0.2">
      <c r="A286">
        <v>45299</v>
      </c>
      <c r="B286">
        <v>105.51</v>
      </c>
    </row>
    <row r="287" spans="1:2" x14ac:dyDescent="0.2">
      <c r="A287">
        <v>45298</v>
      </c>
      <c r="B287">
        <v>76</v>
      </c>
    </row>
    <row r="288" spans="1:2" x14ac:dyDescent="0.2">
      <c r="A288">
        <v>45297</v>
      </c>
      <c r="B288">
        <v>43.97</v>
      </c>
    </row>
    <row r="289" spans="1:2" x14ac:dyDescent="0.2">
      <c r="A289">
        <v>45296</v>
      </c>
      <c r="B289">
        <v>68.62</v>
      </c>
    </row>
    <row r="290" spans="1:2" x14ac:dyDescent="0.2">
      <c r="A290">
        <v>45295</v>
      </c>
      <c r="B290">
        <v>91.36</v>
      </c>
    </row>
    <row r="291" spans="1:2" x14ac:dyDescent="0.2">
      <c r="A291">
        <v>45294</v>
      </c>
      <c r="B291">
        <v>55.08</v>
      </c>
    </row>
    <row r="292" spans="1:2" x14ac:dyDescent="0.2">
      <c r="A292">
        <v>45293</v>
      </c>
      <c r="B292">
        <v>40.909999999999997</v>
      </c>
    </row>
    <row r="293" spans="1:2" x14ac:dyDescent="0.2">
      <c r="A293">
        <v>45292</v>
      </c>
      <c r="B293">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20" t="s">
        <v>246</v>
      </c>
      <c r="K1" s="121"/>
      <c r="L1" s="124" t="s">
        <v>3</v>
      </c>
      <c r="M1" s="130" t="s">
        <v>235</v>
      </c>
      <c r="N1" s="131"/>
      <c r="O1" s="128" t="s">
        <v>4</v>
      </c>
      <c r="P1" s="129"/>
      <c r="Q1" s="116" t="s">
        <v>246</v>
      </c>
      <c r="R1" s="116"/>
      <c r="S1" s="117"/>
      <c r="T1" s="115"/>
    </row>
    <row r="2" spans="1:20" ht="12" customHeight="1" x14ac:dyDescent="0.2">
      <c r="A2" t="s">
        <v>3</v>
      </c>
      <c r="B2" s="23" t="str">
        <f>A7</f>
        <v>Ene 2024</v>
      </c>
      <c r="C2" t="s">
        <v>243</v>
      </c>
      <c r="G2" s="15" t="s">
        <v>253</v>
      </c>
      <c r="H2" s="24">
        <f ca="1">TODAY()</f>
        <v>45579</v>
      </c>
      <c r="I2" s="24"/>
      <c r="J2" s="122"/>
      <c r="K2" s="117"/>
      <c r="L2" s="125"/>
      <c r="M2" s="132"/>
      <c r="N2" s="133"/>
      <c r="O2" s="128"/>
      <c r="P2" s="129"/>
      <c r="Q2" s="116"/>
      <c r="R2" s="116"/>
      <c r="S2" s="117"/>
      <c r="T2" s="115"/>
    </row>
    <row r="3" spans="1:20" ht="12" customHeight="1" x14ac:dyDescent="0.2">
      <c r="A3" t="s">
        <v>229</v>
      </c>
      <c r="B3" s="23">
        <f ca="1">IF(C3="",ROUND(AVERAGE(omie!E5:OFFSET(omie!E5,MATCH(B4,omie_enero[fecha],0)-1,0)),2),C3)</f>
        <v>74.099999999999994</v>
      </c>
      <c r="C3" s="26"/>
      <c r="G3" s="114" t="s">
        <v>248</v>
      </c>
      <c r="H3" s="114"/>
      <c r="I3" s="4"/>
      <c r="J3" s="122"/>
      <c r="K3" s="117"/>
      <c r="L3" s="126" t="s">
        <v>13</v>
      </c>
      <c r="M3" s="134">
        <f>H1</f>
        <v>31</v>
      </c>
      <c r="N3" s="134"/>
      <c r="O3" s="127">
        <f ca="1">B3</f>
        <v>74.099999999999994</v>
      </c>
      <c r="P3" s="127"/>
      <c r="Q3" s="116"/>
      <c r="R3" s="116"/>
      <c r="S3" s="117"/>
      <c r="T3" s="115"/>
    </row>
    <row r="4" spans="1:20" ht="12" customHeight="1" x14ac:dyDescent="0.2">
      <c r="A4" t="s">
        <v>6</v>
      </c>
      <c r="B4" s="3">
        <f>DATE(2024,1,H1)</f>
        <v>45322</v>
      </c>
      <c r="G4" t="s">
        <v>247</v>
      </c>
      <c r="H4" s="30">
        <f>[1]omie_dinamic_dia!$G$2</f>
        <v>15</v>
      </c>
      <c r="I4" s="42"/>
      <c r="J4" s="122"/>
      <c r="K4" s="117"/>
      <c r="L4" s="126"/>
      <c r="M4" s="134"/>
      <c r="N4" s="134"/>
      <c r="O4" s="127"/>
      <c r="P4" s="127"/>
      <c r="Q4" s="116"/>
      <c r="R4" s="116"/>
      <c r="S4" s="117"/>
      <c r="T4" s="115"/>
    </row>
    <row r="5" spans="1:20" ht="12" customHeight="1" x14ac:dyDescent="0.2">
      <c r="A5" t="s">
        <v>15</v>
      </c>
      <c r="B5" s="3">
        <f>MAX(omie_enero[fecha])</f>
        <v>45322</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4"/>
      <c r="S20" s="114"/>
      <c r="T20" s="114"/>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4"/>
      <c r="S21" s="114"/>
      <c r="T21" s="114"/>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4"/>
      <c r="S22" s="114"/>
      <c r="T22" s="114"/>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106" priority="14">
      <formula>$K7=3</formula>
    </cfRule>
    <cfRule type="expression" dxfId="105" priority="15">
      <formula>$K7=2</formula>
    </cfRule>
    <cfRule type="expression" dxfId="104"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20" t="s">
        <v>246</v>
      </c>
      <c r="K1" s="121"/>
      <c r="L1" s="124" t="s">
        <v>3</v>
      </c>
      <c r="M1" s="130" t="s">
        <v>365</v>
      </c>
      <c r="N1" s="131"/>
      <c r="O1" s="128" t="s">
        <v>4</v>
      </c>
      <c r="P1" s="129"/>
      <c r="Q1" s="116" t="s">
        <v>246</v>
      </c>
      <c r="R1" s="116"/>
      <c r="S1" s="117"/>
      <c r="T1" s="115"/>
    </row>
    <row r="2" spans="1:20" ht="12" customHeight="1" x14ac:dyDescent="0.2">
      <c r="A2" t="s">
        <v>3</v>
      </c>
      <c r="B2" s="23" t="str">
        <f>A7</f>
        <v>Feb 2024</v>
      </c>
      <c r="C2" t="s">
        <v>243</v>
      </c>
      <c r="G2" s="15" t="s">
        <v>253</v>
      </c>
      <c r="H2" s="24">
        <f ca="1">TODAY()</f>
        <v>45579</v>
      </c>
      <c r="I2" s="24"/>
      <c r="J2" s="122"/>
      <c r="K2" s="117"/>
      <c r="L2" s="125"/>
      <c r="M2" s="132"/>
      <c r="N2" s="133"/>
      <c r="O2" s="128"/>
      <c r="P2" s="129"/>
      <c r="Q2" s="116"/>
      <c r="R2" s="116"/>
      <c r="S2" s="117"/>
      <c r="T2" s="115"/>
    </row>
    <row r="3" spans="1:20" ht="12" customHeight="1" x14ac:dyDescent="0.2">
      <c r="A3" t="s">
        <v>229</v>
      </c>
      <c r="B3" s="23">
        <f ca="1">IF(C3="",ROUND(AVERAGE(omie!H5:OFFSET(omie!H5,MATCH(B4,omie_febrero[fecha],0)-1,0)),2),C3)</f>
        <v>40</v>
      </c>
      <c r="C3" s="26"/>
      <c r="G3" t="s">
        <v>248</v>
      </c>
      <c r="J3" s="122"/>
      <c r="K3" s="117"/>
      <c r="L3" s="126" t="s">
        <v>13</v>
      </c>
      <c r="M3" s="134">
        <f>H1</f>
        <v>29</v>
      </c>
      <c r="N3" s="134"/>
      <c r="O3" s="127">
        <f ca="1">B3</f>
        <v>40</v>
      </c>
      <c r="P3" s="127"/>
      <c r="Q3" s="116"/>
      <c r="R3" s="116"/>
      <c r="S3" s="117"/>
      <c r="T3" s="115"/>
    </row>
    <row r="4" spans="1:20" ht="12" customHeight="1" x14ac:dyDescent="0.2">
      <c r="A4" t="s">
        <v>6</v>
      </c>
      <c r="B4" s="3">
        <f>DATE(2024,2,H1)</f>
        <v>45351</v>
      </c>
      <c r="G4" t="s">
        <v>247</v>
      </c>
      <c r="H4" s="30">
        <f>[1]omie_dinamic_dia!$G$2</f>
        <v>15</v>
      </c>
      <c r="I4" s="42"/>
      <c r="J4" s="122"/>
      <c r="K4" s="117"/>
      <c r="L4" s="126"/>
      <c r="M4" s="134"/>
      <c r="N4" s="134"/>
      <c r="O4" s="127"/>
      <c r="P4" s="127"/>
      <c r="Q4" s="116"/>
      <c r="R4" s="116"/>
      <c r="S4" s="117"/>
      <c r="T4" s="115"/>
    </row>
    <row r="5" spans="1:20" ht="12" customHeight="1" x14ac:dyDescent="0.2">
      <c r="A5" t="s">
        <v>15</v>
      </c>
      <c r="B5" s="3">
        <f>MAX(omie_febrero[fecha])</f>
        <v>45351</v>
      </c>
      <c r="J5" s="123"/>
      <c r="K5" s="119"/>
      <c r="L5" s="126"/>
      <c r="M5" s="134"/>
      <c r="N5" s="134"/>
      <c r="O5" s="127"/>
      <c r="P5" s="127"/>
      <c r="Q5" s="118"/>
      <c r="R5" s="118"/>
      <c r="S5" s="119"/>
      <c r="T5" s="115"/>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4"/>
      <c r="S20" s="114"/>
      <c r="T20" s="114"/>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4"/>
      <c r="S21" s="114"/>
      <c r="T21" s="114"/>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4"/>
      <c r="S22" s="114"/>
      <c r="T22" s="114"/>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103" priority="2">
      <formula>$K7=3</formula>
    </cfRule>
    <cfRule type="expression" dxfId="102" priority="3">
      <formula>$K7=2</formula>
    </cfRule>
    <cfRule type="expression" dxfId="101"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20" t="s">
        <v>246</v>
      </c>
      <c r="K1" s="121"/>
      <c r="L1" s="124" t="s">
        <v>3</v>
      </c>
      <c r="M1" s="130" t="s">
        <v>478</v>
      </c>
      <c r="N1" s="131"/>
      <c r="O1" s="128" t="s">
        <v>4</v>
      </c>
      <c r="P1" s="129"/>
      <c r="Q1" s="116" t="s">
        <v>246</v>
      </c>
      <c r="R1" s="116"/>
      <c r="S1" s="117"/>
      <c r="T1" s="115"/>
    </row>
    <row r="2" spans="1:20" ht="12" customHeight="1" x14ac:dyDescent="0.2">
      <c r="A2" t="s">
        <v>3</v>
      </c>
      <c r="B2" s="23" t="str">
        <f>A7</f>
        <v>Mar 2024</v>
      </c>
      <c r="C2" t="s">
        <v>243</v>
      </c>
      <c r="G2" s="15" t="s">
        <v>253</v>
      </c>
      <c r="H2" s="24">
        <f ca="1">TODAY()</f>
        <v>45579</v>
      </c>
      <c r="I2" s="24"/>
      <c r="J2" s="122"/>
      <c r="K2" s="117"/>
      <c r="L2" s="125"/>
      <c r="M2" s="132"/>
      <c r="N2" s="133"/>
      <c r="O2" s="128"/>
      <c r="P2" s="129"/>
      <c r="Q2" s="116"/>
      <c r="R2" s="116"/>
      <c r="S2" s="117"/>
      <c r="T2" s="115"/>
    </row>
    <row r="3" spans="1:20" ht="12" customHeight="1" x14ac:dyDescent="0.2">
      <c r="A3" t="s">
        <v>229</v>
      </c>
      <c r="B3" s="44">
        <f ca="1">IF(C3="",ROUND(AVERAGE(omie!K5:OFFSET(omie!K5,MATCH(B4,omie_marzo[fecha],0)-1,0)),2),C3)</f>
        <v>20.28</v>
      </c>
      <c r="C3" s="26"/>
      <c r="G3" s="114" t="s">
        <v>248</v>
      </c>
      <c r="H3" s="114"/>
      <c r="I3" s="4"/>
      <c r="J3" s="122"/>
      <c r="K3" s="117"/>
      <c r="L3" s="126" t="s">
        <v>13</v>
      </c>
      <c r="M3" s="134">
        <f>H1</f>
        <v>31</v>
      </c>
      <c r="N3" s="134"/>
      <c r="O3" s="127">
        <f ca="1">B3</f>
        <v>20.28</v>
      </c>
      <c r="P3" s="127"/>
      <c r="Q3" s="116"/>
      <c r="R3" s="116"/>
      <c r="S3" s="117"/>
      <c r="T3" s="115"/>
    </row>
    <row r="4" spans="1:20" ht="12" customHeight="1" x14ac:dyDescent="0.2">
      <c r="A4" t="s">
        <v>6</v>
      </c>
      <c r="B4" s="3">
        <f>DATE(2024,3,H1)</f>
        <v>45382</v>
      </c>
      <c r="G4" t="s">
        <v>247</v>
      </c>
      <c r="H4" s="30">
        <f>[1]omie_dinamic_dia!$G$2</f>
        <v>15</v>
      </c>
      <c r="I4" s="42"/>
      <c r="J4" s="122"/>
      <c r="K4" s="117"/>
      <c r="L4" s="126"/>
      <c r="M4" s="134"/>
      <c r="N4" s="134"/>
      <c r="O4" s="127"/>
      <c r="P4" s="127"/>
      <c r="Q4" s="116"/>
      <c r="R4" s="116"/>
      <c r="S4" s="117"/>
      <c r="T4" s="115"/>
    </row>
    <row r="5" spans="1:20" ht="12" customHeight="1" x14ac:dyDescent="0.2">
      <c r="A5" t="s">
        <v>15</v>
      </c>
      <c r="B5" s="3">
        <f>MAX(omie_marzo[fecha])</f>
        <v>45382</v>
      </c>
      <c r="J5" s="123"/>
      <c r="K5" s="119"/>
      <c r="L5" s="126"/>
      <c r="M5" s="134"/>
      <c r="N5" s="134"/>
      <c r="O5" s="127"/>
      <c r="P5" s="127"/>
      <c r="Q5" s="118"/>
      <c r="R5" s="118"/>
      <c r="S5" s="119"/>
      <c r="T5" s="115"/>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4"/>
      <c r="S20" s="114"/>
      <c r="T20" s="114"/>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4"/>
      <c r="S21" s="114"/>
      <c r="T21" s="114"/>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4"/>
      <c r="S22" s="114"/>
      <c r="T22" s="114"/>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100" priority="2">
      <formula>$K7=3</formula>
    </cfRule>
    <cfRule type="expression" dxfId="99" priority="3">
      <formula>$K7=2</formula>
    </cfRule>
    <cfRule type="expression" dxfId="98"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5" t="s">
        <v>546</v>
      </c>
      <c r="L1" s="136"/>
      <c r="M1" s="124" t="s">
        <v>3</v>
      </c>
      <c r="N1" s="130" t="s">
        <v>545</v>
      </c>
      <c r="O1" s="131"/>
      <c r="P1" s="128" t="s">
        <v>4</v>
      </c>
      <c r="Q1" s="129"/>
      <c r="R1" s="141" t="s">
        <v>547</v>
      </c>
      <c r="S1" s="142"/>
      <c r="T1" s="143"/>
      <c r="U1" s="115"/>
    </row>
    <row r="2" spans="1:21" ht="12" customHeight="1" x14ac:dyDescent="0.2">
      <c r="A2" t="s">
        <v>3</v>
      </c>
      <c r="B2" s="23" t="str">
        <f>A7</f>
        <v>Abr 2024</v>
      </c>
      <c r="C2" t="s">
        <v>243</v>
      </c>
      <c r="G2" s="15" t="s">
        <v>253</v>
      </c>
      <c r="H2" s="24">
        <f ca="1">TODAY()</f>
        <v>45579</v>
      </c>
      <c r="I2" s="29"/>
      <c r="K2" s="137"/>
      <c r="L2" s="138"/>
      <c r="M2" s="125"/>
      <c r="N2" s="132"/>
      <c r="O2" s="133"/>
      <c r="P2" s="128"/>
      <c r="Q2" s="129"/>
      <c r="R2" s="144"/>
      <c r="S2" s="145"/>
      <c r="T2" s="146"/>
      <c r="U2" s="115"/>
    </row>
    <row r="3" spans="1:21" ht="12" customHeight="1" x14ac:dyDescent="0.2">
      <c r="A3" t="s">
        <v>229</v>
      </c>
      <c r="B3" s="44">
        <f ca="1">IF(C3="",ROUND(AVERAGE(omie!N5:OFFSET(omie!N5,MATCH(B4,omie_abril[fecha],0)-1,0)),2),C3)</f>
        <v>13.67</v>
      </c>
      <c r="C3" s="26"/>
      <c r="G3" s="114" t="s">
        <v>248</v>
      </c>
      <c r="H3" s="114"/>
      <c r="I3" s="29"/>
      <c r="K3" s="137"/>
      <c r="L3" s="138"/>
      <c r="M3" s="126" t="s">
        <v>13</v>
      </c>
      <c r="N3" s="134">
        <f>H1</f>
        <v>30</v>
      </c>
      <c r="O3" s="134"/>
      <c r="P3" s="127">
        <f ca="1">B3</f>
        <v>13.67</v>
      </c>
      <c r="Q3" s="127"/>
      <c r="R3" s="144"/>
      <c r="S3" s="145"/>
      <c r="T3" s="146"/>
      <c r="U3" s="115"/>
    </row>
    <row r="4" spans="1:21" ht="12" customHeight="1" x14ac:dyDescent="0.2">
      <c r="A4" t="s">
        <v>6</v>
      </c>
      <c r="B4" s="3">
        <f>DATE(2024,4,H1)</f>
        <v>45412</v>
      </c>
      <c r="G4" t="s">
        <v>247</v>
      </c>
      <c r="H4" s="30">
        <f>[1]omie_dinamic_dia!$G$2</f>
        <v>15</v>
      </c>
      <c r="I4" s="29"/>
      <c r="K4" s="137"/>
      <c r="L4" s="138"/>
      <c r="M4" s="126"/>
      <c r="N4" s="134"/>
      <c r="O4" s="134"/>
      <c r="P4" s="127"/>
      <c r="Q4" s="127"/>
      <c r="R4" s="144"/>
      <c r="S4" s="145"/>
      <c r="T4" s="146"/>
      <c r="U4" s="115"/>
    </row>
    <row r="5" spans="1:21" ht="12" customHeight="1" x14ac:dyDescent="0.2">
      <c r="A5" t="s">
        <v>15</v>
      </c>
      <c r="B5" s="3">
        <f>MAX(omie_abril[fecha])</f>
        <v>45412</v>
      </c>
      <c r="I5" s="29"/>
      <c r="K5" s="139"/>
      <c r="L5" s="140"/>
      <c r="M5" s="126"/>
      <c r="N5" s="134"/>
      <c r="O5" s="134"/>
      <c r="P5" s="127"/>
      <c r="Q5" s="127"/>
      <c r="R5" s="147"/>
      <c r="S5" s="148"/>
      <c r="T5" s="149"/>
      <c r="U5" s="115"/>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4"/>
      <c r="T20" s="114"/>
      <c r="U20" s="114"/>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4"/>
      <c r="T21" s="114"/>
      <c r="U21" s="114"/>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4"/>
      <c r="T22" s="114"/>
      <c r="U22" s="114"/>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97" priority="17">
      <formula>$K7=3</formula>
    </cfRule>
    <cfRule type="expression" dxfId="96" priority="18">
      <formula>$K7=2</formula>
    </cfRule>
    <cfRule type="expression" dxfId="95"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5" t="s">
        <v>546</v>
      </c>
      <c r="L1" s="136"/>
      <c r="M1" s="124" t="s">
        <v>3</v>
      </c>
      <c r="N1" s="130" t="s">
        <v>654</v>
      </c>
      <c r="O1" s="131"/>
      <c r="P1" s="128" t="s">
        <v>4</v>
      </c>
      <c r="Q1" s="129"/>
      <c r="R1" s="141" t="s">
        <v>655</v>
      </c>
      <c r="S1" s="142"/>
      <c r="T1" s="143"/>
      <c r="U1" s="115"/>
    </row>
    <row r="2" spans="1:21" ht="12" customHeight="1" x14ac:dyDescent="0.2">
      <c r="A2" t="s">
        <v>3</v>
      </c>
      <c r="B2" s="23" t="str">
        <f>A7</f>
        <v>May 2024</v>
      </c>
      <c r="C2" s="4" t="s">
        <v>243</v>
      </c>
      <c r="G2" s="15" t="s">
        <v>253</v>
      </c>
      <c r="H2" s="24">
        <f ca="1">TODAY()</f>
        <v>45579</v>
      </c>
      <c r="I2" s="29"/>
      <c r="K2" s="137"/>
      <c r="L2" s="138"/>
      <c r="M2" s="125"/>
      <c r="N2" s="132"/>
      <c r="O2" s="133"/>
      <c r="P2" s="128"/>
      <c r="Q2" s="129"/>
      <c r="R2" s="144"/>
      <c r="S2" s="145"/>
      <c r="T2" s="146"/>
      <c r="U2" s="115"/>
    </row>
    <row r="3" spans="1:21" ht="12" customHeight="1" x14ac:dyDescent="0.2">
      <c r="A3" t="s">
        <v>229</v>
      </c>
      <c r="B3" s="44">
        <f ca="1">IF(C3="",ROUND(AVERAGE(omie!Q5:OFFSET(omie!Q5,MATCH(B4,omie_mayo[fecha],0)-1,0)),2),C3)</f>
        <v>30.4</v>
      </c>
      <c r="C3" s="65"/>
      <c r="G3" s="114" t="s">
        <v>248</v>
      </c>
      <c r="H3" s="114"/>
      <c r="I3" s="29"/>
      <c r="K3" s="137"/>
      <c r="L3" s="138"/>
      <c r="M3" s="126" t="s">
        <v>13</v>
      </c>
      <c r="N3" s="134">
        <f>H1</f>
        <v>31</v>
      </c>
      <c r="O3" s="134"/>
      <c r="P3" s="127">
        <f ca="1">B3</f>
        <v>30.4</v>
      </c>
      <c r="Q3" s="127"/>
      <c r="R3" s="144"/>
      <c r="S3" s="145"/>
      <c r="T3" s="146"/>
      <c r="U3" s="115"/>
    </row>
    <row r="4" spans="1:21" ht="12" customHeight="1" x14ac:dyDescent="0.2">
      <c r="A4" t="s">
        <v>6</v>
      </c>
      <c r="B4" s="3">
        <f>DATE(2024,5,H1)</f>
        <v>45443</v>
      </c>
      <c r="G4" t="s">
        <v>247</v>
      </c>
      <c r="H4" s="67">
        <f>[1]omie_dinamic_dia!$G$2</f>
        <v>15</v>
      </c>
      <c r="I4" s="29"/>
      <c r="K4" s="137"/>
      <c r="L4" s="138"/>
      <c r="M4" s="126"/>
      <c r="N4" s="134"/>
      <c r="O4" s="134"/>
      <c r="P4" s="127"/>
      <c r="Q4" s="127"/>
      <c r="R4" s="144"/>
      <c r="S4" s="145"/>
      <c r="T4" s="146"/>
      <c r="U4" s="115"/>
    </row>
    <row r="5" spans="1:21" ht="12" customHeight="1" x14ac:dyDescent="0.2">
      <c r="A5" t="s">
        <v>15</v>
      </c>
      <c r="B5" s="3">
        <f>MAX(omie_mayo[fecha])</f>
        <v>45443</v>
      </c>
      <c r="I5" s="29"/>
      <c r="K5" s="139"/>
      <c r="L5" s="140"/>
      <c r="M5" s="126"/>
      <c r="N5" s="134"/>
      <c r="O5" s="134"/>
      <c r="P5" s="127"/>
      <c r="Q5" s="127"/>
      <c r="R5" s="147"/>
      <c r="S5" s="148"/>
      <c r="T5" s="149"/>
      <c r="U5" s="115"/>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4"/>
      <c r="T20" s="114"/>
      <c r="U20" s="114"/>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4"/>
      <c r="T21" s="114"/>
      <c r="U21" s="114"/>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4"/>
      <c r="T22" s="114"/>
      <c r="U22" s="114"/>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94" priority="3">
      <formula>$K7=3</formula>
    </cfRule>
    <cfRule type="expression" dxfId="93" priority="4">
      <formula>$K7=2</formula>
    </cfRule>
    <cfRule type="expression" dxfId="92" priority="5">
      <formula>$K7=1</formula>
    </cfRule>
  </conditionalFormatting>
  <conditionalFormatting sqref="C7:C49">
    <cfRule type="duplicateValues" dxfId="91"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5" t="s">
        <v>546</v>
      </c>
      <c r="L1" s="136"/>
      <c r="M1" s="124" t="s">
        <v>3</v>
      </c>
      <c r="N1" s="130" t="s">
        <v>793</v>
      </c>
      <c r="O1" s="131"/>
      <c r="P1" s="128" t="s">
        <v>4</v>
      </c>
      <c r="Q1" s="129"/>
      <c r="R1" s="150" t="s">
        <v>794</v>
      </c>
      <c r="S1" s="151"/>
      <c r="T1" s="151"/>
      <c r="U1" s="79"/>
      <c r="Y1" s="114"/>
    </row>
    <row r="2" spans="1:25" ht="12" customHeight="1" x14ac:dyDescent="0.2">
      <c r="A2" t="s">
        <v>3</v>
      </c>
      <c r="B2" s="23" t="str">
        <f>A7</f>
        <v>Jun 2024</v>
      </c>
      <c r="C2" s="4" t="s">
        <v>243</v>
      </c>
      <c r="G2" s="15" t="s">
        <v>253</v>
      </c>
      <c r="H2" s="24">
        <f ca="1">TODAY()</f>
        <v>45579</v>
      </c>
      <c r="I2" s="29"/>
      <c r="K2" s="137"/>
      <c r="L2" s="138"/>
      <c r="M2" s="125"/>
      <c r="N2" s="132"/>
      <c r="O2" s="133"/>
      <c r="P2" s="128"/>
      <c r="Q2" s="129"/>
      <c r="R2" s="150"/>
      <c r="S2" s="151"/>
      <c r="T2" s="151"/>
      <c r="U2" s="79"/>
      <c r="Y2" s="114"/>
    </row>
    <row r="3" spans="1:25" ht="12" customHeight="1" x14ac:dyDescent="0.2">
      <c r="A3" t="s">
        <v>229</v>
      </c>
      <c r="B3" s="44">
        <f ca="1">IF(C3="",ROUND(AVERAGE(omie!T5:OFFSET(omie!T5,MATCH(B4,omie_junio[fecha],0)-1,0)),2),C3)</f>
        <v>56.08</v>
      </c>
      <c r="C3" s="65"/>
      <c r="G3" s="114" t="s">
        <v>248</v>
      </c>
      <c r="H3" s="114"/>
      <c r="I3" s="29"/>
      <c r="K3" s="137"/>
      <c r="L3" s="138"/>
      <c r="M3" s="126" t="s">
        <v>13</v>
      </c>
      <c r="N3" s="134">
        <f>H1</f>
        <v>30</v>
      </c>
      <c r="O3" s="134"/>
      <c r="P3" s="127">
        <f ca="1">B3</f>
        <v>56.08</v>
      </c>
      <c r="Q3" s="127"/>
      <c r="R3" s="150"/>
      <c r="S3" s="151"/>
      <c r="T3" s="151"/>
      <c r="U3" s="79"/>
      <c r="Y3" s="114"/>
    </row>
    <row r="4" spans="1:25" ht="12" customHeight="1" x14ac:dyDescent="0.2">
      <c r="A4" t="s">
        <v>6</v>
      </c>
      <c r="B4" s="3">
        <f>DATE(2024,6,H1)</f>
        <v>45473</v>
      </c>
      <c r="G4" t="s">
        <v>247</v>
      </c>
      <c r="H4" s="67">
        <f>[1]omie_dinamic_dia!$G$2</f>
        <v>15</v>
      </c>
      <c r="I4" s="29"/>
      <c r="K4" s="137"/>
      <c r="L4" s="138"/>
      <c r="M4" s="126"/>
      <c r="N4" s="134"/>
      <c r="O4" s="134"/>
      <c r="P4" s="127"/>
      <c r="Q4" s="127"/>
      <c r="R4" s="150"/>
      <c r="S4" s="151"/>
      <c r="T4" s="151"/>
      <c r="U4" s="79"/>
      <c r="Y4" s="114"/>
    </row>
    <row r="5" spans="1:25" ht="12" customHeight="1" x14ac:dyDescent="0.2">
      <c r="A5" t="s">
        <v>15</v>
      </c>
      <c r="B5" s="3">
        <f>MAX(omie_junio[fecha])</f>
        <v>45473</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4"/>
      <c r="V20" s="114"/>
      <c r="W20" s="114"/>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4"/>
      <c r="V21" s="114"/>
      <c r="W21" s="114"/>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4"/>
      <c r="V22" s="114"/>
      <c r="W22" s="114"/>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90" priority="3">
      <formula>$K7=3</formula>
    </cfRule>
    <cfRule type="expression" dxfId="89" priority="4">
      <formula>$K7=2</formula>
    </cfRule>
    <cfRule type="expression" dxfId="88" priority="5">
      <formula>$K7=1</formula>
    </cfRule>
  </conditionalFormatting>
  <conditionalFormatting sqref="C7:C59">
    <cfRule type="duplicateValues" dxfId="87" priority="29"/>
  </conditionalFormatting>
  <conditionalFormatting sqref="B7:B59">
    <cfRule type="duplicateValues" dxfId="86" priority="31"/>
  </conditionalFormatting>
  <conditionalFormatting sqref="R8:S13 R17:S26">
    <cfRule type="expression" dxfId="85" priority="37">
      <formula>$K38=3</formula>
    </cfRule>
    <cfRule type="expression" dxfId="84" priority="38">
      <formula>$K38=2</formula>
    </cfRule>
    <cfRule type="expression" dxfId="83" priority="39">
      <formula>$K38=1</formula>
    </cfRule>
  </conditionalFormatting>
  <conditionalFormatting sqref="P38:Q59 Q37">
    <cfRule type="expression" dxfId="82" priority="60">
      <formula>$K34=3</formula>
    </cfRule>
    <cfRule type="expression" dxfId="81" priority="61">
      <formula>$K34=2</formula>
    </cfRule>
    <cfRule type="expression" dxfId="80"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5" t="s">
        <v>546</v>
      </c>
      <c r="L1" s="136"/>
      <c r="M1" s="124" t="s">
        <v>3</v>
      </c>
      <c r="N1" s="130" t="s">
        <v>940</v>
      </c>
      <c r="O1" s="131"/>
      <c r="P1" s="128" t="s">
        <v>4</v>
      </c>
      <c r="Q1" s="129"/>
      <c r="R1" s="150" t="s">
        <v>941</v>
      </c>
      <c r="S1" s="151"/>
      <c r="T1" s="151"/>
      <c r="U1" s="79"/>
      <c r="Y1" s="114"/>
    </row>
    <row r="2" spans="1:25" ht="12" customHeight="1" x14ac:dyDescent="0.2">
      <c r="A2" t="s">
        <v>3</v>
      </c>
      <c r="B2" s="23" t="str">
        <f>A7</f>
        <v>Jul 2024</v>
      </c>
      <c r="C2" s="4" t="s">
        <v>243</v>
      </c>
      <c r="G2" s="15" t="s">
        <v>253</v>
      </c>
      <c r="H2" s="24">
        <f ca="1">TODAY()</f>
        <v>45579</v>
      </c>
      <c r="I2" s="29"/>
      <c r="K2" s="137"/>
      <c r="L2" s="138"/>
      <c r="M2" s="125"/>
      <c r="N2" s="132"/>
      <c r="O2" s="133"/>
      <c r="P2" s="128"/>
      <c r="Q2" s="129"/>
      <c r="R2" s="150"/>
      <c r="S2" s="151"/>
      <c r="T2" s="151"/>
      <c r="U2" s="79"/>
      <c r="Y2" s="114"/>
    </row>
    <row r="3" spans="1:25" ht="12" customHeight="1" x14ac:dyDescent="0.2">
      <c r="A3" t="s">
        <v>229</v>
      </c>
      <c r="B3" s="44">
        <f ca="1">IF(C3="",ROUND(AVERAGE(omie!W5:OFFSET(omie!W5,MATCH(B4,omie_julio[fecha],0)-1,0)),2),C3)</f>
        <v>72.31</v>
      </c>
      <c r="C3" s="65"/>
      <c r="G3" s="114" t="s">
        <v>248</v>
      </c>
      <c r="H3" s="114"/>
      <c r="I3" s="29"/>
      <c r="K3" s="137"/>
      <c r="L3" s="138"/>
      <c r="M3" s="126" t="s">
        <v>13</v>
      </c>
      <c r="N3" s="134">
        <f>H1</f>
        <v>31</v>
      </c>
      <c r="O3" s="134"/>
      <c r="P3" s="127">
        <f ca="1">B3</f>
        <v>72.31</v>
      </c>
      <c r="Q3" s="127"/>
      <c r="R3" s="150"/>
      <c r="S3" s="151"/>
      <c r="T3" s="151"/>
      <c r="U3" s="79"/>
      <c r="Y3" s="114"/>
    </row>
    <row r="4" spans="1:25" ht="12" customHeight="1" x14ac:dyDescent="0.2">
      <c r="A4" t="s">
        <v>6</v>
      </c>
      <c r="B4" s="3">
        <f>DATE(2024,7,H1)</f>
        <v>45504</v>
      </c>
      <c r="G4" t="s">
        <v>247</v>
      </c>
      <c r="H4" s="67">
        <f>[1]omie_dinamic_dia!$G$2</f>
        <v>15</v>
      </c>
      <c r="I4" s="29"/>
      <c r="K4" s="137"/>
      <c r="L4" s="138"/>
      <c r="M4" s="126"/>
      <c r="N4" s="134"/>
      <c r="O4" s="134"/>
      <c r="P4" s="127"/>
      <c r="Q4" s="127"/>
      <c r="R4" s="150"/>
      <c r="S4" s="151"/>
      <c r="T4" s="151"/>
      <c r="U4" s="79"/>
      <c r="Y4" s="114"/>
    </row>
    <row r="5" spans="1:25" ht="12" customHeight="1" x14ac:dyDescent="0.2">
      <c r="A5" t="s">
        <v>15</v>
      </c>
      <c r="B5" s="3">
        <f>MAX(omie_julio[fecha])</f>
        <v>45504</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4"/>
      <c r="V20" s="114"/>
      <c r="W20" s="114"/>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4"/>
      <c r="V21" s="114"/>
      <c r="W21" s="114"/>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4"/>
      <c r="V22" s="114"/>
      <c r="W22" s="114"/>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79" priority="2">
      <formula>$K7=3</formula>
    </cfRule>
    <cfRule type="expression" dxfId="78" priority="3">
      <formula>$K7=2</formula>
    </cfRule>
    <cfRule type="expression" dxfId="77" priority="4">
      <formula>$K7=1</formula>
    </cfRule>
  </conditionalFormatting>
  <conditionalFormatting sqref="R8:S13 R17:S20 R25:S26">
    <cfRule type="expression" dxfId="76" priority="9">
      <formula>$K38=1</formula>
    </cfRule>
  </conditionalFormatting>
  <conditionalFormatting sqref="P39:Q54 Q38 P58:Q60">
    <cfRule type="expression" dxfId="75" priority="10">
      <formula>$K34=3</formula>
    </cfRule>
    <cfRule type="expression" dxfId="74" priority="11">
      <formula>$K34=2</formula>
    </cfRule>
    <cfRule type="expression" dxfId="73"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72" priority="81"/>
  </conditionalFormatting>
  <conditionalFormatting sqref="B7:B58">
    <cfRule type="duplicateValues" dxfId="71"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5" t="s">
        <v>546</v>
      </c>
      <c r="L1" s="136"/>
      <c r="M1" s="124" t="s">
        <v>3</v>
      </c>
      <c r="N1" s="130" t="s">
        <v>1031</v>
      </c>
      <c r="O1" s="131"/>
      <c r="P1" s="128" t="s">
        <v>4</v>
      </c>
      <c r="Q1" s="129"/>
      <c r="R1" s="150" t="s">
        <v>1032</v>
      </c>
      <c r="S1" s="151"/>
      <c r="T1" s="151"/>
      <c r="U1" s="79"/>
      <c r="Y1" s="114"/>
    </row>
    <row r="2" spans="1:25" ht="12" customHeight="1" x14ac:dyDescent="0.2">
      <c r="A2" t="s">
        <v>3</v>
      </c>
      <c r="B2" s="23" t="str">
        <f>A7</f>
        <v>Ago 2024</v>
      </c>
      <c r="C2" s="4" t="s">
        <v>243</v>
      </c>
      <c r="G2" s="15" t="s">
        <v>253</v>
      </c>
      <c r="H2" s="24">
        <f ca="1">TODAY()</f>
        <v>45579</v>
      </c>
      <c r="I2" s="29"/>
      <c r="K2" s="137"/>
      <c r="L2" s="138"/>
      <c r="M2" s="125"/>
      <c r="N2" s="132"/>
      <c r="O2" s="133"/>
      <c r="P2" s="128"/>
      <c r="Q2" s="129"/>
      <c r="R2" s="150"/>
      <c r="S2" s="151"/>
      <c r="T2" s="151"/>
      <c r="U2" s="79"/>
      <c r="Y2" s="114"/>
    </row>
    <row r="3" spans="1:25" ht="12" customHeight="1" x14ac:dyDescent="0.2">
      <c r="A3" t="s">
        <v>229</v>
      </c>
      <c r="B3" s="44">
        <f ca="1">IF(C3="",ROUND(AVERAGE(omie!Z5:OFFSET(omie!Z5,MATCH(B4,omie_agosto[fecha],0)-1,0)),2),C3)</f>
        <v>91.05</v>
      </c>
      <c r="C3" s="65"/>
      <c r="G3" s="114" t="s">
        <v>248</v>
      </c>
      <c r="H3" s="114"/>
      <c r="I3" s="29"/>
      <c r="K3" s="137"/>
      <c r="L3" s="138"/>
      <c r="M3" s="126" t="s">
        <v>13</v>
      </c>
      <c r="N3" s="134">
        <f>H1</f>
        <v>31</v>
      </c>
      <c r="O3" s="134"/>
      <c r="P3" s="127">
        <f ca="1">B3</f>
        <v>91.05</v>
      </c>
      <c r="Q3" s="127"/>
      <c r="R3" s="150"/>
      <c r="S3" s="151"/>
      <c r="T3" s="151"/>
      <c r="U3" s="79"/>
      <c r="Y3" s="114"/>
    </row>
    <row r="4" spans="1:25" ht="12" customHeight="1" x14ac:dyDescent="0.2">
      <c r="A4" t="s">
        <v>6</v>
      </c>
      <c r="B4" s="3">
        <f>DATE(2024,8,H1)</f>
        <v>45535</v>
      </c>
      <c r="G4" t="s">
        <v>247</v>
      </c>
      <c r="H4" s="67">
        <f>[1]omie_dinamic_dia!$G$2</f>
        <v>15</v>
      </c>
      <c r="I4" s="29"/>
      <c r="K4" s="137"/>
      <c r="L4" s="138"/>
      <c r="M4" s="126"/>
      <c r="N4" s="134"/>
      <c r="O4" s="134"/>
      <c r="P4" s="127"/>
      <c r="Q4" s="127"/>
      <c r="R4" s="150"/>
      <c r="S4" s="151"/>
      <c r="T4" s="151"/>
      <c r="U4" s="79"/>
      <c r="Y4" s="114"/>
    </row>
    <row r="5" spans="1:25" ht="12" customHeight="1" x14ac:dyDescent="0.2">
      <c r="A5" t="s">
        <v>15</v>
      </c>
      <c r="B5" s="3">
        <f>MAX(omie_agosto[fecha])</f>
        <v>45535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4"/>
      <c r="V20" s="114"/>
      <c r="W20" s="114"/>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4"/>
      <c r="V21" s="114"/>
      <c r="W21" s="114"/>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4"/>
      <c r="V22" s="114"/>
      <c r="W22" s="114"/>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70" priority="1">
      <formula>$K7=3</formula>
    </cfRule>
    <cfRule type="expression" dxfId="69" priority="2">
      <formula>$K7=2</formula>
    </cfRule>
    <cfRule type="expression" dxfId="68" priority="3">
      <formula>$K7=1</formula>
    </cfRule>
  </conditionalFormatting>
  <conditionalFormatting sqref="R8:S13 R17:S20 R25:S26">
    <cfRule type="expression" dxfId="67" priority="4">
      <formula>$K38=1</formula>
    </cfRule>
  </conditionalFormatting>
  <conditionalFormatting sqref="P39:Q54 Q38 P58:Q60">
    <cfRule type="expression" dxfId="66" priority="5">
      <formula>$K34=3</formula>
    </cfRule>
    <cfRule type="expression" dxfId="65" priority="6">
      <formula>$K34=2</formula>
    </cfRule>
    <cfRule type="expression" dxfId="64"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63" priority="86"/>
  </conditionalFormatting>
  <conditionalFormatting sqref="B7:B47">
    <cfRule type="duplicateValues" dxfId="62"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F7" sqref="F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5" t="s">
        <v>546</v>
      </c>
      <c r="L1" s="136"/>
      <c r="M1" s="124" t="s">
        <v>3</v>
      </c>
      <c r="N1" s="130" t="s">
        <v>1107</v>
      </c>
      <c r="O1" s="131"/>
      <c r="P1" s="128" t="s">
        <v>4</v>
      </c>
      <c r="Q1" s="129"/>
      <c r="R1" s="150" t="s">
        <v>1108</v>
      </c>
      <c r="S1" s="151"/>
      <c r="T1" s="151"/>
      <c r="U1" s="79"/>
      <c r="Y1" s="114"/>
    </row>
    <row r="2" spans="1:25" ht="12" customHeight="1" x14ac:dyDescent="0.2">
      <c r="A2" t="s">
        <v>3</v>
      </c>
      <c r="B2" s="23" t="str">
        <f>A7</f>
        <v>Sep 2024</v>
      </c>
      <c r="C2" s="4" t="s">
        <v>243</v>
      </c>
      <c r="G2" s="15" t="s">
        <v>253</v>
      </c>
      <c r="H2" s="24">
        <f ca="1">TODAY()</f>
        <v>45579</v>
      </c>
      <c r="I2" s="29"/>
      <c r="K2" s="137"/>
      <c r="L2" s="138"/>
      <c r="M2" s="125"/>
      <c r="N2" s="132"/>
      <c r="O2" s="133"/>
      <c r="P2" s="128"/>
      <c r="Q2" s="129"/>
      <c r="R2" s="150"/>
      <c r="S2" s="151"/>
      <c r="T2" s="151"/>
      <c r="U2" s="79"/>
      <c r="Y2" s="114"/>
    </row>
    <row r="3" spans="1:25" ht="12" customHeight="1" x14ac:dyDescent="0.2">
      <c r="A3" t="s">
        <v>229</v>
      </c>
      <c r="B3" s="44">
        <f ca="1">IF(C3="",ROUND(AVERAGE(omie!AC5:OFFSET(omie!AC5,MATCH(B4,omie_septiembre[fecha],0)-1,0)),2),C3)</f>
        <v>72.62</v>
      </c>
      <c r="C3" s="65"/>
      <c r="G3" s="114" t="s">
        <v>248</v>
      </c>
      <c r="H3" s="114"/>
      <c r="I3" s="29"/>
      <c r="K3" s="137"/>
      <c r="L3" s="138"/>
      <c r="M3" s="126" t="s">
        <v>13</v>
      </c>
      <c r="N3" s="134">
        <f>H1</f>
        <v>30</v>
      </c>
      <c r="O3" s="134"/>
      <c r="P3" s="127">
        <f ca="1">B3</f>
        <v>72.62</v>
      </c>
      <c r="Q3" s="127"/>
      <c r="R3" s="150"/>
      <c r="S3" s="151"/>
      <c r="T3" s="151"/>
      <c r="U3" s="79"/>
      <c r="Y3" s="114"/>
    </row>
    <row r="4" spans="1:25" ht="12" customHeight="1" x14ac:dyDescent="0.2">
      <c r="A4" t="s">
        <v>6</v>
      </c>
      <c r="B4" s="3">
        <f>DATE(2024,9,H1)</f>
        <v>45565</v>
      </c>
      <c r="G4" t="s">
        <v>247</v>
      </c>
      <c r="H4" s="67">
        <f>[1]omie_dinamic_dia!$G$2</f>
        <v>15</v>
      </c>
      <c r="I4" s="29"/>
      <c r="K4" s="137"/>
      <c r="L4" s="138"/>
      <c r="M4" s="126"/>
      <c r="N4" s="134"/>
      <c r="O4" s="134"/>
      <c r="P4" s="127"/>
      <c r="Q4" s="127"/>
      <c r="R4" s="150"/>
      <c r="S4" s="151"/>
      <c r="T4" s="151"/>
      <c r="U4" s="79"/>
      <c r="Y4" s="114"/>
    </row>
    <row r="5" spans="1:25" ht="12" customHeight="1" x14ac:dyDescent="0.2">
      <c r="A5" t="s">
        <v>15</v>
      </c>
      <c r="B5" s="3">
        <f>MAX(omie_septiembre[fecha])</f>
        <v>45565</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14"/>
      <c r="V20" s="114"/>
      <c r="W20" s="114"/>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14"/>
      <c r="V21" s="114"/>
      <c r="W21" s="114"/>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14"/>
      <c r="V22" s="114"/>
      <c r="W22" s="114"/>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61" priority="1">
      <formula>$K7=3</formula>
    </cfRule>
    <cfRule type="expression" dxfId="60" priority="2">
      <formula>$K7=2</formula>
    </cfRule>
    <cfRule type="expression" dxfId="59" priority="3">
      <formula>$K7=1</formula>
    </cfRule>
  </conditionalFormatting>
  <conditionalFormatting sqref="R8:S10 R17:S20 R25:S26 R13:S13">
    <cfRule type="expression" dxfId="58" priority="4">
      <formula>$K38=1</formula>
    </cfRule>
  </conditionalFormatting>
  <conditionalFormatting sqref="P39:Q54 Q38 P58:Q60">
    <cfRule type="expression" dxfId="57" priority="5">
      <formula>$K34=3</formula>
    </cfRule>
    <cfRule type="expression" dxfId="56" priority="6">
      <formula>$K34=2</formula>
    </cfRule>
    <cfRule type="expression" dxfId="55"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54" priority="95"/>
  </conditionalFormatting>
  <conditionalFormatting sqref="B7:B45">
    <cfRule type="duplicateValues" dxfId="53"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zoomScale="130" zoomScaleNormal="130" workbookViewId="0">
      <selection activeCell="Q18" sqref="Q18"/>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15</v>
      </c>
      <c r="I1" s="29"/>
      <c r="K1" s="135" t="s">
        <v>546</v>
      </c>
      <c r="L1" s="136"/>
      <c r="M1" s="124" t="s">
        <v>3</v>
      </c>
      <c r="N1" s="130" t="s">
        <v>1139</v>
      </c>
      <c r="O1" s="131"/>
      <c r="P1" s="128" t="s">
        <v>4</v>
      </c>
      <c r="Q1" s="129"/>
      <c r="R1" s="150" t="s">
        <v>1140</v>
      </c>
      <c r="S1" s="151"/>
      <c r="T1" s="151"/>
      <c r="U1" s="79"/>
      <c r="Y1" s="114"/>
    </row>
    <row r="2" spans="1:25" ht="12" customHeight="1" x14ac:dyDescent="0.2">
      <c r="A2" t="s">
        <v>3</v>
      </c>
      <c r="B2" s="23" t="str">
        <f>A7</f>
        <v>Oct 2024</v>
      </c>
      <c r="C2" s="4" t="s">
        <v>243</v>
      </c>
      <c r="G2" s="15" t="s">
        <v>253</v>
      </c>
      <c r="H2" s="24">
        <f ca="1">TODAY()</f>
        <v>45579</v>
      </c>
      <c r="I2" s="29"/>
      <c r="K2" s="137"/>
      <c r="L2" s="138"/>
      <c r="M2" s="125"/>
      <c r="N2" s="132"/>
      <c r="O2" s="133"/>
      <c r="P2" s="128"/>
      <c r="Q2" s="129"/>
      <c r="R2" s="150"/>
      <c r="S2" s="151"/>
      <c r="T2" s="151"/>
      <c r="U2" s="79"/>
      <c r="Y2" s="114"/>
    </row>
    <row r="3" spans="1:25" ht="12" customHeight="1" x14ac:dyDescent="0.2">
      <c r="A3" t="s">
        <v>229</v>
      </c>
      <c r="B3" s="44">
        <f ca="1">IF(C3="",ROUND(AVERAGE(omie!AF5:OFFSET(omie!AF5,MATCH(B4,omie_octubre[fecha],0)-1,0)),2),C3)</f>
        <v>68.2</v>
      </c>
      <c r="C3" s="65"/>
      <c r="G3" s="114" t="s">
        <v>248</v>
      </c>
      <c r="H3" s="114"/>
      <c r="I3" s="29"/>
      <c r="K3" s="137"/>
      <c r="L3" s="138"/>
      <c r="M3" s="126" t="s">
        <v>13</v>
      </c>
      <c r="N3" s="134">
        <f>H1</f>
        <v>15</v>
      </c>
      <c r="O3" s="134"/>
      <c r="P3" s="127">
        <f ca="1">B3</f>
        <v>68.2</v>
      </c>
      <c r="Q3" s="127"/>
      <c r="R3" s="150"/>
      <c r="S3" s="151"/>
      <c r="T3" s="151"/>
      <c r="U3" s="79"/>
      <c r="Y3" s="114"/>
    </row>
    <row r="4" spans="1:25" ht="12" customHeight="1" x14ac:dyDescent="0.2">
      <c r="A4" t="s">
        <v>6</v>
      </c>
      <c r="B4" s="3">
        <f>DATE(2024,10,H1)</f>
        <v>45580</v>
      </c>
      <c r="G4" t="s">
        <v>247</v>
      </c>
      <c r="H4" s="67">
        <f>[1]omie_dinamic_dia!$G$2</f>
        <v>15</v>
      </c>
      <c r="I4" s="29"/>
      <c r="K4" s="137"/>
      <c r="L4" s="138"/>
      <c r="M4" s="126"/>
      <c r="N4" s="134"/>
      <c r="O4" s="134"/>
      <c r="P4" s="127"/>
      <c r="Q4" s="127"/>
      <c r="R4" s="150"/>
      <c r="S4" s="151"/>
      <c r="T4" s="151"/>
      <c r="U4" s="79"/>
      <c r="Y4" s="114"/>
    </row>
    <row r="5" spans="1:25" ht="12" customHeight="1" x14ac:dyDescent="0.2">
      <c r="A5" t="s">
        <v>15</v>
      </c>
      <c r="B5" s="3">
        <f>MAX(omie_octubre[fecha])</f>
        <v>45580</v>
      </c>
      <c r="I5" s="29"/>
      <c r="K5" s="139"/>
      <c r="L5" s="140"/>
      <c r="M5" s="126"/>
      <c r="N5" s="134"/>
      <c r="O5" s="134"/>
      <c r="P5" s="127"/>
      <c r="Q5" s="127"/>
      <c r="R5" s="150"/>
      <c r="S5" s="151"/>
      <c r="T5" s="151"/>
      <c r="U5" s="79"/>
      <c r="Y5" s="114"/>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73.42</v>
      </c>
      <c r="G7" s="68">
        <f ca="1">ABS(apuestas_oct24[[#This Row],[desvio]])/$B$3</f>
        <v>1.0765395894428151</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73.42</v>
      </c>
      <c r="O7" s="13">
        <f ca="1">INDEX(apuestas_oct24[desvio %],MATCH(resultados_oct[[#This Row],[Apuesta MiniPorra]],apuestas_oct24[Apuesta Miniporra],0))</f>
        <v>1.0765395894428151</v>
      </c>
      <c r="P7" s="4">
        <v>1</v>
      </c>
      <c r="Q7" s="28">
        <f>IF(ISBLANK(omie!AF5),"",omie!AF5)</f>
        <v>97.9</v>
      </c>
      <c r="T7"/>
      <c r="U7"/>
      <c r="X7" s="4"/>
      <c r="Y7" s="4"/>
    </row>
    <row r="8" spans="1:25" x14ac:dyDescent="0.2">
      <c r="A8" t="s">
        <v>1112</v>
      </c>
      <c r="B8" t="s">
        <v>1027</v>
      </c>
      <c r="C8" s="28">
        <v>89.16</v>
      </c>
      <c r="D8" t="s">
        <v>1116</v>
      </c>
      <c r="E8" t="s">
        <v>935</v>
      </c>
      <c r="F8" s="28">
        <f ca="1">apuestas_oct24[[#This Row],[Apuesta Miniporra]]-$B$3</f>
        <v>20.959999999999994</v>
      </c>
      <c r="G8" s="68">
        <f ca="1">ABS(apuestas_oct24[[#This Row],[desvio]])/$B$3</f>
        <v>0.30733137829912011</v>
      </c>
      <c r="H8" s="4">
        <f ca="1">_xlfn.RANK.EQ(apuestas_oct24[[#This Row],[desvio %]],apuestas_oct24[desvio %],1)</f>
        <v>37</v>
      </c>
      <c r="J8" s="66" t="s">
        <v>1112</v>
      </c>
      <c r="K8" s="10">
        <f ca="1">INDEX(apuestas_oct24[orden],MATCH(resultados_oct[Apuesta MiniPorra],apuestas_oct24[Apuesta Miniporra],0))</f>
        <v>37</v>
      </c>
      <c r="L8" s="6" t="str">
        <f>apuestas_oct24[[#This Row],[Nombre]]</f>
        <v>Rafael Leiva</v>
      </c>
      <c r="M8" s="14">
        <f>apuestas_oct24[[#This Row],[Apuesta Miniporra]]</f>
        <v>89.16</v>
      </c>
      <c r="N8" s="14">
        <f ca="1">INDEX(apuestas_oct24[desvio],MATCH(resultados_oct[[#This Row],[Apuesta MiniPorra]],apuestas_oct24[Apuesta Miniporra],0))</f>
        <v>20.959999999999994</v>
      </c>
      <c r="O8" s="13">
        <f ca="1">INDEX(apuestas_oct24[desvio %],MATCH(resultados_oct[[#This Row],[Apuesta MiniPorra]],apuestas_oct24[Apuesta Miniporra],0))</f>
        <v>0.30733137829912011</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16.97</v>
      </c>
      <c r="G9" s="68">
        <f ca="1">ABS(apuestas_oct24[[#This Row],[desvio]])/$B$3</f>
        <v>0.24882697947214075</v>
      </c>
      <c r="H9" s="4">
        <f ca="1">_xlfn.RANK.EQ(apuestas_oct24[[#This Row],[desvio %]],apuestas_oct24[desvio %],1)</f>
        <v>36</v>
      </c>
      <c r="J9" s="66" t="s">
        <v>1112</v>
      </c>
      <c r="K9" s="10">
        <f ca="1">INDEX(apuestas_oct24[orden],MATCH(resultados_oct[Apuesta MiniPorra],apuestas_oct24[Apuesta Miniporra],0))</f>
        <v>36</v>
      </c>
      <c r="L9" s="6" t="str">
        <f>apuestas_oct24[[#This Row],[Nombre]]</f>
        <v>Inés Monroy</v>
      </c>
      <c r="M9" s="14">
        <f>apuestas_oct24[[#This Row],[Apuesta Miniporra]]</f>
        <v>85.17</v>
      </c>
      <c r="N9" s="14">
        <f ca="1">INDEX(apuestas_oct24[desvio],MATCH(resultados_oct[[#This Row],[Apuesta MiniPorra]],apuestas_oct24[Apuesta Miniporra],0))</f>
        <v>16.97</v>
      </c>
      <c r="O9" s="13">
        <f ca="1">INDEX(apuestas_oct24[desvio %],MATCH(resultados_oct[[#This Row],[Apuesta MiniPorra]],apuestas_oct24[Apuesta Miniporra],0))</f>
        <v>0.24882697947214075</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15.86999999999999</v>
      </c>
      <c r="G10" s="68">
        <f ca="1">ABS(apuestas_oct24[[#This Row],[desvio]])/$B$3</f>
        <v>0.23269794721407611</v>
      </c>
      <c r="H10" s="4">
        <f ca="1">_xlfn.RANK.EQ(apuestas_oct24[[#This Row],[desvio %]],apuestas_oct24[desvio %],1)</f>
        <v>35</v>
      </c>
      <c r="J10" s="66" t="s">
        <v>1112</v>
      </c>
      <c r="K10" s="10">
        <f ca="1">INDEX(apuestas_oct24[orden],MATCH(resultados_oct[Apuesta MiniPorra],apuestas_oct24[Apuesta Miniporra],0))</f>
        <v>35</v>
      </c>
      <c r="L10" s="6" t="str">
        <f>apuestas_oct24[[#This Row],[Nombre]]</f>
        <v>Jesús Aceituno López</v>
      </c>
      <c r="M10" s="14">
        <f>apuestas_oct24[[#This Row],[Apuesta Miniporra]]</f>
        <v>84.07</v>
      </c>
      <c r="N10" s="14">
        <f ca="1">INDEX(apuestas_oct24[desvio],MATCH(resultados_oct[[#This Row],[Apuesta MiniPorra]],apuestas_oct24[Apuesta Miniporra],0))</f>
        <v>15.86999999999999</v>
      </c>
      <c r="O10" s="13">
        <f ca="1">INDEX(apuestas_oct24[desvio %],MATCH(resultados_oct[[#This Row],[Apuesta MiniPorra]],apuestas_oct24[Apuesta Miniporra],0))</f>
        <v>0.23269794721407611</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15.61</v>
      </c>
      <c r="G11" s="68">
        <f ca="1">ABS(apuestas_oct24[[#This Row],[desvio]])/$B$3</f>
        <v>0.22888563049853369</v>
      </c>
      <c r="H11" s="4">
        <f ca="1">_xlfn.RANK.EQ(apuestas_oct24[[#This Row],[desvio %]],apuestas_oct24[desvio %],1)</f>
        <v>34</v>
      </c>
      <c r="J11" s="66" t="s">
        <v>1112</v>
      </c>
      <c r="K11" s="10">
        <f ca="1">INDEX(apuestas_oct24[orden],MATCH(resultados_oct[Apuesta MiniPorra],apuestas_oct24[Apuesta Miniporra],0))</f>
        <v>34</v>
      </c>
      <c r="L11" s="6" t="str">
        <f>apuestas_oct24[[#This Row],[Nombre]]</f>
        <v>Carlos Alcaide Méndez</v>
      </c>
      <c r="M11" s="14">
        <f>apuestas_oct24[[#This Row],[Apuesta Miniporra]]</f>
        <v>83.81</v>
      </c>
      <c r="N11" s="14">
        <f ca="1">INDEX(apuestas_oct24[desvio],MATCH(resultados_oct[[#This Row],[Apuesta MiniPorra]],apuestas_oct24[Apuesta Miniporra],0))</f>
        <v>15.61</v>
      </c>
      <c r="O11" s="13">
        <f ca="1">INDEX(apuestas_oct24[desvio %],MATCH(resultados_oct[[#This Row],[Apuesta MiniPorra]],apuestas_oct24[Apuesta Miniporra],0))</f>
        <v>0.22888563049853369</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15.549999999999997</v>
      </c>
      <c r="G12" s="68">
        <f ca="1">ABS(apuestas_oct24[[#This Row],[desvio]])/$B$3</f>
        <v>0.22800586510263923</v>
      </c>
      <c r="H12" s="4">
        <f ca="1">_xlfn.RANK.EQ(apuestas_oct24[[#This Row],[desvio %]],apuestas_oct24[desvio %],1)</f>
        <v>33</v>
      </c>
      <c r="J12" s="66" t="s">
        <v>1112</v>
      </c>
      <c r="K12" s="10">
        <f ca="1">INDEX(apuestas_oct24[orden],MATCH(resultados_oct[Apuesta MiniPorra],apuestas_oct24[Apuesta Miniporra],0))</f>
        <v>33</v>
      </c>
      <c r="L12" s="6" t="str">
        <f>apuestas_oct24[[#This Row],[Nombre]]</f>
        <v>Gorka Arratibel Pastor</v>
      </c>
      <c r="M12" s="14">
        <f>apuestas_oct24[[#This Row],[Apuesta Miniporra]]</f>
        <v>83.75</v>
      </c>
      <c r="N12" s="14">
        <f ca="1">INDEX(apuestas_oct24[desvio],MATCH(resultados_oct[[#This Row],[Apuesta MiniPorra]],apuestas_oct24[Apuesta Miniporra],0))</f>
        <v>15.549999999999997</v>
      </c>
      <c r="O12" s="13">
        <f ca="1">INDEX(apuestas_oct24[desvio %],MATCH(resultados_oct[[#This Row],[Apuesta MiniPorra]],apuestas_oct24[Apuesta Miniporra],0))</f>
        <v>0.22800586510263923</v>
      </c>
      <c r="P12" s="4">
        <v>6</v>
      </c>
      <c r="Q12" s="28">
        <f>IF(ISBLANK(omie!AF10),"",omie!AF10)</f>
        <v>21.96</v>
      </c>
      <c r="R12" s="78"/>
      <c r="S12" s="78"/>
      <c r="T12" s="28"/>
      <c r="U12"/>
    </row>
    <row r="13" spans="1:25" x14ac:dyDescent="0.2">
      <c r="A13" t="s">
        <v>1112</v>
      </c>
      <c r="B13" t="s">
        <v>242</v>
      </c>
      <c r="C13" s="28">
        <v>82.5</v>
      </c>
      <c r="D13" t="s">
        <v>1071</v>
      </c>
      <c r="E13" t="s">
        <v>242</v>
      </c>
      <c r="F13" s="28">
        <f ca="1">apuestas_oct24[[#This Row],[Apuesta Miniporra]]-$B$3</f>
        <v>14.299999999999997</v>
      </c>
      <c r="G13" s="68">
        <f ca="1">ABS(apuestas_oct24[[#This Row],[desvio]])/$B$3</f>
        <v>0.20967741935483866</v>
      </c>
      <c r="H13" s="4">
        <f ca="1">_xlfn.RANK.EQ(apuestas_oct24[[#This Row],[desvio %]],apuestas_oct24[desvio %],1)</f>
        <v>32</v>
      </c>
      <c r="J13" s="66" t="s">
        <v>1112</v>
      </c>
      <c r="K13" s="10">
        <f ca="1">INDEX(apuestas_oct24[orden],MATCH(resultados_oct[Apuesta MiniPorra],apuestas_oct24[Apuesta Miniporra],0))</f>
        <v>32</v>
      </c>
      <c r="L13" s="6" t="str">
        <f>apuestas_oct24[[#This Row],[Nombre]]</f>
        <v>Javier Espelta</v>
      </c>
      <c r="M13" s="14">
        <f>apuestas_oct24[[#This Row],[Apuesta Miniporra]]</f>
        <v>82.5</v>
      </c>
      <c r="N13" s="14">
        <f ca="1">INDEX(apuestas_oct24[desvio],MATCH(resultados_oct[[#This Row],[Apuesta MiniPorra]],apuestas_oct24[Apuesta Miniporra],0))</f>
        <v>14.299999999999997</v>
      </c>
      <c r="O13" s="13">
        <f ca="1">INDEX(apuestas_oct24[desvio %],MATCH(resultados_oct[[#This Row],[Apuesta MiniPorra]],apuestas_oct24[Apuesta Miniporra],0))</f>
        <v>0.20967741935483866</v>
      </c>
      <c r="P13" s="4">
        <v>7</v>
      </c>
      <c r="Q13" s="28">
        <f>IF(ISBLANK(omie!AF11),"",omie!AF11)</f>
        <v>55.46</v>
      </c>
      <c r="R13" s="78"/>
      <c r="S13" s="78"/>
      <c r="T13" s="28"/>
      <c r="U13"/>
    </row>
    <row r="14" spans="1:25" x14ac:dyDescent="0.2">
      <c r="A14" t="s">
        <v>1112</v>
      </c>
      <c r="B14" t="s">
        <v>412</v>
      </c>
      <c r="C14" s="28">
        <v>80.099999999999994</v>
      </c>
      <c r="D14" t="s">
        <v>118</v>
      </c>
      <c r="E14" t="s">
        <v>1096</v>
      </c>
      <c r="F14" s="28">
        <f ca="1">apuestas_oct24[[#This Row],[Apuesta Miniporra]]-$B$3</f>
        <v>11.899999999999991</v>
      </c>
      <c r="G14" s="68">
        <f ca="1">ABS(apuestas_oct24[[#This Row],[desvio]])/$B$3</f>
        <v>0.17448680351906146</v>
      </c>
      <c r="H14" s="4">
        <f ca="1">_xlfn.RANK.EQ(apuestas_oct24[[#This Row],[desvio %]],apuestas_oct24[desvio %],1)</f>
        <v>31</v>
      </c>
      <c r="J14" s="66" t="s">
        <v>1112</v>
      </c>
      <c r="K14" s="10">
        <f ca="1">INDEX(apuestas_oct24[orden],MATCH(resultados_oct[Apuesta MiniPorra],apuestas_oct24[Apuesta Miniporra],0))</f>
        <v>31</v>
      </c>
      <c r="L14" s="6" t="str">
        <f>apuestas_oct24[[#This Row],[Nombre]]</f>
        <v>Jose Manuel Otero López</v>
      </c>
      <c r="M14" s="14">
        <f>apuestas_oct24[[#This Row],[Apuesta Miniporra]]</f>
        <v>80.099999999999994</v>
      </c>
      <c r="N14" s="14">
        <f ca="1">INDEX(apuestas_oct24[desvio],MATCH(resultados_oct[[#This Row],[Apuesta MiniPorra]],apuestas_oct24[Apuesta Miniporra],0))</f>
        <v>11.899999999999991</v>
      </c>
      <c r="O14" s="13">
        <f ca="1">INDEX(apuestas_oct24[desvio %],MATCH(resultados_oct[[#This Row],[Apuesta MiniPorra]],apuestas_oct24[Apuesta Miniporra],0))</f>
        <v>0.17448680351906146</v>
      </c>
      <c r="P14" s="4">
        <v>8</v>
      </c>
      <c r="Q14" s="28">
        <f>IF(ISBLANK(omie!AF12),"",omie!AF12)</f>
        <v>31.37</v>
      </c>
      <c r="R14" s="78"/>
      <c r="S14" s="78"/>
      <c r="T14" s="28"/>
      <c r="U14"/>
    </row>
    <row r="15" spans="1:25" x14ac:dyDescent="0.2">
      <c r="A15" t="s">
        <v>1112</v>
      </c>
      <c r="B15" t="s">
        <v>1118</v>
      </c>
      <c r="C15" s="28">
        <v>79.819999999999993</v>
      </c>
      <c r="D15" t="s">
        <v>118</v>
      </c>
      <c r="E15" t="s">
        <v>1119</v>
      </c>
      <c r="F15" s="28">
        <f ca="1">apuestas_oct24[[#This Row],[Apuesta Miniporra]]-$B$3</f>
        <v>11.61999999999999</v>
      </c>
      <c r="G15" s="68">
        <f ca="1">ABS(apuestas_oct24[[#This Row],[desvio]])/$B$3</f>
        <v>0.17038123167155411</v>
      </c>
      <c r="H15" s="4">
        <f ca="1">_xlfn.RANK.EQ(apuestas_oct24[[#This Row],[desvio %]],apuestas_oct24[desvio %],1)</f>
        <v>30</v>
      </c>
      <c r="J15" s="66" t="s">
        <v>1112</v>
      </c>
      <c r="K15" s="10">
        <f ca="1">INDEX(apuestas_oct24[orden],MATCH(resultados_oct[Apuesta MiniPorra],apuestas_oct24[Apuesta Miniporra],0))</f>
        <v>30</v>
      </c>
      <c r="L15" s="6" t="str">
        <f>apuestas_oct24[[#This Row],[Nombre]]</f>
        <v>Pablo Suárez Sebastián</v>
      </c>
      <c r="M15" s="14">
        <f>apuestas_oct24[[#This Row],[Apuesta Miniporra]]</f>
        <v>79.819999999999993</v>
      </c>
      <c r="N15" s="14">
        <f ca="1">INDEX(apuestas_oct24[desvio],MATCH(resultados_oct[[#This Row],[Apuesta MiniPorra]],apuestas_oct24[Apuesta Miniporra],0))</f>
        <v>11.61999999999999</v>
      </c>
      <c r="O15" s="13">
        <f ca="1">INDEX(apuestas_oct24[desvio %],MATCH(resultados_oct[[#This Row],[Apuesta MiniPorra]],apuestas_oct24[Apuesta Miniporra],0))</f>
        <v>0.17038123167155411</v>
      </c>
      <c r="P15" s="4">
        <v>9</v>
      </c>
      <c r="Q15" s="28">
        <f>IF(ISBLANK(omie!AF13),"",omie!AF13)</f>
        <v>24.52</v>
      </c>
      <c r="R15" s="78"/>
      <c r="S15" s="78"/>
      <c r="T15" s="28"/>
      <c r="U15"/>
    </row>
    <row r="16" spans="1:25" x14ac:dyDescent="0.2">
      <c r="A16" t="s">
        <v>1112</v>
      </c>
      <c r="B16" t="s">
        <v>225</v>
      </c>
      <c r="C16" s="28">
        <v>78.319999999999993</v>
      </c>
      <c r="D16" t="s">
        <v>118</v>
      </c>
      <c r="E16" t="s">
        <v>199</v>
      </c>
      <c r="F16" s="28">
        <f ca="1">apuestas_oct24[[#This Row],[Apuesta Miniporra]]-$B$3</f>
        <v>10.11999999999999</v>
      </c>
      <c r="G16" s="68">
        <f ca="1">ABS(apuestas_oct24[[#This Row],[desvio]])/$B$3</f>
        <v>0.1483870967741934</v>
      </c>
      <c r="H16" s="4">
        <f ca="1">_xlfn.RANK.EQ(apuestas_oct24[[#This Row],[desvio %]],apuestas_oct24[desvio %],1)</f>
        <v>29</v>
      </c>
      <c r="J16" s="66" t="s">
        <v>1112</v>
      </c>
      <c r="K16" s="10">
        <f ca="1">INDEX(apuestas_oct24[orden],MATCH(resultados_oct[Apuesta MiniPorra],apuestas_oct24[Apuesta Miniporra],0))</f>
        <v>29</v>
      </c>
      <c r="L16" s="6" t="str">
        <f>apuestas_oct24[[#This Row],[Nombre]]</f>
        <v>Elena Muñoz Vioque</v>
      </c>
      <c r="M16" s="14">
        <f>apuestas_oct24[[#This Row],[Apuesta Miniporra]]</f>
        <v>78.319999999999993</v>
      </c>
      <c r="N16" s="14">
        <f ca="1">INDEX(apuestas_oct24[desvio],MATCH(resultados_oct[[#This Row],[Apuesta MiniPorra]],apuestas_oct24[Apuesta Miniporra],0))</f>
        <v>10.11999999999999</v>
      </c>
      <c r="O16" s="13">
        <f ca="1">INDEX(apuestas_oct24[desvio %],MATCH(resultados_oct[[#This Row],[Apuesta MiniPorra]],apuestas_oct24[Apuesta Miniporra],0))</f>
        <v>0.1483870967741934</v>
      </c>
      <c r="P16" s="4">
        <v>10</v>
      </c>
      <c r="Q16" s="28">
        <f>IF(ISBLANK(omie!AF14),"",omie!AF14)</f>
        <v>76.180000000000007</v>
      </c>
      <c r="R16" s="78"/>
      <c r="S16" s="78"/>
      <c r="T16" s="28"/>
      <c r="U16"/>
    </row>
    <row r="17" spans="1:23" x14ac:dyDescent="0.2">
      <c r="A17" t="s">
        <v>1112</v>
      </c>
      <c r="B17" t="s">
        <v>218</v>
      </c>
      <c r="C17" s="28">
        <v>77.77</v>
      </c>
      <c r="D17" t="s">
        <v>118</v>
      </c>
      <c r="E17" t="s">
        <v>1025</v>
      </c>
      <c r="F17" s="28">
        <f ca="1">apuestas_oct24[[#This Row],[Apuesta Miniporra]]-$B$3</f>
        <v>9.5699999999999932</v>
      </c>
      <c r="G17" s="68">
        <f ca="1">ABS(apuestas_oct24[[#This Row],[desvio]])/$B$3</f>
        <v>0.14032258064516118</v>
      </c>
      <c r="H17" s="4">
        <f ca="1">_xlfn.RANK.EQ(apuestas_oct24[[#This Row],[desvio %]],apuestas_oct24[desvio %],1)</f>
        <v>28</v>
      </c>
      <c r="J17" s="66" t="s">
        <v>1112</v>
      </c>
      <c r="K17" s="10">
        <f ca="1">INDEX(apuestas_oct24[orden],MATCH(resultados_oct[Apuesta MiniPorra],apuestas_oct24[Apuesta Miniporra],0))</f>
        <v>28</v>
      </c>
      <c r="L17" s="6" t="str">
        <f>apuestas_oct24[[#This Row],[Nombre]]</f>
        <v>Jorge Antonio González Sánchez</v>
      </c>
      <c r="M17" s="14">
        <f>apuestas_oct24[[#This Row],[Apuesta Miniporra]]</f>
        <v>77.77</v>
      </c>
      <c r="N17" s="14">
        <f ca="1">INDEX(apuestas_oct24[desvio],MATCH(resultados_oct[[#This Row],[Apuesta MiniPorra]],apuestas_oct24[Apuesta Miniporra],0))</f>
        <v>9.5699999999999932</v>
      </c>
      <c r="O17" s="13">
        <f ca="1">INDEX(apuestas_oct24[desvio %],MATCH(resultados_oct[[#This Row],[Apuesta MiniPorra]],apuestas_oct24[Apuesta Miniporra],0))</f>
        <v>0.14032258064516118</v>
      </c>
      <c r="P17" s="4">
        <v>11</v>
      </c>
      <c r="Q17" s="28">
        <f>IF(ISBLANK(omie!AF15),"",omie!AF15)</f>
        <v>90.66</v>
      </c>
      <c r="R17" s="78"/>
      <c r="S17" s="78"/>
      <c r="T17" s="28"/>
      <c r="U17"/>
    </row>
    <row r="18" spans="1:23" x14ac:dyDescent="0.2">
      <c r="A18" t="s">
        <v>1112</v>
      </c>
      <c r="B18" t="s">
        <v>336</v>
      </c>
      <c r="C18" s="28">
        <v>77.2</v>
      </c>
      <c r="D18" t="s">
        <v>1120</v>
      </c>
      <c r="E18" t="s">
        <v>2</v>
      </c>
      <c r="F18" s="28">
        <f ca="1">apuestas_oct24[[#This Row],[Apuesta Miniporra]]-$B$3</f>
        <v>9</v>
      </c>
      <c r="G18" s="68">
        <f ca="1">ABS(apuestas_oct24[[#This Row],[desvio]])/$B$3</f>
        <v>0.13196480938416422</v>
      </c>
      <c r="H18" s="4">
        <f ca="1">_xlfn.RANK.EQ(apuestas_oct24[[#This Row],[desvio %]],apuestas_oct24[desvio %],1)</f>
        <v>27</v>
      </c>
      <c r="J18" s="66" t="s">
        <v>1112</v>
      </c>
      <c r="K18" s="10">
        <f ca="1">INDEX(apuestas_oct24[orden],MATCH(resultados_oct[Apuesta MiniPorra],apuestas_oct24[Apuesta Miniporra],0))</f>
        <v>27</v>
      </c>
      <c r="L18" s="6" t="str">
        <f>apuestas_oct24[[#This Row],[Nombre]]</f>
        <v>Javier Revuelta Alonso</v>
      </c>
      <c r="M18" s="14">
        <f>apuestas_oct24[[#This Row],[Apuesta Miniporra]]</f>
        <v>77.2</v>
      </c>
      <c r="N18" s="14">
        <f ca="1">INDEX(apuestas_oct24[desvio],MATCH(resultados_oct[[#This Row],[Apuesta MiniPorra]],apuestas_oct24[Apuesta Miniporra],0))</f>
        <v>9</v>
      </c>
      <c r="O18" s="13">
        <f ca="1">INDEX(apuestas_oct24[desvio %],MATCH(resultados_oct[[#This Row],[Apuesta MiniPorra]],apuestas_oct24[Apuesta Miniporra],0))</f>
        <v>0.13196480938416422</v>
      </c>
      <c r="P18" s="4">
        <v>12</v>
      </c>
      <c r="Q18" s="28">
        <f>IF(ISBLANK(omie!AF16),"",omie!AF16)</f>
        <v>69.86</v>
      </c>
      <c r="R18" s="78"/>
      <c r="S18" s="78"/>
      <c r="T18" s="28"/>
      <c r="U18"/>
    </row>
    <row r="19" spans="1:23" x14ac:dyDescent="0.2">
      <c r="A19" t="s">
        <v>1112</v>
      </c>
      <c r="B19" t="s">
        <v>784</v>
      </c>
      <c r="C19" s="28">
        <v>75.2</v>
      </c>
      <c r="D19" t="s">
        <v>118</v>
      </c>
      <c r="E19" t="s">
        <v>784</v>
      </c>
      <c r="F19" s="28">
        <f ca="1">apuestas_oct24[[#This Row],[Apuesta Miniporra]]-$B$3</f>
        <v>7</v>
      </c>
      <c r="G19" s="68">
        <f ca="1">ABS(apuestas_oct24[[#This Row],[desvio]])/$B$3</f>
        <v>0.10263929618768328</v>
      </c>
      <c r="H19" s="4">
        <f ca="1">_xlfn.RANK.EQ(apuestas_oct24[[#This Row],[desvio %]],apuestas_oct24[desvio %],1)</f>
        <v>24</v>
      </c>
      <c r="J19" s="66" t="s">
        <v>1112</v>
      </c>
      <c r="K19" s="10">
        <f ca="1">INDEX(apuestas_oct24[orden],MATCH(resultados_oct[Apuesta MiniPorra],apuestas_oct24[Apuesta Miniporra],0))</f>
        <v>24</v>
      </c>
      <c r="L19" s="6" t="str">
        <f>apuestas_oct24[[#This Row],[Nombre]]</f>
        <v>Paco Cuadrado</v>
      </c>
      <c r="M19" s="14">
        <f>apuestas_oct24[[#This Row],[Apuesta Miniporra]]</f>
        <v>75.2</v>
      </c>
      <c r="N19" s="14">
        <f ca="1">INDEX(apuestas_oct24[desvio],MATCH(resultados_oct[[#This Row],[Apuesta MiniPorra]],apuestas_oct24[Apuesta Miniporra],0))</f>
        <v>7</v>
      </c>
      <c r="O19" s="13">
        <f ca="1">INDEX(apuestas_oct24[desvio %],MATCH(resultados_oct[[#This Row],[Apuesta MiniPorra]],apuestas_oct24[Apuesta Miniporra],0))</f>
        <v>0.10263929618768328</v>
      </c>
      <c r="P19" s="4">
        <v>13</v>
      </c>
      <c r="Q19" s="28">
        <f>IF(ISBLANK(omie!AF17),"",omie!AF17)</f>
        <v>52.75</v>
      </c>
      <c r="R19" s="71"/>
      <c r="S19" s="71"/>
      <c r="T19" s="28"/>
      <c r="U19"/>
    </row>
    <row r="20" spans="1:23" x14ac:dyDescent="0.2">
      <c r="A20" t="s">
        <v>1112</v>
      </c>
      <c r="B20" t="s">
        <v>803</v>
      </c>
      <c r="C20" s="28">
        <v>74.19</v>
      </c>
      <c r="D20" t="s">
        <v>1122</v>
      </c>
      <c r="E20" t="s">
        <v>1123</v>
      </c>
      <c r="F20" s="28">
        <f ca="1">apuestas_oct24[[#This Row],[Apuesta Miniporra]]-$B$3</f>
        <v>5.9899999999999949</v>
      </c>
      <c r="G20" s="68">
        <f ca="1">ABS(apuestas_oct24[[#This Row],[desvio]])/$B$3</f>
        <v>8.7829912023460327E-2</v>
      </c>
      <c r="H20" s="4">
        <f ca="1">_xlfn.RANK.EQ(apuestas_oct24[[#This Row],[desvio %]],apuestas_oct24[desvio %],1)</f>
        <v>23</v>
      </c>
      <c r="J20" s="66" t="s">
        <v>1112</v>
      </c>
      <c r="K20" s="10">
        <f ca="1">INDEX(apuestas_oct24[orden],MATCH(resultados_oct[Apuesta MiniPorra],apuestas_oct24[Apuesta Miniporra],0))</f>
        <v>23</v>
      </c>
      <c r="L20" s="6" t="str">
        <f>apuestas_oct24[[#This Row],[Nombre]]</f>
        <v>Jorge González Arconada</v>
      </c>
      <c r="M20" s="14">
        <f>apuestas_oct24[[#This Row],[Apuesta Miniporra]]</f>
        <v>74.19</v>
      </c>
      <c r="N20" s="14">
        <f ca="1">INDEX(apuestas_oct24[desvio],MATCH(resultados_oct[[#This Row],[Apuesta MiniPorra]],apuestas_oct24[Apuesta Miniporra],0))</f>
        <v>5.9899999999999949</v>
      </c>
      <c r="O20" s="13">
        <f ca="1">INDEX(apuestas_oct24[desvio %],MATCH(resultados_oct[[#This Row],[Apuesta MiniPorra]],apuestas_oct24[Apuesta Miniporra],0))</f>
        <v>8.7829912023460327E-2</v>
      </c>
      <c r="P20" s="4">
        <v>14</v>
      </c>
      <c r="Q20" s="28">
        <f>IF(ISBLANK(omie!AF18),"",omie!AF18)</f>
        <v>104.17</v>
      </c>
      <c r="T20" s="28"/>
      <c r="U20" s="114"/>
      <c r="V20" s="114"/>
      <c r="W20" s="114"/>
    </row>
    <row r="21" spans="1:23" x14ac:dyDescent="0.2">
      <c r="A21" t="s">
        <v>1112</v>
      </c>
      <c r="B21" t="s">
        <v>381</v>
      </c>
      <c r="C21" s="28">
        <v>74.09</v>
      </c>
      <c r="D21" t="s">
        <v>1124</v>
      </c>
      <c r="E21" t="s">
        <v>37</v>
      </c>
      <c r="F21" s="28">
        <f ca="1">apuestas_oct24[[#This Row],[Apuesta Miniporra]]-$B$3</f>
        <v>5.8900000000000006</v>
      </c>
      <c r="G21" s="68">
        <f ca="1">ABS(apuestas_oct24[[#This Row],[desvio]])/$B$3</f>
        <v>8.6363636363636365E-2</v>
      </c>
      <c r="H21" s="4">
        <f ca="1">_xlfn.RANK.EQ(apuestas_oct24[[#This Row],[desvio %]],apuestas_oct24[desvio %],1)</f>
        <v>22</v>
      </c>
      <c r="J21" s="66" t="s">
        <v>1112</v>
      </c>
      <c r="K21" s="10">
        <f ca="1">INDEX(apuestas_oct24[orden],MATCH(resultados_oct[Apuesta MiniPorra],apuestas_oct24[Apuesta Miniporra],0))</f>
        <v>22</v>
      </c>
      <c r="L21" s="6" t="str">
        <f>apuestas_oct24[[#This Row],[Nombre]]</f>
        <v>Roberto Cavero García</v>
      </c>
      <c r="M21" s="14">
        <f>apuestas_oct24[[#This Row],[Apuesta Miniporra]]</f>
        <v>74.09</v>
      </c>
      <c r="N21" s="14">
        <f ca="1">INDEX(apuestas_oct24[desvio],MATCH(resultados_oct[[#This Row],[Apuesta MiniPorra]],apuestas_oct24[Apuesta Miniporra],0))</f>
        <v>5.8900000000000006</v>
      </c>
      <c r="O21" s="13">
        <f ca="1">INDEX(apuestas_oct24[desvio %],MATCH(resultados_oct[[#This Row],[Apuesta MiniPorra]],apuestas_oct24[Apuesta Miniporra],0))</f>
        <v>8.6363636363636365E-2</v>
      </c>
      <c r="P21" s="4">
        <v>15</v>
      </c>
      <c r="Q21" s="28">
        <f>IF(ISBLANK(omie!AF19),"",omie!AF19)</f>
        <v>87.23</v>
      </c>
      <c r="T21" s="28"/>
      <c r="U21" s="114"/>
      <c r="V21" s="114"/>
      <c r="W21" s="114"/>
    </row>
    <row r="22" spans="1:23" x14ac:dyDescent="0.2">
      <c r="A22" t="s">
        <v>1112</v>
      </c>
      <c r="B22" t="s">
        <v>942</v>
      </c>
      <c r="C22" s="28">
        <v>73.75</v>
      </c>
      <c r="D22" t="s">
        <v>118</v>
      </c>
      <c r="E22" t="s">
        <v>901</v>
      </c>
      <c r="F22" s="28">
        <f ca="1">apuestas_oct24[[#This Row],[Apuesta Miniporra]]-$B$3</f>
        <v>5.5499999999999972</v>
      </c>
      <c r="G22" s="68">
        <f ca="1">ABS(apuestas_oct24[[#This Row],[desvio]])/$B$3</f>
        <v>8.137829912023456E-2</v>
      </c>
      <c r="H22" s="4">
        <f ca="1">_xlfn.RANK.EQ(apuestas_oct24[[#This Row],[desvio %]],apuestas_oct24[desvio %],1)</f>
        <v>20</v>
      </c>
      <c r="J22" s="66" t="s">
        <v>1112</v>
      </c>
      <c r="K22" s="10">
        <f ca="1">INDEX(apuestas_oct24[orden],MATCH(resultados_oct[Apuesta MiniPorra],apuestas_oct24[Apuesta Miniporra],0))</f>
        <v>20</v>
      </c>
      <c r="L22" s="6" t="str">
        <f>apuestas_oct24[[#This Row],[Nombre]]</f>
        <v>Rafael Tejada Bonilla</v>
      </c>
      <c r="M22" s="14">
        <f>apuestas_oct24[[#This Row],[Apuesta Miniporra]]</f>
        <v>73.75</v>
      </c>
      <c r="N22" s="14">
        <f ca="1">INDEX(apuestas_oct24[desvio],MATCH(resultados_oct[[#This Row],[Apuesta MiniPorra]],apuestas_oct24[Apuesta Miniporra],0))</f>
        <v>5.5499999999999972</v>
      </c>
      <c r="O22" s="13">
        <f ca="1">INDEX(apuestas_oct24[desvio %],MATCH(resultados_oct[[#This Row],[Apuesta MiniPorra]],apuestas_oct24[Apuesta Miniporra],0))</f>
        <v>8.137829912023456E-2</v>
      </c>
      <c r="P22" s="4">
        <v>16</v>
      </c>
      <c r="Q22" s="28" t="str">
        <f>IF(ISBLANK(omie!AF20),"",omie!AF20)</f>
        <v/>
      </c>
      <c r="T22" s="28"/>
      <c r="U22" s="114"/>
      <c r="V22" s="114"/>
      <c r="W22" s="114"/>
    </row>
    <row r="23" spans="1:23" x14ac:dyDescent="0.2">
      <c r="A23" t="s">
        <v>1112</v>
      </c>
      <c r="B23" t="s">
        <v>1126</v>
      </c>
      <c r="C23" s="28">
        <v>72.58</v>
      </c>
      <c r="D23" t="s">
        <v>1127</v>
      </c>
      <c r="E23" t="s">
        <v>1128</v>
      </c>
      <c r="F23" s="28">
        <f ca="1">apuestas_oct24[[#This Row],[Apuesta Miniporra]]-$B$3</f>
        <v>4.3799999999999955</v>
      </c>
      <c r="G23" s="68">
        <f ca="1">ABS(apuestas_oct24[[#This Row],[desvio]])/$B$3</f>
        <v>6.4222873900293187E-2</v>
      </c>
      <c r="H23" s="4">
        <f ca="1">_xlfn.RANK.EQ(apuestas_oct24[[#This Row],[desvio %]],apuestas_oct24[desvio %],1)</f>
        <v>19</v>
      </c>
      <c r="J23" s="66" t="s">
        <v>1112</v>
      </c>
      <c r="K23" s="10">
        <f ca="1">INDEX(apuestas_oct24[orden],MATCH(resultados_oct[Apuesta MiniPorra],apuestas_oct24[Apuesta Miniporra],0))</f>
        <v>19</v>
      </c>
      <c r="L23" s="6" t="str">
        <f>apuestas_oct24[[#This Row],[Nombre]]</f>
        <v>Cristoauditor Monasor Merino</v>
      </c>
      <c r="M23" s="14">
        <f>apuestas_oct24[[#This Row],[Apuesta Miniporra]]</f>
        <v>72.58</v>
      </c>
      <c r="N23" s="14">
        <f ca="1">INDEX(apuestas_oct24[desvio],MATCH(resultados_oct[[#This Row],[Apuesta MiniPorra]],apuestas_oct24[Apuesta Miniporra],0))</f>
        <v>4.3799999999999955</v>
      </c>
      <c r="O23" s="13">
        <f ca="1">INDEX(apuestas_oct24[desvio %],MATCH(resultados_oct[[#This Row],[Apuesta MiniPorra]],apuestas_oct24[Apuesta Miniporra],0))</f>
        <v>6.4222873900293187E-2</v>
      </c>
      <c r="P23" s="4">
        <v>17</v>
      </c>
      <c r="Q23" s="28" t="str">
        <f>IF(ISBLANK(omie!AF22),"",omie!AF22)</f>
        <v/>
      </c>
      <c r="T23" s="28"/>
      <c r="U23"/>
    </row>
    <row r="24" spans="1:23" x14ac:dyDescent="0.2">
      <c r="A24" t="s">
        <v>1112</v>
      </c>
      <c r="B24" t="s">
        <v>408</v>
      </c>
      <c r="C24" s="28">
        <v>72.45</v>
      </c>
      <c r="D24" t="s">
        <v>1129</v>
      </c>
      <c r="E24" t="s">
        <v>456</v>
      </c>
      <c r="F24" s="28">
        <f ca="1">apuestas_oct24[[#This Row],[Apuesta Miniporra]]-$B$3</f>
        <v>4.25</v>
      </c>
      <c r="G24" s="68">
        <f ca="1">ABS(apuestas_oct24[[#This Row],[desvio]])/$B$3</f>
        <v>6.2316715542521994E-2</v>
      </c>
      <c r="H24" s="4">
        <f ca="1">_xlfn.RANK.EQ(apuestas_oct24[[#This Row],[desvio %]],apuestas_oct24[desvio %],1)</f>
        <v>18</v>
      </c>
      <c r="J24" s="66" t="s">
        <v>1112</v>
      </c>
      <c r="K24" s="10">
        <f ca="1">INDEX(apuestas_oct24[orden],MATCH(resultados_oct[Apuesta MiniPorra],apuestas_oct24[Apuesta Miniporra],0))</f>
        <v>18</v>
      </c>
      <c r="L24" s="6" t="str">
        <f>apuestas_oct24[[#This Row],[Nombre]]</f>
        <v>Julián Mateo Muñoz</v>
      </c>
      <c r="M24" s="14">
        <f>apuestas_oct24[[#This Row],[Apuesta Miniporra]]</f>
        <v>72.45</v>
      </c>
      <c r="N24" s="14">
        <f ca="1">INDEX(apuestas_oct24[desvio],MATCH(resultados_oct[[#This Row],[Apuesta MiniPorra]],apuestas_oct24[Apuesta Miniporra],0))</f>
        <v>4.25</v>
      </c>
      <c r="O24" s="13">
        <f ca="1">INDEX(apuestas_oct24[desvio %],MATCH(resultados_oct[[#This Row],[Apuesta MiniPorra]],apuestas_oct24[Apuesta Miniporra],0))</f>
        <v>6.2316715542521994E-2</v>
      </c>
      <c r="P24" s="4">
        <v>18</v>
      </c>
      <c r="Q24" s="28" t="str">
        <f>IF(ISBLANK(omie!AF23),"",omie!AF23)</f>
        <v/>
      </c>
      <c r="T24" s="28"/>
      <c r="U24"/>
    </row>
    <row r="25" spans="1:23" x14ac:dyDescent="0.2">
      <c r="A25" t="s">
        <v>1112</v>
      </c>
      <c r="B25" t="s">
        <v>219</v>
      </c>
      <c r="C25" s="28">
        <v>72.22</v>
      </c>
      <c r="D25" t="s">
        <v>118</v>
      </c>
      <c r="E25" t="s">
        <v>451</v>
      </c>
      <c r="F25" s="28">
        <f ca="1">apuestas_oct24[[#This Row],[Apuesta Miniporra]]-$B$3</f>
        <v>4.019999999999996</v>
      </c>
      <c r="G25" s="68">
        <f ca="1">ABS(apuestas_oct24[[#This Row],[desvio]])/$B$3</f>
        <v>5.8944281524926624E-2</v>
      </c>
      <c r="H25" s="4">
        <f ca="1">_xlfn.RANK.EQ(apuestas_oct24[[#This Row],[desvio %]],apuestas_oct24[desvio %],1)</f>
        <v>17</v>
      </c>
      <c r="J25" s="66" t="s">
        <v>1112</v>
      </c>
      <c r="K25" s="10">
        <f ca="1">INDEX(apuestas_oct24[orden],MATCH(resultados_oct[Apuesta MiniPorra],apuestas_oct24[Apuesta Miniporra],0))</f>
        <v>17</v>
      </c>
      <c r="L25" s="6" t="str">
        <f>apuestas_oct24[[#This Row],[Nombre]]</f>
        <v>Jaime Larrañaga Juez</v>
      </c>
      <c r="M25" s="14">
        <f>apuestas_oct24[[#This Row],[Apuesta Miniporra]]</f>
        <v>72.22</v>
      </c>
      <c r="N25" s="14">
        <f ca="1">INDEX(apuestas_oct24[desvio],MATCH(resultados_oct[[#This Row],[Apuesta MiniPorra]],apuestas_oct24[Apuesta Miniporra],0))</f>
        <v>4.019999999999996</v>
      </c>
      <c r="O25" s="13">
        <f ca="1">INDEX(apuestas_oct24[desvio %],MATCH(resultados_oct[[#This Row],[Apuesta MiniPorra]],apuestas_oct24[Apuesta Miniporra],0))</f>
        <v>5.8944281524926624E-2</v>
      </c>
      <c r="P25" s="4">
        <v>19</v>
      </c>
      <c r="Q25" s="28" t="str">
        <f>IF(ISBLANK(omie!AF24),"",omie!AF24)</f>
        <v/>
      </c>
      <c r="T25" s="28"/>
      <c r="U25"/>
    </row>
    <row r="26" spans="1:23" x14ac:dyDescent="0.2">
      <c r="A26" t="s">
        <v>1112</v>
      </c>
      <c r="B26" t="s">
        <v>652</v>
      </c>
      <c r="C26" s="28">
        <v>71.739999999999995</v>
      </c>
      <c r="D26" t="s">
        <v>118</v>
      </c>
      <c r="E26" t="s">
        <v>637</v>
      </c>
      <c r="F26" s="28">
        <f ca="1">apuestas_oct24[[#This Row],[Apuesta Miniporra]]-$B$3</f>
        <v>3.539999999999992</v>
      </c>
      <c r="G26" s="68">
        <f ca="1">ABS(apuestas_oct24[[#This Row],[desvio]])/$B$3</f>
        <v>5.190615835777114E-2</v>
      </c>
      <c r="H26" s="4">
        <f ca="1">_xlfn.RANK.EQ(apuestas_oct24[[#This Row],[desvio %]],apuestas_oct24[desvio %],1)</f>
        <v>16</v>
      </c>
      <c r="J26" s="66" t="s">
        <v>1112</v>
      </c>
      <c r="K26" s="10">
        <f ca="1">INDEX(apuestas_oct24[orden],MATCH(resultados_oct[Apuesta MiniPorra],apuestas_oct24[Apuesta Miniporra],0))</f>
        <v>16</v>
      </c>
      <c r="L26" s="6" t="str">
        <f>apuestas_oct24[[#This Row],[Nombre]]</f>
        <v>Carlos Martin</v>
      </c>
      <c r="M26" s="14">
        <f>apuestas_oct24[[#This Row],[Apuesta Miniporra]]</f>
        <v>71.739999999999995</v>
      </c>
      <c r="N26" s="14">
        <f ca="1">INDEX(apuestas_oct24[desvio],MATCH(resultados_oct[[#This Row],[Apuesta MiniPorra]],apuestas_oct24[Apuesta Miniporra],0))</f>
        <v>3.539999999999992</v>
      </c>
      <c r="O26" s="13">
        <f ca="1">INDEX(apuestas_oct24[desvio %],MATCH(resultados_oct[[#This Row],[Apuesta MiniPorra]],apuestas_oct24[Apuesta Miniporra],0))</f>
        <v>5.190615835777114E-2</v>
      </c>
      <c r="P26" s="4">
        <v>20</v>
      </c>
      <c r="Q26" s="28" t="str">
        <f>IF(ISBLANK(omie!AF25),"",omie!AF25)</f>
        <v/>
      </c>
      <c r="T26" s="28"/>
      <c r="U26"/>
    </row>
    <row r="27" spans="1:23" x14ac:dyDescent="0.2">
      <c r="A27" t="s">
        <v>1112</v>
      </c>
      <c r="B27" t="s">
        <v>474</v>
      </c>
      <c r="C27" s="28">
        <v>71.010000000000005</v>
      </c>
      <c r="D27" t="s">
        <v>118</v>
      </c>
      <c r="E27" t="s">
        <v>535</v>
      </c>
      <c r="F27" s="28">
        <f ca="1">apuestas_oct24[[#This Row],[Apuesta Miniporra]]-$B$3</f>
        <v>2.8100000000000023</v>
      </c>
      <c r="G27" s="68">
        <f ca="1">ABS(apuestas_oct24[[#This Row],[desvio]])/$B$3</f>
        <v>4.120234604105575E-2</v>
      </c>
      <c r="H27" s="4">
        <f ca="1">_xlfn.RANK.EQ(apuestas_oct24[[#This Row],[desvio %]],apuestas_oct24[desvio %],1)</f>
        <v>13</v>
      </c>
      <c r="J27" s="66" t="s">
        <v>1112</v>
      </c>
      <c r="K27" s="10">
        <f ca="1">INDEX(apuestas_oct24[orden],MATCH(resultados_oct[Apuesta MiniPorra],apuestas_oct24[Apuesta Miniporra],0))</f>
        <v>13</v>
      </c>
      <c r="L27" s="6" t="str">
        <f>apuestas_oct24[[#This Row],[Nombre]]</f>
        <v>Javier Colón Cortegoso</v>
      </c>
      <c r="M27" s="14">
        <f>apuestas_oct24[[#This Row],[Apuesta Miniporra]]</f>
        <v>71.010000000000005</v>
      </c>
      <c r="N27" s="14">
        <f ca="1">INDEX(apuestas_oct24[desvio],MATCH(resultados_oct[[#This Row],[Apuesta MiniPorra]],apuestas_oct24[Apuesta Miniporra],0))</f>
        <v>2.8100000000000023</v>
      </c>
      <c r="O27" s="13">
        <f ca="1">INDEX(apuestas_oct24[desvio %],MATCH(resultados_oct[[#This Row],[Apuesta MiniPorra]],apuestas_oct24[Apuesta Miniporra],0))</f>
        <v>4.120234604105575E-2</v>
      </c>
      <c r="P27" s="4">
        <v>21</v>
      </c>
      <c r="Q27" s="28" t="str">
        <f>IF(ISBLANK(omie!AF26),"",omie!AF26)</f>
        <v/>
      </c>
      <c r="T27" s="28"/>
      <c r="U27"/>
    </row>
    <row r="28" spans="1:23" x14ac:dyDescent="0.2">
      <c r="A28" t="s">
        <v>1112</v>
      </c>
      <c r="B28" t="s">
        <v>414</v>
      </c>
      <c r="C28" s="28">
        <v>70.3</v>
      </c>
      <c r="D28" t="s">
        <v>118</v>
      </c>
      <c r="E28" t="s">
        <v>300</v>
      </c>
      <c r="F28" s="28">
        <f ca="1">apuestas_oct24[[#This Row],[Apuesta Miniporra]]-$B$3</f>
        <v>2.0999999999999943</v>
      </c>
      <c r="G28" s="68">
        <f ca="1">ABS(apuestas_oct24[[#This Row],[desvio]])/$B$3</f>
        <v>3.0791788856304899E-2</v>
      </c>
      <c r="H28" s="4">
        <f ca="1">_xlfn.RANK.EQ(apuestas_oct24[[#This Row],[desvio %]],apuestas_oct24[desvio %],1)</f>
        <v>12</v>
      </c>
      <c r="J28" s="66" t="s">
        <v>1112</v>
      </c>
      <c r="K28" s="10">
        <f ca="1">INDEX(apuestas_oct24[orden],MATCH(resultados_oct[Apuesta MiniPorra],apuestas_oct24[Apuesta Miniporra],0))</f>
        <v>12</v>
      </c>
      <c r="L28" s="6" t="str">
        <f>apuestas_oct24[[#This Row],[Nombre]]</f>
        <v>Laura Gómez López</v>
      </c>
      <c r="M28" s="14">
        <f>apuestas_oct24[[#This Row],[Apuesta Miniporra]]</f>
        <v>70.3</v>
      </c>
      <c r="N28" s="14">
        <f ca="1">INDEX(apuestas_oct24[desvio],MATCH(resultados_oct[[#This Row],[Apuesta MiniPorra]],apuestas_oct24[Apuesta Miniporra],0))</f>
        <v>2.0999999999999943</v>
      </c>
      <c r="O28" s="13">
        <f ca="1">INDEX(apuestas_oct24[desvio %],MATCH(resultados_oct[[#This Row],[Apuesta MiniPorra]],apuestas_oct24[Apuesta Miniporra],0))</f>
        <v>3.0791788856304899E-2</v>
      </c>
      <c r="P28" s="4">
        <v>22</v>
      </c>
      <c r="Q28" s="28" t="str">
        <f>IF(ISBLANK(omie!AF27),"",omie!AF27)</f>
        <v/>
      </c>
      <c r="T28" s="28"/>
      <c r="U28"/>
    </row>
    <row r="29" spans="1:23" x14ac:dyDescent="0.2">
      <c r="A29" t="s">
        <v>1112</v>
      </c>
      <c r="B29" t="s">
        <v>542</v>
      </c>
      <c r="C29" s="28">
        <v>70.069999999999993</v>
      </c>
      <c r="D29" t="s">
        <v>1130</v>
      </c>
      <c r="E29" t="s">
        <v>542</v>
      </c>
      <c r="F29" s="28">
        <f ca="1">apuestas_oct24[[#This Row],[Apuesta Miniporra]]-$B$3</f>
        <v>1.8699999999999903</v>
      </c>
      <c r="G29" s="68">
        <f ca="1">ABS(apuestas_oct24[[#This Row],[desvio]])/$B$3</f>
        <v>2.7419354838709536E-2</v>
      </c>
      <c r="H29" s="4">
        <f ca="1">_xlfn.RANK.EQ(apuestas_oct24[[#This Row],[desvio %]],apuestas_oct24[desvio %],1)</f>
        <v>10</v>
      </c>
      <c r="J29" s="66" t="s">
        <v>1112</v>
      </c>
      <c r="K29" s="10">
        <f ca="1">INDEX(apuestas_oct24[orden],MATCH(resultados_oct[Apuesta MiniPorra],apuestas_oct24[Apuesta Miniporra],0))</f>
        <v>10</v>
      </c>
      <c r="L29" s="6" t="str">
        <f>apuestas_oct24[[#This Row],[Nombre]]</f>
        <v>Sergio Alfonso</v>
      </c>
      <c r="M29" s="14">
        <f>apuestas_oct24[[#This Row],[Apuesta Miniporra]]</f>
        <v>70.069999999999993</v>
      </c>
      <c r="N29" s="14">
        <f ca="1">INDEX(apuestas_oct24[desvio],MATCH(resultados_oct[[#This Row],[Apuesta MiniPorra]],apuestas_oct24[Apuesta Miniporra],0))</f>
        <v>1.8699999999999903</v>
      </c>
      <c r="O29" s="13">
        <f ca="1">INDEX(apuestas_oct24[desvio %],MATCH(resultados_oct[[#This Row],[Apuesta MiniPorra]],apuestas_oct24[Apuesta Miniporra],0))</f>
        <v>2.7419354838709536E-2</v>
      </c>
      <c r="P29" s="4">
        <v>23</v>
      </c>
      <c r="Q29" s="28" t="str">
        <f>IF(ISBLANK(omie!AF28),"",omie!AF28)</f>
        <v/>
      </c>
      <c r="T29" s="28"/>
      <c r="U29"/>
    </row>
    <row r="30" spans="1:23" x14ac:dyDescent="0.2">
      <c r="A30" t="s">
        <v>1112</v>
      </c>
      <c r="B30" t="s">
        <v>406</v>
      </c>
      <c r="C30" s="28">
        <v>70</v>
      </c>
      <c r="D30" t="s">
        <v>118</v>
      </c>
      <c r="E30" t="s">
        <v>471</v>
      </c>
      <c r="F30" s="28">
        <f ca="1">apuestas_oct24[[#This Row],[Apuesta Miniporra]]-$B$3</f>
        <v>1.7999999999999972</v>
      </c>
      <c r="G30" s="68">
        <f ca="1">ABS(apuestas_oct24[[#This Row],[desvio]])/$B$3</f>
        <v>2.63929618768328E-2</v>
      </c>
      <c r="H30" s="4">
        <f ca="1">_xlfn.RANK.EQ(apuestas_oct24[[#This Row],[desvio %]],apuestas_oct24[desvio %],1)</f>
        <v>8</v>
      </c>
      <c r="J30" s="66" t="s">
        <v>1112</v>
      </c>
      <c r="K30" s="10">
        <f ca="1">INDEX(apuestas_oct24[orden],MATCH(resultados_oct[Apuesta MiniPorra],apuestas_oct24[Apuesta Miniporra],0))</f>
        <v>8</v>
      </c>
      <c r="L30" s="6" t="str">
        <f>apuestas_oct24[[#This Row],[Nombre]]</f>
        <v>Javier Pérez Salazar</v>
      </c>
      <c r="M30" s="14">
        <f>apuestas_oct24[[#This Row],[Apuesta Miniporra]]</f>
        <v>70</v>
      </c>
      <c r="N30" s="14">
        <f ca="1">INDEX(apuestas_oct24[desvio],MATCH(resultados_oct[[#This Row],[Apuesta MiniPorra]],apuestas_oct24[Apuesta Miniporra],0))</f>
        <v>1.7999999999999972</v>
      </c>
      <c r="O30" s="13">
        <f ca="1">INDEX(apuestas_oct24[desvio %],MATCH(resultados_oct[[#This Row],[Apuesta MiniPorra]],apuestas_oct24[Apuesta Miniporra],0))</f>
        <v>2.63929618768328E-2</v>
      </c>
      <c r="P30" s="4">
        <v>24</v>
      </c>
      <c r="Q30" s="28" t="str">
        <f>IF(ISBLANK(omie!AF29),"",omie!AF29)</f>
        <v/>
      </c>
      <c r="T30" s="28"/>
      <c r="U30"/>
    </row>
    <row r="31" spans="1:23" x14ac:dyDescent="0.2">
      <c r="A31" t="s">
        <v>1112</v>
      </c>
      <c r="B31" t="s">
        <v>217</v>
      </c>
      <c r="C31" s="28">
        <v>69.959999999999994</v>
      </c>
      <c r="D31" t="s">
        <v>118</v>
      </c>
      <c r="E31" t="s">
        <v>123</v>
      </c>
      <c r="F31" s="28">
        <f ca="1">apuestas_oct24[[#This Row],[Apuesta Miniporra]]-$B$3</f>
        <v>1.7599999999999909</v>
      </c>
      <c r="G31" s="68">
        <f ca="1">ABS(apuestas_oct24[[#This Row],[desvio]])/$B$3</f>
        <v>2.580645161290309E-2</v>
      </c>
      <c r="H31" s="4">
        <f ca="1">_xlfn.RANK.EQ(apuestas_oct24[[#This Row],[desvio %]],apuestas_oct24[desvio %],1)</f>
        <v>7</v>
      </c>
      <c r="J31" s="66" t="s">
        <v>1112</v>
      </c>
      <c r="K31" s="10">
        <f ca="1">INDEX(apuestas_oct24[orden],MATCH(resultados_oct[Apuesta MiniPorra],apuestas_oct24[Apuesta Miniporra],0))</f>
        <v>7</v>
      </c>
      <c r="L31" s="6" t="str">
        <f>apuestas_oct24[[#This Row],[Nombre]]</f>
        <v>Fernando Sánchez-Rey Maeso</v>
      </c>
      <c r="M31" s="14">
        <f>apuestas_oct24[[#This Row],[Apuesta Miniporra]]</f>
        <v>69.959999999999994</v>
      </c>
      <c r="N31" s="14">
        <f ca="1">INDEX(apuestas_oct24[desvio],MATCH(resultados_oct[[#This Row],[Apuesta MiniPorra]],apuestas_oct24[Apuesta Miniporra],0))</f>
        <v>1.7599999999999909</v>
      </c>
      <c r="O31" s="13">
        <f ca="1">INDEX(apuestas_oct24[desvio %],MATCH(resultados_oct[[#This Row],[Apuesta MiniPorra]],apuestas_oct24[Apuesta Miniporra],0))</f>
        <v>2.580645161290309E-2</v>
      </c>
      <c r="P31" s="4">
        <v>25</v>
      </c>
      <c r="Q31" s="28" t="str">
        <f>IF(ISBLANK(omie!AF30),"",omie!AF30)</f>
        <v/>
      </c>
      <c r="T31" s="28"/>
      <c r="U31"/>
    </row>
    <row r="32" spans="1:23" x14ac:dyDescent="0.2">
      <c r="A32" t="s">
        <v>1112</v>
      </c>
      <c r="B32" t="s">
        <v>785</v>
      </c>
      <c r="C32" s="28">
        <v>69.36</v>
      </c>
      <c r="D32" t="s">
        <v>118</v>
      </c>
      <c r="E32" t="s">
        <v>733</v>
      </c>
      <c r="F32" s="28">
        <f ca="1">apuestas_oct24[[#This Row],[Apuesta Miniporra]]-$B$3</f>
        <v>1.1599999999999966</v>
      </c>
      <c r="G32" s="68">
        <f ca="1">ABS(apuestas_oct24[[#This Row],[desvio]])/$B$3</f>
        <v>1.7008797653958893E-2</v>
      </c>
      <c r="H32" s="4">
        <f ca="1">_xlfn.RANK.EQ(apuestas_oct24[[#This Row],[desvio %]],apuestas_oct24[desvio %],1)</f>
        <v>6</v>
      </c>
      <c r="J32" s="66" t="s">
        <v>1112</v>
      </c>
      <c r="K32" s="10">
        <f ca="1">INDEX(apuestas_oct24[orden],MATCH(resultados_oct[Apuesta MiniPorra],apuestas_oct24[Apuesta Miniporra],0))</f>
        <v>6</v>
      </c>
      <c r="L32" s="6" t="str">
        <f>apuestas_oct24[[#This Row],[Nombre]]</f>
        <v>Víctor Baeschlin Sánchez</v>
      </c>
      <c r="M32" s="14">
        <f>apuestas_oct24[[#This Row],[Apuesta Miniporra]]</f>
        <v>69.36</v>
      </c>
      <c r="N32" s="14">
        <f ca="1">INDEX(apuestas_oct24[desvio],MATCH(resultados_oct[[#This Row],[Apuesta MiniPorra]],apuestas_oct24[Apuesta Miniporra],0))</f>
        <v>1.1599999999999966</v>
      </c>
      <c r="O32" s="13">
        <f ca="1">INDEX(apuestas_oct24[desvio %],MATCH(resultados_oct[[#This Row],[Apuesta MiniPorra]],apuestas_oct24[Apuesta Miniporra],0))</f>
        <v>1.7008797653958893E-2</v>
      </c>
      <c r="P32" s="4">
        <v>26</v>
      </c>
      <c r="Q32" s="28" t="str">
        <f>IF(ISBLANK(omie!AF31),"",omie!AF31)</f>
        <v/>
      </c>
      <c r="T32" s="28"/>
      <c r="U32"/>
    </row>
    <row r="33" spans="1:21" x14ac:dyDescent="0.2">
      <c r="A33" t="s">
        <v>1112</v>
      </c>
      <c r="B33" t="s">
        <v>409</v>
      </c>
      <c r="C33" s="28">
        <v>69.08</v>
      </c>
      <c r="D33" t="s">
        <v>1132</v>
      </c>
      <c r="E33" t="s">
        <v>462</v>
      </c>
      <c r="F33" s="28">
        <f ca="1">apuestas_oct24[[#This Row],[Apuesta Miniporra]]-$B$3</f>
        <v>0.87999999999999545</v>
      </c>
      <c r="G33" s="68">
        <f ca="1">ABS(apuestas_oct24[[#This Row],[desvio]])/$B$3</f>
        <v>1.2903225806451545E-2</v>
      </c>
      <c r="H33" s="4">
        <f ca="1">_xlfn.RANK.EQ(apuestas_oct24[[#This Row],[desvio %]],apuestas_oct24[desvio %],1)</f>
        <v>5</v>
      </c>
      <c r="J33" s="66" t="s">
        <v>1112</v>
      </c>
      <c r="K33" s="10">
        <f ca="1">INDEX(apuestas_oct24[orden],MATCH(resultados_oct[Apuesta MiniPorra],apuestas_oct24[Apuesta Miniporra],0))</f>
        <v>5</v>
      </c>
      <c r="L33" s="6" t="str">
        <f>apuestas_oct24[[#This Row],[Nombre]]</f>
        <v>Gladys Rocha Blanco</v>
      </c>
      <c r="M33" s="14">
        <f>apuestas_oct24[[#This Row],[Apuesta Miniporra]]</f>
        <v>69.08</v>
      </c>
      <c r="N33" s="14">
        <f ca="1">INDEX(apuestas_oct24[desvio],MATCH(resultados_oct[[#This Row],[Apuesta MiniPorra]],apuestas_oct24[Apuesta Miniporra],0))</f>
        <v>0.87999999999999545</v>
      </c>
      <c r="O33" s="13">
        <f ca="1">INDEX(apuestas_oct24[desvio %],MATCH(resultados_oct[[#This Row],[Apuesta MiniPorra]],apuestas_oct24[Apuesta Miniporra],0))</f>
        <v>1.2903225806451545E-2</v>
      </c>
      <c r="P33" s="4">
        <v>27</v>
      </c>
      <c r="Q33" s="28" t="str">
        <f>IF(ISBLANK(omie!AF32),"",omie!AF32)</f>
        <v/>
      </c>
      <c r="T33" s="28"/>
      <c r="U33"/>
    </row>
    <row r="34" spans="1:21" x14ac:dyDescent="0.2">
      <c r="A34" t="s">
        <v>1112</v>
      </c>
      <c r="B34" t="s">
        <v>328</v>
      </c>
      <c r="C34" s="28">
        <v>69.03</v>
      </c>
      <c r="D34" t="s">
        <v>118</v>
      </c>
      <c r="E34" t="s">
        <v>328</v>
      </c>
      <c r="F34" s="28">
        <f ca="1">apuestas_oct24[[#This Row],[Apuesta Miniporra]]-$B$3</f>
        <v>0.82999999999999829</v>
      </c>
      <c r="G34" s="68">
        <f ca="1">ABS(apuestas_oct24[[#This Row],[desvio]])/$B$3</f>
        <v>1.2170087976539564E-2</v>
      </c>
      <c r="H34" s="4">
        <f ca="1">_xlfn.RANK.EQ(apuestas_oct24[[#This Row],[desvio %]],apuestas_oct24[desvio %],1)</f>
        <v>4</v>
      </c>
      <c r="J34" s="66" t="s">
        <v>1112</v>
      </c>
      <c r="K34" s="10">
        <f ca="1">INDEX(apuestas_oct24[orden],MATCH(resultados_oct[Apuesta MiniPorra],apuestas_oct24[Apuesta Miniporra],0))</f>
        <v>4</v>
      </c>
      <c r="L34" s="6" t="str">
        <f>apuestas_oct24[[#This Row],[Nombre]]</f>
        <v>Aitor Folch</v>
      </c>
      <c r="M34" s="14">
        <f>apuestas_oct24[[#This Row],[Apuesta Miniporra]]</f>
        <v>69.03</v>
      </c>
      <c r="N34" s="14">
        <f ca="1">INDEX(apuestas_oct24[desvio],MATCH(resultados_oct[[#This Row],[Apuesta MiniPorra]],apuestas_oct24[Apuesta Miniporra],0))</f>
        <v>0.82999999999999829</v>
      </c>
      <c r="O34" s="13">
        <f ca="1">INDEX(apuestas_oct24[desvio %],MATCH(resultados_oct[[#This Row],[Apuesta MiniPorra]],apuestas_oct24[Apuesta Miniporra],0))</f>
        <v>1.2170087976539564E-2</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0.48000000000000398</v>
      </c>
      <c r="G35" s="68">
        <f ca="1">ABS(apuestas_oct24[[#This Row],[desvio]])/$B$3</f>
        <v>7.0381231671554833E-3</v>
      </c>
      <c r="H35" s="4">
        <f ca="1">_xlfn.RANK.EQ(apuestas_oct24[[#This Row],[desvio %]],apuestas_oct24[desvio %],1)</f>
        <v>3</v>
      </c>
      <c r="J35" s="66" t="s">
        <v>1112</v>
      </c>
      <c r="K35" s="10">
        <f ca="1">INDEX(apuestas_oct24[orden],MATCH(resultados_oct[Apuesta MiniPorra],apuestas_oct24[Apuesta Miniporra],0))</f>
        <v>3</v>
      </c>
      <c r="L35" s="6" t="str">
        <f>apuestas_oct24[[#This Row],[Nombre]]</f>
        <v>Beatriz Muñoz Rioboo</v>
      </c>
      <c r="M35" s="14">
        <f>apuestas_oct24[[#This Row],[Apuesta Miniporra]]</f>
        <v>68.680000000000007</v>
      </c>
      <c r="N35" s="14">
        <f ca="1">INDEX(apuestas_oct24[desvio],MATCH(resultados_oct[[#This Row],[Apuesta MiniPorra]],apuestas_oct24[Apuesta Miniporra],0))</f>
        <v>0.48000000000000398</v>
      </c>
      <c r="O35" s="13">
        <f ca="1">INDEX(apuestas_oct24[desvio %],MATCH(resultados_oct[[#This Row],[Apuesta MiniPorra]],apuestas_oct24[Apuesta Miniporra],0))</f>
        <v>7.0381231671554833E-3</v>
      </c>
      <c r="P35" s="4">
        <v>29</v>
      </c>
      <c r="Q35" s="28" t="str">
        <f>IF(ISBLANK(omie!AF34),"",omie!AF34)</f>
        <v/>
      </c>
      <c r="T35" s="28"/>
      <c r="U35"/>
    </row>
    <row r="36" spans="1:21" x14ac:dyDescent="0.2">
      <c r="A36" t="s">
        <v>1112</v>
      </c>
      <c r="B36" t="s">
        <v>222</v>
      </c>
      <c r="C36" s="28">
        <v>68.08</v>
      </c>
      <c r="D36" t="s">
        <v>1133</v>
      </c>
      <c r="E36" t="s">
        <v>178</v>
      </c>
      <c r="F36" s="28">
        <f ca="1">apuestas_oct24[[#This Row],[Apuesta Miniporra]]-$B$3</f>
        <v>-0.12000000000000455</v>
      </c>
      <c r="G36" s="68">
        <f ca="1">ABS(apuestas_oct24[[#This Row],[desvio]])/$B$3</f>
        <v>1.7595307917889229E-3</v>
      </c>
      <c r="H36" s="4">
        <f ca="1">_xlfn.RANK.EQ(apuestas_oct24[[#This Row],[desvio %]],apuestas_oct24[desvio %],1)</f>
        <v>1</v>
      </c>
      <c r="J36" s="66" t="s">
        <v>1112</v>
      </c>
      <c r="K36" s="4">
        <f ca="1">INDEX(apuestas_oct24[orden],MATCH(resultados_oct[Apuesta MiniPorra],apuestas_oct24[Apuesta Miniporra],0))</f>
        <v>1</v>
      </c>
      <c r="L36" s="63" t="str">
        <f>apuestas_oct24[[#This Row],[Nombre]]</f>
        <v>Jose F Vidal</v>
      </c>
      <c r="M36" s="28">
        <f>apuestas_oct24[[#This Row],[Apuesta Miniporra]]</f>
        <v>68.08</v>
      </c>
      <c r="N36" s="4">
        <f ca="1">INDEX(apuestas_oct24[desvio],MATCH(resultados_oct[[#This Row],[Apuesta MiniPorra]],apuestas_oct24[Apuesta Miniporra],0))</f>
        <v>-0.12000000000000455</v>
      </c>
      <c r="O36" s="13">
        <f ca="1">INDEX(apuestas_oct24[desvio %],MATCH(resultados_oct[[#This Row],[Apuesta MiniPorra]],apuestas_oct24[Apuesta Miniporra],0))</f>
        <v>1.7595307917889229E-3</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-0.35000000000000853</v>
      </c>
      <c r="G37" s="68">
        <f ca="1">ABS(apuestas_oct24[[#This Row],[desvio]])/$B$3</f>
        <v>5.1319648093842889E-3</v>
      </c>
      <c r="H37" s="4">
        <f ca="1">_xlfn.RANK.EQ(apuestas_oct24[[#This Row],[desvio %]],apuestas_oct24[desvio %],1)</f>
        <v>2</v>
      </c>
      <c r="J37" s="66" t="s">
        <v>1112</v>
      </c>
      <c r="K37" s="4">
        <f ca="1">INDEX(apuestas_oct24[orden],MATCH(resultados_oct[Apuesta MiniPorra],apuestas_oct24[Apuesta Miniporra],0))</f>
        <v>2</v>
      </c>
      <c r="L37" s="63" t="str">
        <f>apuestas_oct24[[#This Row],[Nombre]]</f>
        <v>Alfonso Lezcano</v>
      </c>
      <c r="M37" s="28">
        <f>apuestas_oct24[[#This Row],[Apuesta Miniporra]]</f>
        <v>67.849999999999994</v>
      </c>
      <c r="N37" s="4">
        <f ca="1">INDEX(apuestas_oct24[desvio],MATCH(resultados_oct[[#This Row],[Apuesta MiniPorra]],apuestas_oct24[Apuesta Miniporra],0))</f>
        <v>-0.35000000000000853</v>
      </c>
      <c r="O37" s="13">
        <f ca="1">INDEX(apuestas_oct24[desvio %],MATCH(resultados_oct[[#This Row],[Apuesta MiniPorra]],apuestas_oct24[Apuesta Miniporra],0))</f>
        <v>5.1319648093842889E-3</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-1.7999999999999972</v>
      </c>
      <c r="G38" s="68">
        <f ca="1">ABS(apuestas_oct24[[#This Row],[desvio]])/$B$3</f>
        <v>2.63929618768328E-2</v>
      </c>
      <c r="H38" s="4">
        <f ca="1">_xlfn.RANK.EQ(apuestas_oct24[[#This Row],[desvio %]],apuestas_oct24[desvio %],1)</f>
        <v>8</v>
      </c>
      <c r="J38" s="66" t="s">
        <v>1112</v>
      </c>
      <c r="K38" s="4">
        <f ca="1">INDEX(apuestas_oct24[orden],MATCH(resultados_oct[Apuesta MiniPorra],apuestas_oct24[Apuesta Miniporra],0))</f>
        <v>8</v>
      </c>
      <c r="L38" s="63" t="str">
        <f>apuestas_oct24[[#This Row],[Nombre]]</f>
        <v>Roque Alonso Alonso</v>
      </c>
      <c r="M38" s="28">
        <f>apuestas_oct24[[#This Row],[Apuesta Miniporra]]</f>
        <v>66.400000000000006</v>
      </c>
      <c r="N38" s="4">
        <f ca="1">INDEX(apuestas_oct24[desvio],MATCH(resultados_oct[[#This Row],[Apuesta MiniPorra]],apuestas_oct24[Apuesta Miniporra],0))</f>
        <v>-1.7999999999999972</v>
      </c>
      <c r="O38" s="13">
        <f ca="1">INDEX(apuestas_oct24[desvio %],MATCH(resultados_oct[[#This Row],[Apuesta MiniPorra]],apuestas_oct24[Apuesta Miniporra],0))</f>
        <v>2.63929618768328E-2</v>
      </c>
      <c r="Q38" s="78"/>
      <c r="U38" s="42"/>
    </row>
    <row r="39" spans="1:21" x14ac:dyDescent="0.2">
      <c r="A39" t="s">
        <v>1112</v>
      </c>
      <c r="B39" t="s">
        <v>1103</v>
      </c>
      <c r="C39" s="28">
        <v>66.25</v>
      </c>
      <c r="D39" t="s">
        <v>118</v>
      </c>
      <c r="E39" t="s">
        <v>1103</v>
      </c>
      <c r="F39" s="28">
        <f ca="1">apuestas_oct24[[#This Row],[Apuesta Miniporra]]-$B$3</f>
        <v>-1.9500000000000028</v>
      </c>
      <c r="G39" s="68">
        <f ca="1">ABS(apuestas_oct24[[#This Row],[desvio]])/$B$3</f>
        <v>2.8592375366568955E-2</v>
      </c>
      <c r="H39" s="4">
        <f ca="1">_xlfn.RANK.EQ(apuestas_oct24[[#This Row],[desvio %]],apuestas_oct24[desvio %],1)</f>
        <v>11</v>
      </c>
      <c r="J39" s="66" t="s">
        <v>1112</v>
      </c>
      <c r="K39" s="4">
        <f ca="1">INDEX(apuestas_oct24[orden],MATCH(resultados_oct[Apuesta MiniPorra],apuestas_oct24[Apuesta Miniporra],0))</f>
        <v>11</v>
      </c>
      <c r="L39" s="63" t="str">
        <f>apuestas_oct24[[#This Row],[Nombre]]</f>
        <v>Josep Vidal</v>
      </c>
      <c r="M39" s="28">
        <f>apuestas_oct24[[#This Row],[Apuesta Miniporra]]</f>
        <v>66.25</v>
      </c>
      <c r="N39" s="4">
        <f ca="1">INDEX(apuestas_oct24[desvio],MATCH(resultados_oct[[#This Row],[Apuesta MiniPorra]],apuestas_oct24[Apuesta Miniporra],0))</f>
        <v>-1.9500000000000028</v>
      </c>
      <c r="O39" s="13">
        <f ca="1">INDEX(apuestas_oct24[desvio %],MATCH(resultados_oct[[#This Row],[Apuesta MiniPorra]],apuestas_oct24[Apuesta Miniporra],0))</f>
        <v>2.8592375366568955E-2</v>
      </c>
      <c r="P39" s="78"/>
      <c r="Q39" s="78"/>
      <c r="U39" s="42"/>
    </row>
    <row r="40" spans="1:21" x14ac:dyDescent="0.2">
      <c r="A40" t="s">
        <v>1112</v>
      </c>
      <c r="B40" t="s">
        <v>1106</v>
      </c>
      <c r="C40" s="28">
        <v>65.36</v>
      </c>
      <c r="D40" t="s">
        <v>1134</v>
      </c>
      <c r="E40" t="s">
        <v>1087</v>
      </c>
      <c r="F40" s="28">
        <f ca="1">apuestas_oct24[[#This Row],[Apuesta Miniporra]]-$B$3</f>
        <v>-2.8400000000000034</v>
      </c>
      <c r="G40" s="68">
        <f ca="1">ABS(apuestas_oct24[[#This Row],[desvio]])/$B$3</f>
        <v>4.164222873900298E-2</v>
      </c>
      <c r="H40" s="4">
        <f ca="1">_xlfn.RANK.EQ(apuestas_oct24[[#This Row],[desvio %]],apuestas_oct24[desvio %],1)</f>
        <v>14</v>
      </c>
      <c r="J40" s="66" t="s">
        <v>1112</v>
      </c>
      <c r="K40" s="4">
        <f ca="1">INDEX(apuestas_oct24[orden],MATCH(resultados_oct[Apuesta MiniPorra],apuestas_oct24[Apuesta Miniporra],0))</f>
        <v>14</v>
      </c>
      <c r="L40" s="63" t="str">
        <f>apuestas_oct24[[#This Row],[Nombre]]</f>
        <v>Ruben Sanjuan Escribano</v>
      </c>
      <c r="M40" s="28">
        <f>apuestas_oct24[[#This Row],[Apuesta Miniporra]]</f>
        <v>65.36</v>
      </c>
      <c r="N40" s="4">
        <f ca="1">INDEX(apuestas_oct24[desvio],MATCH(resultados_oct[[#This Row],[Apuesta MiniPorra]],apuestas_oct24[Apuesta Miniporra],0))</f>
        <v>-2.8400000000000034</v>
      </c>
      <c r="O40" s="13">
        <f ca="1">INDEX(apuestas_oct24[desvio %],MATCH(resultados_oct[[#This Row],[Apuesta MiniPorra]],apuestas_oct24[Apuesta Miniporra],0))</f>
        <v>4.164222873900298E-2</v>
      </c>
      <c r="P40" s="78"/>
      <c r="Q40" s="78"/>
      <c r="U40" s="42"/>
    </row>
    <row r="41" spans="1:21" x14ac:dyDescent="0.2">
      <c r="A41" t="s">
        <v>1112</v>
      </c>
      <c r="B41" t="s">
        <v>1028</v>
      </c>
      <c r="C41" s="28">
        <v>65.23</v>
      </c>
      <c r="D41" t="s">
        <v>770</v>
      </c>
      <c r="E41" t="s">
        <v>1098</v>
      </c>
      <c r="F41" s="28">
        <f ca="1">apuestas_oct24[[#This Row],[Apuesta Miniporra]]-$B$3</f>
        <v>-2.9699999999999989</v>
      </c>
      <c r="G41" s="68">
        <f ca="1">ABS(apuestas_oct24[[#This Row],[desvio]])/$B$3</f>
        <v>4.3548387096774173E-2</v>
      </c>
      <c r="H41" s="4">
        <f ca="1">_xlfn.RANK.EQ(apuestas_oct24[[#This Row],[desvio %]],apuestas_oct24[desvio %],1)</f>
        <v>15</v>
      </c>
      <c r="J41" s="66" t="s">
        <v>1112</v>
      </c>
      <c r="K41" s="4">
        <f ca="1">INDEX(apuestas_oct24[orden],MATCH(resultados_oct[Apuesta MiniPorra],apuestas_oct24[Apuesta Miniporra],0))</f>
        <v>15</v>
      </c>
      <c r="L41" s="63" t="str">
        <f>apuestas_oct24[[#This Row],[Nombre]]</f>
        <v>Ricardo Estévez Solís</v>
      </c>
      <c r="M41" s="28">
        <f>apuestas_oct24[[#This Row],[Apuesta Miniporra]]</f>
        <v>65.23</v>
      </c>
      <c r="N41" s="4">
        <f ca="1">INDEX(apuestas_oct24[desvio],MATCH(resultados_oct[[#This Row],[Apuesta MiniPorra]],apuestas_oct24[Apuesta Miniporra],0))</f>
        <v>-2.9699999999999989</v>
      </c>
      <c r="O41" s="13">
        <f ca="1">INDEX(apuestas_oct24[desvio %],MATCH(resultados_oct[[#This Row],[Apuesta MiniPorra]],apuestas_oct24[Apuesta Miniporra],0))</f>
        <v>4.3548387096774173E-2</v>
      </c>
      <c r="P41" s="78"/>
      <c r="Q41" s="78"/>
      <c r="U41" s="42"/>
    </row>
    <row r="42" spans="1:21" x14ac:dyDescent="0.2">
      <c r="A42" t="s">
        <v>1112</v>
      </c>
      <c r="B42" t="s">
        <v>1135</v>
      </c>
      <c r="C42" s="28">
        <v>62.4</v>
      </c>
      <c r="D42" t="s">
        <v>118</v>
      </c>
      <c r="E42" t="s">
        <v>1136</v>
      </c>
      <c r="F42" s="28">
        <f ca="1">apuestas_oct24[[#This Row],[Apuesta Miniporra]]-$B$3</f>
        <v>-5.8000000000000043</v>
      </c>
      <c r="G42" s="68">
        <f ca="1">ABS(apuestas_oct24[[#This Row],[desvio]])/$B$3</f>
        <v>8.5043988269794785E-2</v>
      </c>
      <c r="H42" s="4">
        <f ca="1">_xlfn.RANK.EQ(apuestas_oct24[[#This Row],[desvio %]],apuestas_oct24[desvio %],1)</f>
        <v>21</v>
      </c>
      <c r="J42" s="66" t="s">
        <v>1112</v>
      </c>
      <c r="K42" s="4">
        <f ca="1">INDEX(apuestas_oct24[orden],MATCH(resultados_oct[Apuesta MiniPorra],apuestas_oct24[Apuesta Miniporra],0))</f>
        <v>21</v>
      </c>
      <c r="L42" t="str">
        <f>apuestas_oct24[[#This Row],[Nombre]]</f>
        <v>Diego Montesino</v>
      </c>
      <c r="M42" s="28">
        <f>apuestas_oct24[[#This Row],[Apuesta Miniporra]]</f>
        <v>62.4</v>
      </c>
      <c r="N42" s="4">
        <f ca="1">INDEX(apuestas_oct24[desvio],MATCH(resultados_oct[[#This Row],[Apuesta MiniPorra]],apuestas_oct24[Apuesta Miniporra],0))</f>
        <v>-5.8000000000000043</v>
      </c>
      <c r="O42" s="13">
        <f ca="1">INDEX(apuestas_oct24[desvio %],MATCH(resultados_oct[[#This Row],[Apuesta MiniPorra]],apuestas_oct24[Apuesta Miniporra],0))</f>
        <v>8.5043988269794785E-2</v>
      </c>
      <c r="P42" s="78"/>
      <c r="Q42" s="78"/>
      <c r="U42" s="42"/>
    </row>
    <row r="43" spans="1:21" x14ac:dyDescent="0.2">
      <c r="A43" t="s">
        <v>1112</v>
      </c>
      <c r="B43" t="s">
        <v>9</v>
      </c>
      <c r="C43" s="28">
        <v>60</v>
      </c>
      <c r="D43" t="s">
        <v>118</v>
      </c>
      <c r="E43" t="s">
        <v>124</v>
      </c>
      <c r="F43" s="28">
        <f ca="1">apuestas_oct24[[#This Row],[Apuesta Miniporra]]-$B$3</f>
        <v>-8.2000000000000028</v>
      </c>
      <c r="G43" s="68">
        <f ca="1">ABS(apuestas_oct24[[#This Row],[desvio]])/$B$3</f>
        <v>0.12023460410557188</v>
      </c>
      <c r="H43" s="4">
        <f ca="1">_xlfn.RANK.EQ(apuestas_oct24[[#This Row],[desvio %]],apuestas_oct24[desvio %],1)</f>
        <v>25</v>
      </c>
      <c r="J43" s="66" t="s">
        <v>1112</v>
      </c>
      <c r="K43" s="4">
        <f ca="1">INDEX(apuestas_oct24[orden],MATCH(resultados_oct[Apuesta MiniPorra],apuestas_oct24[Apuesta Miniporra],0))</f>
        <v>25</v>
      </c>
      <c r="L43" t="str">
        <f>apuestas_oct24[[#This Row],[Nombre]]</f>
        <v>Alfonso Zárate Conde</v>
      </c>
      <c r="M43" s="28">
        <f>apuestas_oct24[[#This Row],[Apuesta Miniporra]]</f>
        <v>60</v>
      </c>
      <c r="N43" s="4">
        <f ca="1">INDEX(apuestas_oct24[desvio],MATCH(resultados_oct[[#This Row],[Apuesta MiniPorra]],apuestas_oct24[Apuesta Miniporra],0))</f>
        <v>-8.2000000000000028</v>
      </c>
      <c r="O43" s="13">
        <f ca="1">INDEX(apuestas_oct24[desvio %],MATCH(resultados_oct[[#This Row],[Apuesta MiniPorra]],apuestas_oct24[Apuesta Miniporra],0))</f>
        <v>0.12023460410557188</v>
      </c>
      <c r="P43" s="78"/>
      <c r="Q43" s="78"/>
      <c r="U43" s="42"/>
    </row>
    <row r="44" spans="1:21" x14ac:dyDescent="0.2">
      <c r="A44" t="s">
        <v>1112</v>
      </c>
      <c r="B44" t="s">
        <v>215</v>
      </c>
      <c r="C44" s="28">
        <v>59.8</v>
      </c>
      <c r="D44" t="s">
        <v>118</v>
      </c>
      <c r="E44" t="s">
        <v>993</v>
      </c>
      <c r="F44" s="28">
        <f ca="1">apuestas_oct24[[#This Row],[Apuesta Miniporra]]-$B$3</f>
        <v>-8.4000000000000057</v>
      </c>
      <c r="G44" s="68">
        <f ca="1">ABS(apuestas_oct24[[#This Row],[desvio]])/$B$3</f>
        <v>0.12316715542522003</v>
      </c>
      <c r="H44" s="4">
        <f ca="1">_xlfn.RANK.EQ(apuestas_oct24[[#This Row],[desvio %]],apuestas_oct24[desvio %],1)</f>
        <v>26</v>
      </c>
      <c r="J44" s="66" t="s">
        <v>1112</v>
      </c>
      <c r="K44" s="4">
        <f ca="1">INDEX(apuestas_oct24[orden],MATCH(resultados_oct[Apuesta MiniPorra],apuestas_oct24[Apuesta Miniporra],0))</f>
        <v>26</v>
      </c>
      <c r="L44" t="str">
        <f>apuestas_oct24[[#This Row],[Nombre]]</f>
        <v>Carles Estruch Puig</v>
      </c>
      <c r="M44" s="28">
        <f>apuestas_oct24[[#This Row],[Apuesta Miniporra]]</f>
        <v>59.8</v>
      </c>
      <c r="N44" s="4">
        <f ca="1">INDEX(apuestas_oct24[desvio],MATCH(resultados_oct[[#This Row],[Apuesta MiniPorra]],apuestas_oct24[Apuesta Miniporra],0))</f>
        <v>-8.4000000000000057</v>
      </c>
      <c r="O44" s="13">
        <f ca="1">INDEX(apuestas_oct24[desvio %],MATCH(resultados_oct[[#This Row],[Apuesta MiniPorra]],apuestas_oct24[Apuesta Miniporra],0))</f>
        <v>0.12316715542522003</v>
      </c>
      <c r="P44" s="78"/>
      <c r="Q44" s="78"/>
      <c r="U44" s="42"/>
    </row>
    <row r="45" spans="1:21" x14ac:dyDescent="0.2">
      <c r="A45" t="s">
        <v>1112</v>
      </c>
      <c r="B45" t="s">
        <v>1026</v>
      </c>
      <c r="C45" s="28">
        <v>44.62</v>
      </c>
      <c r="D45" t="s">
        <v>118</v>
      </c>
      <c r="E45" t="s">
        <v>973</v>
      </c>
      <c r="F45" s="28">
        <f ca="1">apuestas_oct24[[#This Row],[Apuesta Miniporra]]-$B$3</f>
        <v>-23.580000000000005</v>
      </c>
      <c r="G45" s="68">
        <f ca="1">ABS(apuestas_oct24[[#This Row],[desvio]])/$B$3</f>
        <v>0.34574780058651033</v>
      </c>
      <c r="H45" s="4">
        <f ca="1">_xlfn.RANK.EQ(apuestas_oct24[[#This Row],[desvio %]],apuestas_oct24[desvio %],1)</f>
        <v>38</v>
      </c>
      <c r="J45" s="66" t="s">
        <v>1112</v>
      </c>
      <c r="K45" s="4">
        <f ca="1">INDEX(apuestas_oct24[orden],MATCH(resultados_oct[Apuesta MiniPorra],apuestas_oct24[Apuesta Miniporra],0))</f>
        <v>38</v>
      </c>
      <c r="L45" t="str">
        <f>apuestas_oct24[[#This Row],[Nombre]]</f>
        <v>Pablo Herrero Del Barrio</v>
      </c>
      <c r="M45" s="28">
        <f>apuestas_oct24[[#This Row],[Apuesta Miniporra]]</f>
        <v>44.62</v>
      </c>
      <c r="N45" s="4">
        <f ca="1">INDEX(apuestas_oct24[desvio],MATCH(resultados_oct[[#This Row],[Apuesta MiniPorra]],apuestas_oct24[Apuesta Miniporra],0))</f>
        <v>-23.580000000000005</v>
      </c>
      <c r="O45" s="13">
        <f ca="1">INDEX(apuestas_oct24[desvio %],MATCH(resultados_oct[[#This Row],[Apuesta MiniPorra]],apuestas_oct24[Apuesta Miniporra],0))</f>
        <v>0.34574780058651033</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52" priority="1">
      <formula>$K7=3</formula>
    </cfRule>
    <cfRule type="expression" dxfId="51" priority="2">
      <formula>$K7=2</formula>
    </cfRule>
    <cfRule type="expression" dxfId="50" priority="3">
      <formula>$K7=1</formula>
    </cfRule>
  </conditionalFormatting>
  <conditionalFormatting sqref="R8:S10 R17:S20 R25:S26 R13:S13">
    <cfRule type="expression" dxfId="49" priority="4">
      <formula>$K38=1</formula>
    </cfRule>
  </conditionalFormatting>
  <conditionalFormatting sqref="P39:Q54 Q38 P58:Q60">
    <cfRule type="expression" dxfId="48" priority="5">
      <formula>$K34=3</formula>
    </cfRule>
    <cfRule type="expression" dxfId="47" priority="6">
      <formula>$K34=2</formula>
    </cfRule>
    <cfRule type="expression" dxfId="46"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45" priority="9"/>
  </conditionalFormatting>
  <conditionalFormatting sqref="B7:B45">
    <cfRule type="duplicateValues" dxfId="44"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F18" sqref="F18"/>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2" t="s">
        <v>675</v>
      </c>
      <c r="L2" s="112"/>
      <c r="M2" s="2" t="s">
        <v>674</v>
      </c>
      <c r="O2" s="2" t="s">
        <v>830</v>
      </c>
      <c r="P2" s="2" t="s">
        <v>673</v>
      </c>
      <c r="Q2" s="155" t="s">
        <v>833</v>
      </c>
      <c r="R2" s="155"/>
      <c r="T2" s="4"/>
      <c r="V2" t="s">
        <v>832</v>
      </c>
    </row>
    <row r="3" spans="2:24" ht="12" customHeight="1" x14ac:dyDescent="0.2">
      <c r="K3" s="112"/>
      <c r="L3" s="112"/>
      <c r="M3" s="152" t="s">
        <v>1138</v>
      </c>
      <c r="O3" s="153">
        <f>F18</f>
        <v>15</v>
      </c>
      <c r="P3" s="154">
        <f ca="1">F15</f>
        <v>68.2</v>
      </c>
      <c r="Q3" s="155"/>
      <c r="R3" s="155"/>
      <c r="V3" t="s">
        <v>833</v>
      </c>
    </row>
    <row r="4" spans="2:24" ht="4.5" customHeight="1" x14ac:dyDescent="0.2">
      <c r="K4" s="112"/>
      <c r="L4" s="112"/>
      <c r="M4" s="152"/>
      <c r="O4" s="153"/>
      <c r="P4" s="154"/>
      <c r="Q4" s="155"/>
      <c r="R4" s="155"/>
    </row>
    <row r="5" spans="2:24" ht="15.75" customHeight="1" x14ac:dyDescent="0.2">
      <c r="K5" s="112"/>
      <c r="L5" s="112"/>
      <c r="M5" s="152"/>
      <c r="O5" s="153"/>
      <c r="P5" s="154"/>
      <c r="Q5" s="155"/>
      <c r="R5" s="155"/>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162.58333333333334</v>
      </c>
      <c r="R8" s="92"/>
      <c r="T8" t="s">
        <v>1109</v>
      </c>
      <c r="W8" s="77"/>
      <c r="X8" s="28"/>
    </row>
    <row r="9" spans="2:24" x14ac:dyDescent="0.2">
      <c r="B9" s="4">
        <v>1</v>
      </c>
      <c r="C9" s="28">
        <f>IFERROR(oct!Q7,"")</f>
        <v>97.9</v>
      </c>
      <c r="E9" s="28"/>
      <c r="F9" s="4"/>
      <c r="K9" s="42">
        <f ca="1">oct!K8</f>
        <v>37</v>
      </c>
      <c r="L9" s="42" t="str">
        <f>oct!L8</f>
        <v>Rafael Leiva</v>
      </c>
      <c r="M9" s="28">
        <f>oct!M8</f>
        <v>89.16</v>
      </c>
      <c r="N9" s="77">
        <f t="shared" ref="N9:N46" si="1">M9-M10</f>
        <v>3.9899999999999949</v>
      </c>
      <c r="O9" s="91">
        <f t="shared" ref="O9:O46" si="2">M9-N9/2</f>
        <v>87.164999999999992</v>
      </c>
      <c r="P9" s="92">
        <f>O8</f>
        <v>115.39</v>
      </c>
      <c r="Q9" s="91">
        <f t="shared" ca="1" si="0"/>
        <v>106.13333333333334</v>
      </c>
      <c r="R9" s="92">
        <f ca="1">IF($Q$2=$V$2,$F$21*Tabla43[[#This Row],[límite sup]]-$F$19,($F$22*Tabla43[[#This Row],[límite sup]]-$F$19)/$F$23)</f>
        <v>162.58333333333334</v>
      </c>
      <c r="T9" t="s">
        <v>846</v>
      </c>
      <c r="U9" s="65">
        <v>73</v>
      </c>
    </row>
    <row r="10" spans="2:24" x14ac:dyDescent="0.2">
      <c r="B10" s="4">
        <v>2</v>
      </c>
      <c r="C10" s="28">
        <f>IFERROR(oct!Q8,"")</f>
        <v>93.59</v>
      </c>
      <c r="K10" s="42">
        <f ca="1">oct!K9</f>
        <v>36</v>
      </c>
      <c r="L10" s="42" t="str">
        <f>oct!L9</f>
        <v>Inés Monroy</v>
      </c>
      <c r="M10" s="28">
        <f>oct!M9</f>
        <v>85.17</v>
      </c>
      <c r="N10" s="77">
        <f t="shared" si="1"/>
        <v>1.1000000000000085</v>
      </c>
      <c r="O10" s="91">
        <f t="shared" si="2"/>
        <v>84.62</v>
      </c>
      <c r="P10" s="92">
        <f t="shared" ref="P10:P46" si="3">O9</f>
        <v>87.164999999999992</v>
      </c>
      <c r="Q10" s="91">
        <f t="shared" ca="1" si="0"/>
        <v>101.04333333333336</v>
      </c>
      <c r="R10" s="92">
        <f ca="1">IF($Q$2=$V$2,$F$21*Tabla43[[#This Row],[límite sup]]-$F$19,($F$22*Tabla43[[#This Row],[límite sup]]-$F$19)/$F$23)</f>
        <v>106.13333333333334</v>
      </c>
      <c r="T10" t="s">
        <v>847</v>
      </c>
      <c r="U10" s="65">
        <v>81</v>
      </c>
    </row>
    <row r="11" spans="2:24" x14ac:dyDescent="0.2">
      <c r="B11" s="4">
        <v>3</v>
      </c>
      <c r="C11" s="28">
        <f>IFERROR(oct!Q9,"")</f>
        <v>57.92</v>
      </c>
      <c r="K11" s="42">
        <f ca="1">oct!K10</f>
        <v>35</v>
      </c>
      <c r="L11" s="42" t="str">
        <f>oct!L10</f>
        <v>Jesús Aceituno López</v>
      </c>
      <c r="M11" s="28">
        <f>oct!M10</f>
        <v>84.07</v>
      </c>
      <c r="N11" s="77">
        <f t="shared" si="1"/>
        <v>0.25999999999999091</v>
      </c>
      <c r="O11" s="91">
        <f t="shared" si="2"/>
        <v>83.94</v>
      </c>
      <c r="P11" s="92">
        <f t="shared" si="3"/>
        <v>84.62</v>
      </c>
      <c r="Q11" s="91">
        <f t="shared" ca="1" si="0"/>
        <v>99.683333333333337</v>
      </c>
      <c r="R11" s="92">
        <f ca="1">IF($Q$2=$V$2,$F$21*Tabla43[[#This Row],[límite sup]]-$F$19,($F$22*Tabla43[[#This Row],[límite sup]]-$F$19)/$F$23)</f>
        <v>101.04333333333336</v>
      </c>
      <c r="T11" t="s">
        <v>1110</v>
      </c>
    </row>
    <row r="12" spans="2:24" x14ac:dyDescent="0.2">
      <c r="B12" s="4">
        <v>4</v>
      </c>
      <c r="C12" s="28">
        <f>IFERROR(oct!Q10,"")</f>
        <v>98.98</v>
      </c>
      <c r="K12" s="42">
        <f ca="1">oct!K11</f>
        <v>34</v>
      </c>
      <c r="L12" s="42" t="str">
        <f>oct!L11</f>
        <v>Carlos Alcaide Méndez</v>
      </c>
      <c r="M12" s="28">
        <f>oct!M11</f>
        <v>83.81</v>
      </c>
      <c r="N12" s="77">
        <f t="shared" si="1"/>
        <v>6.0000000000002274E-2</v>
      </c>
      <c r="O12" s="91">
        <f t="shared" si="2"/>
        <v>83.78</v>
      </c>
      <c r="P12" s="92">
        <f t="shared" si="3"/>
        <v>83.94</v>
      </c>
      <c r="Q12" s="91">
        <f t="shared" ca="1" si="0"/>
        <v>99.363333333333358</v>
      </c>
      <c r="R12" s="92">
        <f ca="1">IF($Q$2=$V$2,$F$21*Tabla43[[#This Row],[límite sup]]-$F$19,($F$22*Tabla43[[#This Row],[límite sup]]-$F$19)/$F$23)</f>
        <v>99.683333333333337</v>
      </c>
      <c r="T12" t="s">
        <v>846</v>
      </c>
      <c r="U12" s="65">
        <v>67</v>
      </c>
    </row>
    <row r="13" spans="2:24" x14ac:dyDescent="0.2">
      <c r="B13" s="4">
        <v>5</v>
      </c>
      <c r="C13" s="111">
        <f>IFERROR(oct!Q11,"")</f>
        <v>60.4</v>
      </c>
      <c r="F13" s="4"/>
      <c r="K13" s="42">
        <f ca="1">oct!K12</f>
        <v>33</v>
      </c>
      <c r="L13" s="42" t="str">
        <f>oct!L12</f>
        <v>Gorka Arratibel Pastor</v>
      </c>
      <c r="M13" s="28">
        <f>oct!M12</f>
        <v>83.75</v>
      </c>
      <c r="N13" s="77">
        <f t="shared" si="1"/>
        <v>1.25</v>
      </c>
      <c r="O13" s="91">
        <f t="shared" si="2"/>
        <v>83.125</v>
      </c>
      <c r="P13" s="92">
        <f t="shared" si="3"/>
        <v>83.78</v>
      </c>
      <c r="Q13" s="91">
        <f t="shared" ca="1" si="0"/>
        <v>98.053333333333342</v>
      </c>
      <c r="R13" s="92">
        <f ca="1">IF($Q$2=$V$2,$F$21*Tabla43[[#This Row],[límite sup]]-$F$19,($F$22*Tabla43[[#This Row],[límite sup]]-$F$19)/$F$23)</f>
        <v>99.363333333333358</v>
      </c>
      <c r="T13" t="s">
        <v>847</v>
      </c>
      <c r="U13" s="65">
        <v>87</v>
      </c>
    </row>
    <row r="14" spans="2:24" x14ac:dyDescent="0.2">
      <c r="B14" s="4">
        <v>6</v>
      </c>
      <c r="C14" s="28">
        <f>IFERROR(oct!Q12,"")</f>
        <v>21.96</v>
      </c>
      <c r="G14" s="21"/>
      <c r="K14" s="42">
        <f ca="1">oct!K13</f>
        <v>32</v>
      </c>
      <c r="L14" s="42" t="str">
        <f>oct!L13</f>
        <v>Javier Espelta</v>
      </c>
      <c r="M14" s="28">
        <f>oct!M13</f>
        <v>82.5</v>
      </c>
      <c r="N14" s="77">
        <f t="shared" si="1"/>
        <v>2.4000000000000057</v>
      </c>
      <c r="O14" s="91">
        <f t="shared" si="2"/>
        <v>81.3</v>
      </c>
      <c r="P14" s="92">
        <f t="shared" si="3"/>
        <v>83.125</v>
      </c>
      <c r="Q14" s="91">
        <f t="shared" ca="1" si="0"/>
        <v>94.40333333333335</v>
      </c>
      <c r="R14" s="92">
        <f ca="1">IF($Q$2=$V$2,$F$21*Tabla43[[#This Row],[límite sup]]-$F$19,($F$22*Tabla43[[#This Row],[límite sup]]-$F$19)/$F$23)</f>
        <v>98.053333333333342</v>
      </c>
    </row>
    <row r="15" spans="2:24" ht="12" customHeight="1" x14ac:dyDescent="0.2">
      <c r="B15" s="4">
        <v>7</v>
      </c>
      <c r="C15" s="28">
        <f>IFERROR(oct!Q13,"")</f>
        <v>55.46</v>
      </c>
      <c r="E15" t="s">
        <v>1033</v>
      </c>
      <c r="F15" s="99">
        <f ca="1">oct!B3</f>
        <v>68.2</v>
      </c>
      <c r="K15" s="42">
        <f ca="1">oct!K14</f>
        <v>31</v>
      </c>
      <c r="L15" s="42" t="str">
        <f>oct!L14</f>
        <v>Jose Manuel Otero López</v>
      </c>
      <c r="M15" s="28">
        <f>oct!M14</f>
        <v>80.099999999999994</v>
      </c>
      <c r="N15" s="77">
        <f t="shared" si="1"/>
        <v>0.28000000000000114</v>
      </c>
      <c r="O15" s="91">
        <f t="shared" si="2"/>
        <v>79.959999999999994</v>
      </c>
      <c r="P15" s="92">
        <f t="shared" si="3"/>
        <v>81.3</v>
      </c>
      <c r="Q15" s="91">
        <f t="shared" ca="1" si="0"/>
        <v>91.723333333333329</v>
      </c>
      <c r="R15" s="92">
        <f ca="1">IF($Q$2=$V$2,$F$21*Tabla43[[#This Row],[límite sup]]-$F$19,($F$22*Tabla43[[#This Row],[límite sup]]-$F$19)/$F$23)</f>
        <v>94.40333333333335</v>
      </c>
    </row>
    <row r="16" spans="2:24" ht="12" customHeight="1" x14ac:dyDescent="0.2">
      <c r="B16" s="4">
        <v>8</v>
      </c>
      <c r="C16" s="28">
        <f>IFERROR(oct!Q14,"")</f>
        <v>31.37</v>
      </c>
      <c r="E16" t="s">
        <v>676</v>
      </c>
      <c r="F16" s="65">
        <f ca="1">INDEX(resultados_sep[Apuesta MiniPorra],MATCH(1,resultados_sep[Posición],0))</f>
        <v>73.55</v>
      </c>
      <c r="K16" s="42">
        <f ca="1">oct!K15</f>
        <v>30</v>
      </c>
      <c r="L16" s="42" t="str">
        <f>oct!L15</f>
        <v>Pablo Suárez Sebastián</v>
      </c>
      <c r="M16" s="28">
        <f>oct!M15</f>
        <v>79.819999999999993</v>
      </c>
      <c r="N16" s="77">
        <f t="shared" si="1"/>
        <v>1.5</v>
      </c>
      <c r="O16" s="91">
        <f t="shared" si="2"/>
        <v>79.069999999999993</v>
      </c>
      <c r="P16" s="92">
        <f t="shared" si="3"/>
        <v>79.959999999999994</v>
      </c>
      <c r="Q16" s="91">
        <f t="shared" ca="1" si="0"/>
        <v>89.943333333333342</v>
      </c>
      <c r="R16" s="92">
        <f ca="1">IF($Q$2=$V$2,$F$21*Tabla43[[#This Row],[límite sup]]-$F$19,($F$22*Tabla43[[#This Row],[límite sup]]-$F$19)/$F$23)</f>
        <v>91.723333333333329</v>
      </c>
      <c r="U16" s="87"/>
    </row>
    <row r="17" spans="2:21" x14ac:dyDescent="0.2">
      <c r="B17" s="4">
        <v>9</v>
      </c>
      <c r="C17" s="28">
        <f>IFERROR(oct!Q15,"")</f>
        <v>24.52</v>
      </c>
      <c r="K17" s="42">
        <f ca="1">oct!K16</f>
        <v>29</v>
      </c>
      <c r="L17" s="42" t="str">
        <f>oct!L16</f>
        <v>Elena Muñoz Vioque</v>
      </c>
      <c r="M17" s="28">
        <f>oct!M16</f>
        <v>78.319999999999993</v>
      </c>
      <c r="N17" s="77">
        <f t="shared" si="1"/>
        <v>0.54999999999999716</v>
      </c>
      <c r="O17" s="91">
        <f t="shared" si="2"/>
        <v>78.044999999999987</v>
      </c>
      <c r="P17" s="92">
        <f t="shared" si="3"/>
        <v>79.069999999999993</v>
      </c>
      <c r="Q17" s="91">
        <f t="shared" ca="1" si="0"/>
        <v>87.893333333333302</v>
      </c>
      <c r="R17" s="92">
        <f ca="1">IF($Q$2=$V$2,$F$21*Tabla43[[#This Row],[límite sup]]-$F$19,($F$22*Tabla43[[#This Row],[límite sup]]-$F$19)/$F$23)</f>
        <v>89.943333333333342</v>
      </c>
      <c r="T17" t="s">
        <v>874</v>
      </c>
      <c r="U17" s="23">
        <f>gauss!R44</f>
        <v>72.97</v>
      </c>
    </row>
    <row r="18" spans="2:21" x14ac:dyDescent="0.2">
      <c r="B18" s="4">
        <v>10</v>
      </c>
      <c r="C18" s="28">
        <f>IFERROR(oct!Q16,"")</f>
        <v>76.180000000000007</v>
      </c>
      <c r="E18" t="s">
        <v>670</v>
      </c>
      <c r="F18" s="65">
        <f>oct!H1</f>
        <v>15</v>
      </c>
      <c r="G18" t="s">
        <v>827</v>
      </c>
      <c r="K18" s="42">
        <f ca="1">oct!K17</f>
        <v>28</v>
      </c>
      <c r="L18" s="42" t="str">
        <f>oct!L17</f>
        <v>Jorge Antonio González Sánchez</v>
      </c>
      <c r="M18" s="28">
        <f>oct!M17</f>
        <v>77.77</v>
      </c>
      <c r="N18" s="77">
        <f t="shared" si="1"/>
        <v>0.56999999999999318</v>
      </c>
      <c r="O18" s="91">
        <f t="shared" si="2"/>
        <v>77.484999999999999</v>
      </c>
      <c r="P18" s="92">
        <f t="shared" si="3"/>
        <v>78.044999999999987</v>
      </c>
      <c r="Q18" s="91">
        <f t="shared" ca="1" si="0"/>
        <v>86.773333333333355</v>
      </c>
      <c r="R18" s="92">
        <f ca="1">IF($Q$2=$V$2,$F$21*Tabla43[[#This Row],[límite sup]]-$F$19,($F$22*Tabla43[[#This Row],[límite sup]]-$F$19)/$F$23)</f>
        <v>87.893333333333302</v>
      </c>
    </row>
    <row r="19" spans="2:21" x14ac:dyDescent="0.2">
      <c r="B19" s="4">
        <v>11</v>
      </c>
      <c r="C19" s="28">
        <f>IFERROR(oct!Q17,"")</f>
        <v>90.66</v>
      </c>
      <c r="E19" t="s">
        <v>671</v>
      </c>
      <c r="F19" s="76">
        <f ca="1">SUM(C9:OFFSET($C$9,F18-1,1))</f>
        <v>1022.9499999999999</v>
      </c>
      <c r="G19" t="s">
        <v>828</v>
      </c>
      <c r="K19" s="42">
        <f ca="1">oct!K18</f>
        <v>27</v>
      </c>
      <c r="L19" s="42" t="str">
        <f>oct!L18</f>
        <v>Javier Revuelta Alonso</v>
      </c>
      <c r="M19" s="28">
        <f>oct!M18</f>
        <v>77.2</v>
      </c>
      <c r="N19" s="77">
        <f t="shared" si="1"/>
        <v>2</v>
      </c>
      <c r="O19" s="91">
        <f t="shared" si="2"/>
        <v>76.2</v>
      </c>
      <c r="P19" s="92">
        <f t="shared" si="3"/>
        <v>77.484999999999999</v>
      </c>
      <c r="Q19" s="91">
        <f t="shared" ca="1" si="0"/>
        <v>84.203333333333347</v>
      </c>
      <c r="R19" s="92">
        <f ca="1">IF($Q$2=$V$2,$F$21*Tabla43[[#This Row],[límite sup]]-$F$19,($F$22*Tabla43[[#This Row],[límite sup]]-$F$19)/$F$23)</f>
        <v>86.773333333333355</v>
      </c>
    </row>
    <row r="20" spans="2:21" x14ac:dyDescent="0.2">
      <c r="B20" s="4">
        <v>12</v>
      </c>
      <c r="C20" s="28">
        <f>IFERROR(oct!Q18,"")</f>
        <v>69.86</v>
      </c>
      <c r="E20" t="s">
        <v>829</v>
      </c>
      <c r="F20" s="28">
        <f ca="1">F19/F18</f>
        <v>68.196666666666658</v>
      </c>
      <c r="K20" s="42">
        <f ca="1">oct!K19</f>
        <v>24</v>
      </c>
      <c r="L20" s="42" t="str">
        <f>oct!L19</f>
        <v>Paco Cuadrado</v>
      </c>
      <c r="M20" s="28">
        <f>oct!M19</f>
        <v>75.2</v>
      </c>
      <c r="N20" s="77">
        <f t="shared" si="1"/>
        <v>1.0100000000000051</v>
      </c>
      <c r="O20" s="91">
        <f t="shared" si="2"/>
        <v>74.694999999999993</v>
      </c>
      <c r="P20" s="92">
        <f t="shared" si="3"/>
        <v>76.2</v>
      </c>
      <c r="Q20" s="91">
        <f t="shared" ca="1" si="0"/>
        <v>81.193333333333342</v>
      </c>
      <c r="R20" s="92">
        <f ca="1">IF($Q$2=$V$2,$F$21*Tabla43[[#This Row],[límite sup]]-$F$19,($F$22*Tabla43[[#This Row],[límite sup]]-$F$19)/$F$23)</f>
        <v>84.203333333333347</v>
      </c>
    </row>
    <row r="21" spans="2:21" x14ac:dyDescent="0.2">
      <c r="B21" s="4">
        <v>13</v>
      </c>
      <c r="C21" s="28">
        <f>IFERROR(oct!Q19,"")</f>
        <v>52.75</v>
      </c>
      <c r="E21" t="s">
        <v>834</v>
      </c>
      <c r="F21" s="74">
        <f>F18+1</f>
        <v>16</v>
      </c>
      <c r="K21" s="42">
        <f ca="1">oct!K20</f>
        <v>23</v>
      </c>
      <c r="L21" s="42" t="str">
        <f>oct!L20</f>
        <v>Jorge González Arconada</v>
      </c>
      <c r="M21" s="28">
        <f>oct!M20</f>
        <v>74.19</v>
      </c>
      <c r="N21" s="77">
        <f t="shared" si="1"/>
        <v>9.9999999999994316E-2</v>
      </c>
      <c r="O21" s="91">
        <f t="shared" si="2"/>
        <v>74.14</v>
      </c>
      <c r="P21" s="92">
        <f t="shared" si="3"/>
        <v>74.694999999999993</v>
      </c>
      <c r="Q21" s="91">
        <f t="shared" ca="1" si="0"/>
        <v>80.083333333333329</v>
      </c>
      <c r="R21" s="92">
        <f ca="1">IF($Q$2=$V$2,$F$21*Tabla43[[#This Row],[límite sup]]-$F$19,($F$22*Tabla43[[#This Row],[límite sup]]-$F$19)/$F$23)</f>
        <v>81.193333333333342</v>
      </c>
    </row>
    <row r="22" spans="2:21" x14ac:dyDescent="0.2">
      <c r="B22" s="4">
        <v>14</v>
      </c>
      <c r="C22" s="28">
        <f>IFERROR(oct!Q20,"")</f>
        <v>104.17</v>
      </c>
      <c r="E22" t="s">
        <v>835</v>
      </c>
      <c r="F22" s="74">
        <f>COUNT(Tabla2336[dia])</f>
        <v>30</v>
      </c>
      <c r="K22" s="42">
        <f ca="1">oct!K21</f>
        <v>22</v>
      </c>
      <c r="L22" s="42" t="str">
        <f>oct!L21</f>
        <v>Roberto Cavero García</v>
      </c>
      <c r="M22" s="28">
        <f>oct!M21</f>
        <v>74.09</v>
      </c>
      <c r="N22" s="77">
        <f t="shared" si="1"/>
        <v>0.34000000000000341</v>
      </c>
      <c r="O22" s="91">
        <f t="shared" si="2"/>
        <v>73.92</v>
      </c>
      <c r="P22" s="92">
        <f t="shared" si="3"/>
        <v>74.14</v>
      </c>
      <c r="Q22" s="91">
        <f t="shared" ca="1" si="0"/>
        <v>79.643333333333345</v>
      </c>
      <c r="R22" s="92">
        <f ca="1">IF($Q$2=$V$2,$F$21*Tabla43[[#This Row],[límite sup]]-$F$19,($F$22*Tabla43[[#This Row],[límite sup]]-$F$19)/$F$23)</f>
        <v>80.083333333333329</v>
      </c>
    </row>
    <row r="23" spans="2:21" x14ac:dyDescent="0.2">
      <c r="B23" s="4">
        <v>15</v>
      </c>
      <c r="C23" s="28">
        <f>IFERROR(oct!Q21,"")</f>
        <v>87.23</v>
      </c>
      <c r="E23" t="s">
        <v>836</v>
      </c>
      <c r="F23" s="74">
        <f>F22-F18</f>
        <v>15</v>
      </c>
      <c r="K23" s="42">
        <f ca="1">oct!K22</f>
        <v>20</v>
      </c>
      <c r="L23" s="42" t="str">
        <f>oct!L22</f>
        <v>Rafael Tejada Bonilla</v>
      </c>
      <c r="M23" s="28">
        <f>oct!M22</f>
        <v>73.75</v>
      </c>
      <c r="N23" s="77">
        <f t="shared" si="1"/>
        <v>1.1700000000000017</v>
      </c>
      <c r="O23" s="91">
        <f t="shared" si="2"/>
        <v>73.164999999999992</v>
      </c>
      <c r="P23" s="92">
        <f t="shared" si="3"/>
        <v>73.92</v>
      </c>
      <c r="Q23" s="91">
        <f t="shared" ca="1" si="0"/>
        <v>78.13333333333334</v>
      </c>
      <c r="R23" s="92">
        <f ca="1">IF($Q$2=$V$2,$F$21*Tabla43[[#This Row],[límite sup]]-$F$19,($F$22*Tabla43[[#This Row],[límite sup]]-$F$19)/$F$23)</f>
        <v>79.643333333333345</v>
      </c>
    </row>
    <row r="24" spans="2:21" x14ac:dyDescent="0.2">
      <c r="B24" s="4">
        <v>16</v>
      </c>
      <c r="C24" s="28" t="str">
        <f>IFERROR(oct!Q22,"")</f>
        <v/>
      </c>
      <c r="K24" s="42">
        <f ca="1">oct!K23</f>
        <v>19</v>
      </c>
      <c r="L24" s="42" t="str">
        <f>oct!L23</f>
        <v>Cristoauditor Monasor Merino</v>
      </c>
      <c r="M24" s="28">
        <f>oct!M23</f>
        <v>72.58</v>
      </c>
      <c r="N24" s="77">
        <f t="shared" si="1"/>
        <v>0.12999999999999545</v>
      </c>
      <c r="O24" s="91">
        <f t="shared" si="2"/>
        <v>72.515000000000001</v>
      </c>
      <c r="P24" s="92">
        <f t="shared" si="3"/>
        <v>73.164999999999992</v>
      </c>
      <c r="Q24" s="91">
        <f t="shared" ca="1" si="0"/>
        <v>76.833333333333329</v>
      </c>
      <c r="R24" s="92">
        <f ca="1">IF($Q$2=$V$2,$F$21*Tabla43[[#This Row],[límite sup]]-$F$19,($F$22*Tabla43[[#This Row],[límite sup]]-$F$19)/$F$23)</f>
        <v>78.13333333333334</v>
      </c>
    </row>
    <row r="25" spans="2:21" x14ac:dyDescent="0.2">
      <c r="B25" s="4">
        <v>17</v>
      </c>
      <c r="C25" s="28" t="str">
        <f>IFERROR(oct!Q23,"")</f>
        <v/>
      </c>
      <c r="E25" t="s">
        <v>668</v>
      </c>
      <c r="F25" s="75">
        <f>AVERAGE(C9:C38)</f>
        <v>68.196666666666658</v>
      </c>
      <c r="K25" s="42">
        <f ca="1">oct!K24</f>
        <v>18</v>
      </c>
      <c r="L25" s="42" t="str">
        <f>oct!L24</f>
        <v>Julián Mateo Muñoz</v>
      </c>
      <c r="M25" s="28">
        <f>oct!M24</f>
        <v>72.45</v>
      </c>
      <c r="N25" s="77">
        <f t="shared" si="1"/>
        <v>0.23000000000000398</v>
      </c>
      <c r="O25" s="91">
        <f t="shared" si="2"/>
        <v>72.335000000000008</v>
      </c>
      <c r="P25" s="92">
        <f t="shared" si="3"/>
        <v>72.515000000000001</v>
      </c>
      <c r="Q25" s="91">
        <f ca="1">R26</f>
        <v>76.473333333333358</v>
      </c>
      <c r="R25" s="92">
        <f ca="1">IF($Q$2=$V$2,$F$21*Tabla43[[#This Row],[límite sup]]-$F$19,($F$22*Tabla43[[#This Row],[límite sup]]-$F$19)/$F$23)</f>
        <v>76.833333333333329</v>
      </c>
    </row>
    <row r="26" spans="2:21" x14ac:dyDescent="0.2">
      <c r="B26" s="4">
        <v>18</v>
      </c>
      <c r="C26" s="28" t="str">
        <f>IFERROR(oct!Q24,"")</f>
        <v/>
      </c>
      <c r="F26" s="28"/>
      <c r="K26" s="42">
        <f ca="1">oct!K25</f>
        <v>17</v>
      </c>
      <c r="L26" s="42" t="str">
        <f>oct!L25</f>
        <v>Jaime Larrañaga Juez</v>
      </c>
      <c r="M26" s="28">
        <f>oct!M25</f>
        <v>72.22</v>
      </c>
      <c r="N26" s="77">
        <f t="shared" si="1"/>
        <v>0.48000000000000398</v>
      </c>
      <c r="O26" s="91">
        <f t="shared" si="2"/>
        <v>71.97999999999999</v>
      </c>
      <c r="P26" s="92">
        <f t="shared" si="3"/>
        <v>72.335000000000008</v>
      </c>
      <c r="Q26" s="91">
        <f t="shared" ref="Q26:Q46" ca="1" si="4">R27</f>
        <v>75.763333333333321</v>
      </c>
      <c r="R26" s="92">
        <f ca="1">IF($Q$2=$V$2,$F$21*Tabla43[[#This Row],[límite sup]]-$F$19,($F$22*Tabla43[[#This Row],[límite sup]]-$F$19)/$F$23)</f>
        <v>76.473333333333358</v>
      </c>
    </row>
    <row r="27" spans="2:21" x14ac:dyDescent="0.2">
      <c r="B27" s="4">
        <v>19</v>
      </c>
      <c r="C27" s="28" t="str">
        <f>IFERROR(oct!Q25,"")</f>
        <v/>
      </c>
      <c r="K27" s="42">
        <f ca="1">oct!K26</f>
        <v>16</v>
      </c>
      <c r="L27" s="42" t="str">
        <f>oct!L26</f>
        <v>Carlos Martin</v>
      </c>
      <c r="M27" s="28">
        <f>oct!M26</f>
        <v>71.739999999999995</v>
      </c>
      <c r="N27" s="77">
        <f t="shared" si="1"/>
        <v>0.72999999999998977</v>
      </c>
      <c r="O27" s="91">
        <f t="shared" si="2"/>
        <v>71.375</v>
      </c>
      <c r="P27" s="92">
        <f t="shared" si="3"/>
        <v>71.97999999999999</v>
      </c>
      <c r="Q27" s="91">
        <f t="shared" ca="1" si="4"/>
        <v>74.553333333333342</v>
      </c>
      <c r="R27" s="92">
        <f ca="1">IF($Q$2=$V$2,$F$21*Tabla43[[#This Row],[límite sup]]-$F$19,($F$22*Tabla43[[#This Row],[límite sup]]-$F$19)/$F$23)</f>
        <v>75.763333333333321</v>
      </c>
    </row>
    <row r="28" spans="2:21" x14ac:dyDescent="0.2">
      <c r="B28" s="4">
        <v>20</v>
      </c>
      <c r="C28" s="28" t="str">
        <f>IFERROR(oct!Q26,"")</f>
        <v/>
      </c>
      <c r="F28">
        <f ca="1">jul!B3/75.23</f>
        <v>0.96118569719526781</v>
      </c>
      <c r="K28" s="42">
        <f ca="1">oct!K27</f>
        <v>13</v>
      </c>
      <c r="L28" s="42" t="str">
        <f>oct!L27</f>
        <v>Javier Colón Cortegoso</v>
      </c>
      <c r="M28" s="28">
        <f>oct!M27</f>
        <v>71.010000000000005</v>
      </c>
      <c r="N28" s="77">
        <f t="shared" si="1"/>
        <v>0.71000000000000796</v>
      </c>
      <c r="O28" s="91">
        <f t="shared" si="2"/>
        <v>70.655000000000001</v>
      </c>
      <c r="P28" s="92">
        <f t="shared" si="3"/>
        <v>71.375</v>
      </c>
      <c r="Q28" s="91">
        <f t="shared" ca="1" si="4"/>
        <v>73.113333333333358</v>
      </c>
      <c r="R28" s="92">
        <f ca="1">IF($Q$2=$V$2,$F$21*Tabla43[[#This Row],[límite sup]]-$F$19,($F$22*Tabla43[[#This Row],[límite sup]]-$F$19)/$F$23)</f>
        <v>74.553333333333342</v>
      </c>
    </row>
    <row r="29" spans="2:21" x14ac:dyDescent="0.2">
      <c r="B29" s="4">
        <v>21</v>
      </c>
      <c r="C29" s="28" t="str">
        <f>IFERROR(oct!Q27,"")</f>
        <v/>
      </c>
      <c r="F29" s="43">
        <f ca="1">F28/75.93</f>
        <v>1.2658839683857075E-2</v>
      </c>
      <c r="K29" s="42">
        <f ca="1">oct!K28</f>
        <v>12</v>
      </c>
      <c r="L29" s="42" t="str">
        <f>oct!L28</f>
        <v>Laura Gómez López</v>
      </c>
      <c r="M29" s="28">
        <f>oct!M28</f>
        <v>70.3</v>
      </c>
      <c r="N29" s="77">
        <f t="shared" si="1"/>
        <v>0.23000000000000398</v>
      </c>
      <c r="O29" s="91">
        <f t="shared" si="2"/>
        <v>70.185000000000002</v>
      </c>
      <c r="P29" s="92">
        <f t="shared" si="3"/>
        <v>70.655000000000001</v>
      </c>
      <c r="Q29" s="91">
        <f t="shared" ca="1" si="4"/>
        <v>72.17333333333336</v>
      </c>
      <c r="R29" s="92">
        <f ca="1">IF($Q$2=$V$2,$F$21*Tabla43[[#This Row],[límite sup]]-$F$19,($F$22*Tabla43[[#This Row],[límite sup]]-$F$19)/$F$23)</f>
        <v>73.113333333333358</v>
      </c>
    </row>
    <row r="30" spans="2:21" x14ac:dyDescent="0.2">
      <c r="B30" s="4">
        <v>22</v>
      </c>
      <c r="C30" s="28" t="str">
        <f>IFERROR(oct!Q28,"")</f>
        <v/>
      </c>
      <c r="K30" s="42">
        <f ca="1">oct!K29</f>
        <v>10</v>
      </c>
      <c r="L30" s="42" t="str">
        <f>oct!L29</f>
        <v>Sergio Alfonso</v>
      </c>
      <c r="M30" s="28">
        <f>oct!M29</f>
        <v>70.069999999999993</v>
      </c>
      <c r="N30" s="77">
        <f t="shared" si="1"/>
        <v>6.9999999999993179E-2</v>
      </c>
      <c r="O30" s="91">
        <f t="shared" si="2"/>
        <v>70.034999999999997</v>
      </c>
      <c r="P30" s="92">
        <f t="shared" si="3"/>
        <v>70.185000000000002</v>
      </c>
      <c r="Q30" s="91">
        <f t="shared" ca="1" si="4"/>
        <v>71.873333333333321</v>
      </c>
      <c r="R30" s="92">
        <f ca="1">IF($Q$2=$V$2,$F$21*Tabla43[[#This Row],[límite sup]]-$F$19,($F$22*Tabla43[[#This Row],[límite sup]]-$F$19)/$F$23)</f>
        <v>72.17333333333336</v>
      </c>
    </row>
    <row r="31" spans="2:21" x14ac:dyDescent="0.2">
      <c r="B31" s="4">
        <v>23</v>
      </c>
      <c r="C31" s="28" t="str">
        <f>IFERROR(oct!Q29,"")</f>
        <v/>
      </c>
      <c r="K31" s="42">
        <f ca="1">oct!K30</f>
        <v>8</v>
      </c>
      <c r="L31" s="42" t="str">
        <f>oct!L30</f>
        <v>Javier Pérez Salazar</v>
      </c>
      <c r="M31" s="28">
        <f>oct!M30</f>
        <v>70</v>
      </c>
      <c r="N31" s="77">
        <f t="shared" si="1"/>
        <v>4.0000000000006253E-2</v>
      </c>
      <c r="O31" s="91">
        <f t="shared" si="2"/>
        <v>69.97999999999999</v>
      </c>
      <c r="P31" s="92">
        <f t="shared" si="3"/>
        <v>70.034999999999997</v>
      </c>
      <c r="Q31" s="91">
        <f t="shared" ca="1" si="4"/>
        <v>71.763333333333321</v>
      </c>
      <c r="R31" s="92">
        <f ca="1">IF($Q$2=$V$2,$F$21*Tabla43[[#This Row],[límite sup]]-$F$19,($F$22*Tabla43[[#This Row],[límite sup]]-$F$19)/$F$23)</f>
        <v>71.873333333333321</v>
      </c>
      <c r="T31">
        <v>52</v>
      </c>
    </row>
    <row r="32" spans="2:21" x14ac:dyDescent="0.2">
      <c r="B32" s="4">
        <v>24</v>
      </c>
      <c r="C32" s="28" t="str">
        <f>IFERROR(oct!Q30,"")</f>
        <v/>
      </c>
      <c r="F32" s="4"/>
      <c r="H32" s="4"/>
      <c r="K32" s="42">
        <f ca="1">oct!K31</f>
        <v>7</v>
      </c>
      <c r="L32" s="42" t="str">
        <f>oct!L31</f>
        <v>Fernando Sánchez-Rey Maeso</v>
      </c>
      <c r="M32" s="28">
        <f>oct!M31</f>
        <v>69.959999999999994</v>
      </c>
      <c r="N32" s="77">
        <f t="shared" si="1"/>
        <v>0.59999999999999432</v>
      </c>
      <c r="O32" s="91">
        <f t="shared" si="2"/>
        <v>69.66</v>
      </c>
      <c r="P32" s="92">
        <f t="shared" si="3"/>
        <v>69.97999999999999</v>
      </c>
      <c r="Q32" s="91">
        <f t="shared" ca="1" si="4"/>
        <v>71.123333333333321</v>
      </c>
      <c r="R32" s="92">
        <f ca="1">IF($Q$2=$V$2,$F$21*Tabla43[[#This Row],[límite sup]]-$F$19,($F$22*Tabla43[[#This Row],[límite sup]]-$F$19)/$F$23)</f>
        <v>71.763333333333321</v>
      </c>
      <c r="T32">
        <v>75</v>
      </c>
    </row>
    <row r="33" spans="2:21" x14ac:dyDescent="0.2">
      <c r="B33" s="4">
        <v>25</v>
      </c>
      <c r="C33" s="28" t="str">
        <f>IFERROR(oct!Q31,"")</f>
        <v/>
      </c>
      <c r="F33" s="4"/>
      <c r="H33" s="28"/>
      <c r="K33" s="42">
        <f ca="1">oct!K32</f>
        <v>6</v>
      </c>
      <c r="L33" s="42" t="str">
        <f>oct!L32</f>
        <v>Víctor Baeschlin Sánchez</v>
      </c>
      <c r="M33" s="28">
        <f>oct!M32</f>
        <v>69.36</v>
      </c>
      <c r="N33" s="77">
        <f t="shared" si="1"/>
        <v>0.28000000000000114</v>
      </c>
      <c r="O33" s="91">
        <f t="shared" si="2"/>
        <v>69.22</v>
      </c>
      <c r="P33" s="92">
        <f t="shared" si="3"/>
        <v>69.66</v>
      </c>
      <c r="Q33" s="91">
        <f t="shared" ca="1" si="4"/>
        <v>70.243333333333339</v>
      </c>
      <c r="R33" s="92">
        <f ca="1">IF($Q$2=$V$2,$F$21*Tabla43[[#This Row],[límite sup]]-$F$19,($F$22*Tabla43[[#This Row],[límite sup]]-$F$19)/$F$23)</f>
        <v>71.123333333333321</v>
      </c>
      <c r="T33">
        <v>75</v>
      </c>
    </row>
    <row r="34" spans="2:21" x14ac:dyDescent="0.2">
      <c r="B34" s="4">
        <v>26</v>
      </c>
      <c r="C34" s="28" t="str">
        <f>IFERROR(oct!Q32,"")</f>
        <v/>
      </c>
      <c r="F34" s="28"/>
      <c r="H34" s="28"/>
      <c r="K34" s="42">
        <f ca="1">oct!K33</f>
        <v>5</v>
      </c>
      <c r="L34" s="42" t="str">
        <f>oct!L33</f>
        <v>Gladys Rocha Blanco</v>
      </c>
      <c r="M34" s="28">
        <f>oct!M33</f>
        <v>69.08</v>
      </c>
      <c r="N34" s="77">
        <f t="shared" si="1"/>
        <v>4.9999999999997158E-2</v>
      </c>
      <c r="O34" s="91">
        <f t="shared" si="2"/>
        <v>69.055000000000007</v>
      </c>
      <c r="P34" s="92">
        <f t="shared" si="3"/>
        <v>69.22</v>
      </c>
      <c r="Q34" s="91">
        <f t="shared" ca="1" si="4"/>
        <v>69.913333333333355</v>
      </c>
      <c r="R34" s="92">
        <f ca="1">IF($Q$2=$V$2,$F$21*Tabla43[[#This Row],[límite sup]]-$F$19,($F$22*Tabla43[[#This Row],[límite sup]]-$F$19)/$F$23)</f>
        <v>70.243333333333339</v>
      </c>
      <c r="T34">
        <v>75</v>
      </c>
      <c r="U34">
        <f>AVERAGE(T31:T34)</f>
        <v>69.25</v>
      </c>
    </row>
    <row r="35" spans="2:21" x14ac:dyDescent="0.2">
      <c r="B35" s="4">
        <v>27</v>
      </c>
      <c r="C35" s="28" t="str">
        <f>IFERROR(oct!Q33,"")</f>
        <v/>
      </c>
      <c r="F35" s="4"/>
      <c r="H35" s="4"/>
      <c r="K35" s="42">
        <f ca="1">oct!K34</f>
        <v>4</v>
      </c>
      <c r="L35" s="42" t="str">
        <f>oct!L34</f>
        <v>Aitor Folch</v>
      </c>
      <c r="M35" s="28">
        <f>oct!M34</f>
        <v>69.03</v>
      </c>
      <c r="N35" s="77">
        <f t="shared" si="1"/>
        <v>0.34999999999999432</v>
      </c>
      <c r="O35" s="91">
        <f t="shared" si="2"/>
        <v>68.855000000000004</v>
      </c>
      <c r="P35" s="92">
        <f t="shared" si="3"/>
        <v>69.055000000000007</v>
      </c>
      <c r="Q35" s="91">
        <f t="shared" ca="1" si="4"/>
        <v>69.51333333333335</v>
      </c>
      <c r="R35" s="92">
        <f ca="1">IF($Q$2=$V$2,$F$21*Tabla43[[#This Row],[límite sup]]-$F$19,($F$22*Tabla43[[#This Row],[límite sup]]-$F$19)/$F$23)</f>
        <v>69.913333333333355</v>
      </c>
    </row>
    <row r="36" spans="2:21" x14ac:dyDescent="0.2">
      <c r="B36" s="4">
        <v>28</v>
      </c>
      <c r="C36" s="28" t="str">
        <f>IFERROR(oct!Q34,"")</f>
        <v/>
      </c>
      <c r="F36" s="28"/>
      <c r="H36" s="28"/>
      <c r="K36" s="42">
        <f ca="1">oct!K35</f>
        <v>3</v>
      </c>
      <c r="L36" s="42" t="str">
        <f>oct!L35</f>
        <v>Beatriz Muñoz Rioboo</v>
      </c>
      <c r="M36" s="28">
        <f>oct!M35</f>
        <v>68.680000000000007</v>
      </c>
      <c r="N36" s="77">
        <f t="shared" si="1"/>
        <v>0.60000000000000853</v>
      </c>
      <c r="O36" s="91">
        <f t="shared" si="2"/>
        <v>68.38</v>
      </c>
      <c r="P36" s="92">
        <f t="shared" si="3"/>
        <v>68.855000000000004</v>
      </c>
      <c r="Q36" s="91">
        <f t="shared" ca="1" si="4"/>
        <v>68.563333333333318</v>
      </c>
      <c r="R36" s="92">
        <f ca="1">IF($Q$2=$V$2,$F$21*Tabla43[[#This Row],[límite sup]]-$F$19,($F$22*Tabla43[[#This Row],[límite sup]]-$F$19)/$F$23)</f>
        <v>69.51333333333335</v>
      </c>
    </row>
    <row r="37" spans="2:21" x14ac:dyDescent="0.2">
      <c r="B37" s="4">
        <v>29</v>
      </c>
      <c r="C37" s="28" t="str">
        <f>IFERROR(oct!Q35,"")</f>
        <v/>
      </c>
      <c r="K37" s="42">
        <f ca="1">oct!K36</f>
        <v>1</v>
      </c>
      <c r="L37" s="42" t="str">
        <f>oct!L36</f>
        <v>Jose F Vidal</v>
      </c>
      <c r="M37" s="28">
        <f>oct!M36</f>
        <v>68.08</v>
      </c>
      <c r="N37" s="77">
        <f t="shared" si="1"/>
        <v>0.23000000000000398</v>
      </c>
      <c r="O37" s="91">
        <f t="shared" si="2"/>
        <v>67.965000000000003</v>
      </c>
      <c r="P37" s="92">
        <f t="shared" si="3"/>
        <v>68.38</v>
      </c>
      <c r="Q37" s="91">
        <f t="shared" ca="1" si="4"/>
        <v>67.733333333333334</v>
      </c>
      <c r="R37" s="92">
        <f ca="1">IF($Q$2=$V$2,$F$21*Tabla43[[#This Row],[límite sup]]-$F$19,($F$22*Tabla43[[#This Row],[límite sup]]-$F$19)/$F$23)</f>
        <v>68.563333333333318</v>
      </c>
    </row>
    <row r="38" spans="2:21" x14ac:dyDescent="0.2">
      <c r="B38" s="4">
        <v>30</v>
      </c>
      <c r="C38" s="28" t="str">
        <f>IFERROR(oct!Q36,"")</f>
        <v/>
      </c>
      <c r="K38" s="42">
        <f ca="1">oct!K37</f>
        <v>2</v>
      </c>
      <c r="L38" s="42" t="str">
        <f>oct!L37</f>
        <v>Alfonso Lezcano</v>
      </c>
      <c r="M38" s="28">
        <f>oct!M37</f>
        <v>67.849999999999994</v>
      </c>
      <c r="N38" s="77">
        <f t="shared" si="1"/>
        <v>1.4499999999999886</v>
      </c>
      <c r="O38" s="91">
        <f t="shared" si="2"/>
        <v>67.125</v>
      </c>
      <c r="P38" s="92">
        <f t="shared" si="3"/>
        <v>67.965000000000003</v>
      </c>
      <c r="Q38" s="91">
        <f t="shared" ca="1" si="4"/>
        <v>66.053333333333342</v>
      </c>
      <c r="R38" s="92">
        <f ca="1">IF($Q$2=$V$2,$F$21*Tabla43[[#This Row],[límite sup]]-$F$19,($F$22*Tabla43[[#This Row],[límite sup]]-$F$19)/$F$23)</f>
        <v>67.733333333333334</v>
      </c>
    </row>
    <row r="39" spans="2:21" x14ac:dyDescent="0.2">
      <c r="B39" s="4"/>
      <c r="C39" s="28"/>
      <c r="K39" s="42">
        <f ca="1">oct!K38</f>
        <v>8</v>
      </c>
      <c r="L39" s="42" t="str">
        <f>oct!L38</f>
        <v>Roque Alonso Alonso</v>
      </c>
      <c r="M39" s="28">
        <f>oct!M38</f>
        <v>66.400000000000006</v>
      </c>
      <c r="N39" s="77">
        <f t="shared" si="1"/>
        <v>0.15000000000000568</v>
      </c>
      <c r="O39" s="91">
        <f t="shared" si="2"/>
        <v>66.325000000000003</v>
      </c>
      <c r="P39" s="92">
        <f t="shared" si="3"/>
        <v>67.125</v>
      </c>
      <c r="Q39" s="91">
        <f t="shared" ca="1" si="4"/>
        <v>64.453333333333333</v>
      </c>
      <c r="R39" s="92">
        <f ca="1">IF($Q$2=$V$2,$F$21*Tabla43[[#This Row],[límite sup]]-$F$19,($F$22*Tabla43[[#This Row],[límite sup]]-$F$19)/$F$23)</f>
        <v>66.053333333333342</v>
      </c>
    </row>
    <row r="40" spans="2:21" x14ac:dyDescent="0.2">
      <c r="B40" s="4"/>
      <c r="C40" s="28" t="str">
        <f>IFERROR(omie_mayo_miniporra[[#This Row],[€/MWh]],"")</f>
        <v/>
      </c>
      <c r="K40" s="42">
        <f ca="1">oct!K39</f>
        <v>11</v>
      </c>
      <c r="L40" s="42" t="str">
        <f>oct!L39</f>
        <v>Josep Vidal</v>
      </c>
      <c r="M40" s="28">
        <f>oct!M39</f>
        <v>66.25</v>
      </c>
      <c r="N40" s="77">
        <f t="shared" si="1"/>
        <v>0.89000000000000057</v>
      </c>
      <c r="O40" s="91">
        <f t="shared" si="2"/>
        <v>65.805000000000007</v>
      </c>
      <c r="P40" s="92">
        <f t="shared" si="3"/>
        <v>66.325000000000003</v>
      </c>
      <c r="Q40" s="91">
        <f t="shared" ca="1" si="4"/>
        <v>63.413333333333341</v>
      </c>
      <c r="R40" s="92">
        <f ca="1">IF($Q$2=$V$2,$F$21*Tabla43[[#This Row],[límite sup]]-$F$19,($F$22*Tabla43[[#This Row],[límite sup]]-$F$19)/$F$23)</f>
        <v>64.453333333333333</v>
      </c>
    </row>
    <row r="41" spans="2:21" x14ac:dyDescent="0.2">
      <c r="B41" s="4"/>
      <c r="C41" s="28" t="str">
        <f>IFERROR(omie_mayo_miniporra[[#This Row],[€/MWh]],"")</f>
        <v/>
      </c>
      <c r="K41" s="42">
        <f ca="1">oct!K40</f>
        <v>14</v>
      </c>
      <c r="L41" s="42" t="str">
        <f>oct!L40</f>
        <v>Ruben Sanjuan Escribano</v>
      </c>
      <c r="M41" s="28">
        <f>oct!M40</f>
        <v>65.36</v>
      </c>
      <c r="N41" s="77">
        <f t="shared" si="1"/>
        <v>0.12999999999999545</v>
      </c>
      <c r="O41" s="91">
        <f t="shared" si="2"/>
        <v>65.295000000000002</v>
      </c>
      <c r="P41" s="92">
        <f t="shared" si="3"/>
        <v>65.805000000000007</v>
      </c>
      <c r="Q41" s="91">
        <f t="shared" ca="1" si="4"/>
        <v>62.393333333333345</v>
      </c>
      <c r="R41" s="92">
        <f ca="1">IF($Q$2=$V$2,$F$21*Tabla43[[#This Row],[límite sup]]-$F$19,($F$22*Tabla43[[#This Row],[límite sup]]-$F$19)/$F$23)</f>
        <v>63.413333333333341</v>
      </c>
    </row>
    <row r="42" spans="2:21" x14ac:dyDescent="0.2">
      <c r="B42" s="4"/>
      <c r="C42" s="28" t="str">
        <f>IFERROR(omie_mayo_miniporra[[#This Row],[€/MWh]],"")</f>
        <v/>
      </c>
      <c r="K42" s="42">
        <f ca="1">oct!K41</f>
        <v>15</v>
      </c>
      <c r="L42" s="42" t="str">
        <f>oct!L41</f>
        <v>Ricardo Estévez Solís</v>
      </c>
      <c r="M42" s="28">
        <f>oct!M41</f>
        <v>65.23</v>
      </c>
      <c r="N42" s="77">
        <f t="shared" si="1"/>
        <v>2.8300000000000054</v>
      </c>
      <c r="O42" s="91">
        <f t="shared" si="2"/>
        <v>63.814999999999998</v>
      </c>
      <c r="P42" s="92">
        <f t="shared" si="3"/>
        <v>65.295000000000002</v>
      </c>
      <c r="Q42" s="91">
        <f t="shared" ca="1" si="4"/>
        <v>59.433333333333323</v>
      </c>
      <c r="R42" s="92">
        <f ca="1">IF($Q$2=$V$2,$F$21*Tabla43[[#This Row],[límite sup]]-$F$19,($F$22*Tabla43[[#This Row],[límite sup]]-$F$19)/$F$23)</f>
        <v>62.393333333333345</v>
      </c>
    </row>
    <row r="43" spans="2:21" x14ac:dyDescent="0.2">
      <c r="B43" s="4"/>
      <c r="C43" s="28" t="str">
        <f>IFERROR(omie_mayo_miniporra[[#This Row],[€/MWh]],"")</f>
        <v/>
      </c>
      <c r="F43" s="4"/>
      <c r="K43" s="42">
        <f ca="1">oct!K42</f>
        <v>21</v>
      </c>
      <c r="L43" s="42" t="str">
        <f>oct!L42</f>
        <v>Diego Montesino</v>
      </c>
      <c r="M43" s="28">
        <f>oct!M42</f>
        <v>62.4</v>
      </c>
      <c r="N43" s="77">
        <f t="shared" si="1"/>
        <v>2.3999999999999986</v>
      </c>
      <c r="O43" s="91">
        <f t="shared" si="2"/>
        <v>61.2</v>
      </c>
      <c r="P43" s="92">
        <f t="shared" si="3"/>
        <v>63.814999999999998</v>
      </c>
      <c r="Q43" s="91">
        <f t="shared" ca="1" si="4"/>
        <v>54.20333333333334</v>
      </c>
      <c r="R43" s="92">
        <f ca="1">IF($Q$2=$V$2,$F$21*Tabla43[[#This Row],[límite sup]]-$F$19,($F$22*Tabla43[[#This Row],[límite sup]]-$F$19)/$F$23)</f>
        <v>59.433333333333323</v>
      </c>
    </row>
    <row r="44" spans="2:21" x14ac:dyDescent="0.2">
      <c r="K44" s="42">
        <f ca="1">oct!K43</f>
        <v>25</v>
      </c>
      <c r="L44" s="42" t="str">
        <f>oct!L43</f>
        <v>Alfonso Zárate Conde</v>
      </c>
      <c r="M44" s="28">
        <f>oct!M43</f>
        <v>60</v>
      </c>
      <c r="N44" s="77">
        <f t="shared" si="1"/>
        <v>0.20000000000000284</v>
      </c>
      <c r="O44" s="91">
        <f t="shared" si="2"/>
        <v>59.9</v>
      </c>
      <c r="P44" s="92">
        <f t="shared" si="3"/>
        <v>61.2</v>
      </c>
      <c r="Q44" s="91">
        <f t="shared" ca="1" si="4"/>
        <v>51.603333333333339</v>
      </c>
      <c r="R44" s="92">
        <f ca="1">IF($Q$2=$V$2,$F$21*Tabla43[[#This Row],[límite sup]]-$F$19,($F$22*Tabla43[[#This Row],[límite sup]]-$F$19)/$F$23)</f>
        <v>54.20333333333334</v>
      </c>
    </row>
    <row r="45" spans="2:21" x14ac:dyDescent="0.2">
      <c r="K45" s="42">
        <f ca="1">oct!K44</f>
        <v>26</v>
      </c>
      <c r="L45" s="42" t="str">
        <f>oct!L44</f>
        <v>Carles Estruch Puig</v>
      </c>
      <c r="M45" s="28">
        <f>oct!M44</f>
        <v>59.8</v>
      </c>
      <c r="N45" s="77">
        <f t="shared" si="1"/>
        <v>15.18</v>
      </c>
      <c r="O45" s="91">
        <f t="shared" si="2"/>
        <v>52.209999999999994</v>
      </c>
      <c r="P45" s="92">
        <f t="shared" si="3"/>
        <v>59.9</v>
      </c>
      <c r="Q45" s="91">
        <f t="shared" ca="1" si="4"/>
        <v>36.223333333333322</v>
      </c>
      <c r="R45" s="92">
        <f ca="1">IF($Q$2=$V$2,$F$21*Tabla43[[#This Row],[límite sup]]-$F$19,($F$22*Tabla43[[#This Row],[límite sup]]-$F$19)/$F$23)</f>
        <v>51.603333333333339</v>
      </c>
    </row>
    <row r="46" spans="2:21" x14ac:dyDescent="0.2">
      <c r="K46" s="42">
        <f ca="1">oct!K45</f>
        <v>38</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36.223333333333322</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K8:R58">
    <cfRule type="expression" dxfId="43" priority="1" stopIfTrue="1">
      <formula>$K8:$K58=1</formula>
    </cfRule>
    <cfRule type="expression" priority="2" stopIfTrue="1">
      <formula>$M8:$M58&gt;=$U$13+1</formula>
    </cfRule>
    <cfRule type="expression" dxfId="42" priority="74">
      <formula>$M8:$M58&gt;=$U$10+1</formula>
    </cfRule>
    <cfRule type="expression" dxfId="41" priority="75">
      <formula>$M8:$M58&gt;=$U$9</formula>
    </cfRule>
    <cfRule type="expression" dxfId="40"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S44" sqref="S44"/>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73</v>
      </c>
    </row>
    <row r="6" spans="1:26" x14ac:dyDescent="0.2">
      <c r="A6" t="s">
        <v>1135</v>
      </c>
      <c r="B6" s="81">
        <v>62.4</v>
      </c>
      <c r="C6">
        <f t="shared" si="0"/>
        <v>2.2754318961164997E-2</v>
      </c>
      <c r="D6">
        <f t="shared" si="1"/>
        <v>0.13993556488377709</v>
      </c>
      <c r="Y6" t="s">
        <v>959</v>
      </c>
      <c r="Z6" s="23">
        <f>powerrange!U10</f>
        <v>81</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72.97</v>
      </c>
    </row>
    <row r="45" spans="1:18" x14ac:dyDescent="0.2">
      <c r="B45" s="28"/>
      <c r="K45" s="15" t="s">
        <v>222</v>
      </c>
      <c r="L45" s="99">
        <v>81.599999999999994</v>
      </c>
      <c r="M45" s="4">
        <v>0</v>
      </c>
      <c r="Q45" t="s">
        <v>4</v>
      </c>
      <c r="R45" s="21">
        <f ca="1">oct!B3</f>
        <v>68.2</v>
      </c>
    </row>
    <row r="46" spans="1:18" x14ac:dyDescent="0.2">
      <c r="B46" s="28"/>
      <c r="L46" s="4">
        <f>L45</f>
        <v>81.599999999999994</v>
      </c>
      <c r="M46" t="e">
        <f>INDEX(C3:C55,MATCH(L46,B3:B53,-1))</f>
        <v>#N/A</v>
      </c>
      <c r="Q46" t="s">
        <v>1034</v>
      </c>
      <c r="R46" s="21">
        <f ca="1">ABS(R44-R45)</f>
        <v>4.769999999999996</v>
      </c>
    </row>
    <row r="47" spans="1:18" x14ac:dyDescent="0.2">
      <c r="B47" s="28"/>
      <c r="L47" s="4"/>
      <c r="M47" s="4"/>
      <c r="Q47" t="s">
        <v>1035</v>
      </c>
      <c r="R47" s="43">
        <f ca="1">R46/R45</f>
        <v>6.9941348973606973E-2</v>
      </c>
    </row>
    <row r="48" spans="1:18" x14ac:dyDescent="0.2">
      <c r="B48" s="28"/>
      <c r="L48" s="4"/>
      <c r="M48" s="4"/>
    </row>
    <row r="49" spans="1:13" x14ac:dyDescent="0.2">
      <c r="B49" s="28"/>
      <c r="K49" t="s">
        <v>229</v>
      </c>
      <c r="L49" s="44">
        <f ca="1">oct!$B$3</f>
        <v>68.2</v>
      </c>
      <c r="M49" s="4">
        <v>0</v>
      </c>
    </row>
    <row r="50" spans="1:13" x14ac:dyDescent="0.2">
      <c r="B50" s="28"/>
      <c r="L50" s="28">
        <f ca="1">L49</f>
        <v>68.2</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39" priority="7">
      <formula>$L3=3</formula>
    </cfRule>
    <cfRule type="expression" dxfId="38" priority="8">
      <formula>$L3=2</formula>
    </cfRule>
    <cfRule type="expression" dxfId="37" priority="9">
      <formula>$L3=1</formula>
    </cfRule>
  </conditionalFormatting>
  <conditionalFormatting sqref="B46">
    <cfRule type="expression" dxfId="36" priority="49">
      <formula>#REF!=3</formula>
    </cfRule>
    <cfRule type="expression" dxfId="35" priority="50">
      <formula>#REF!=2</formula>
    </cfRule>
    <cfRule type="expression" dxfId="34"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2" width="6" style="4" bestFit="1" customWidth="1"/>
    <col min="3"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6" t="s">
        <v>254</v>
      </c>
      <c r="B1" s="156"/>
      <c r="C1" s="156"/>
      <c r="D1" s="156"/>
      <c r="E1" s="156"/>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60.38</v>
      </c>
      <c r="D4" s="4">
        <v>80.94</v>
      </c>
      <c r="E4" s="4">
        <v>72.22</v>
      </c>
      <c r="G4" s="4">
        <v>1</v>
      </c>
      <c r="H4" s="4">
        <v>38.940000000000019</v>
      </c>
      <c r="I4" s="4">
        <v>39.590000000000003</v>
      </c>
      <c r="K4" s="4">
        <v>1</v>
      </c>
      <c r="L4" s="4">
        <v>63.22000000000002</v>
      </c>
      <c r="M4" s="4">
        <v>62.68</v>
      </c>
      <c r="O4" s="4">
        <v>1</v>
      </c>
      <c r="P4" s="4">
        <v>68.195999999999998</v>
      </c>
      <c r="Q4" s="4">
        <v>97.901249999999962</v>
      </c>
      <c r="R4" s="4">
        <v>0.125</v>
      </c>
      <c r="S4" s="4">
        <v>0.442</v>
      </c>
      <c r="T4" s="4">
        <v>8.3333333333333329E-2</v>
      </c>
      <c r="U4" s="4">
        <v>0.05</v>
      </c>
      <c r="V4" s="4">
        <v>0.58333333333333337</v>
      </c>
      <c r="W4" s="4">
        <v>0.41699999999999998</v>
      </c>
      <c r="X4" s="4">
        <v>640</v>
      </c>
      <c r="Y4" s="4">
        <v>84.756666666666661</v>
      </c>
      <c r="Z4" s="4">
        <v>55.63</v>
      </c>
      <c r="AA4" s="4">
        <v>144.89499999999998</v>
      </c>
      <c r="AB4" s="4">
        <v>64.932000000000002</v>
      </c>
      <c r="AC4" s="4">
        <v>93.67714285714284</v>
      </c>
      <c r="AD4" s="4">
        <v>77.057000000000002</v>
      </c>
      <c r="AE4" s="4">
        <f>IF(ISBLANK(t_omie_evol[[#This Row],[Omie media diaria]]),$X$39,t_omie_evol[[#This Row],[demanda GWh]])</f>
        <v>640</v>
      </c>
    </row>
    <row r="5" spans="1:31" x14ac:dyDescent="0.2">
      <c r="A5" s="4">
        <v>2</v>
      </c>
      <c r="B5" s="4">
        <v>49.28</v>
      </c>
      <c r="D5" s="4">
        <v>81.38</v>
      </c>
      <c r="E5" s="4">
        <v>63.51</v>
      </c>
      <c r="G5" s="4">
        <v>2</v>
      </c>
      <c r="H5" s="4">
        <v>39.360000000000007</v>
      </c>
      <c r="I5" s="4">
        <v>39.590000000000003</v>
      </c>
      <c r="K5" s="4">
        <v>2</v>
      </c>
      <c r="L5" s="4">
        <v>62.210000000000015</v>
      </c>
      <c r="M5" s="4">
        <v>62.68</v>
      </c>
      <c r="O5" s="4">
        <v>2</v>
      </c>
      <c r="P5" s="4">
        <v>68.195999999999998</v>
      </c>
      <c r="Q5" s="4">
        <v>93.593750000000014</v>
      </c>
      <c r="R5" s="4">
        <v>0.33333333333333331</v>
      </c>
      <c r="S5" s="4">
        <v>0.442</v>
      </c>
      <c r="T5" s="4">
        <v>8.3333333333333329E-2</v>
      </c>
      <c r="U5" s="4">
        <v>4.8000000000000001E-2</v>
      </c>
      <c r="V5" s="4">
        <v>0.45833333333333326</v>
      </c>
      <c r="W5" s="4">
        <v>0.40500000000000003</v>
      </c>
      <c r="X5" s="4">
        <v>657</v>
      </c>
      <c r="Y5" s="4">
        <v>97.902500000000003</v>
      </c>
      <c r="Z5" s="4">
        <v>55.63</v>
      </c>
      <c r="AA5" s="4">
        <v>121.86</v>
      </c>
      <c r="AB5" s="4">
        <v>64.932000000000002</v>
      </c>
      <c r="AC5" s="4">
        <v>85.851818181818189</v>
      </c>
      <c r="AD5" s="4">
        <v>77.057000000000002</v>
      </c>
      <c r="AE5" s="4">
        <f>IF(ISBLANK(t_omie_evol[[#This Row],[Omie media diaria]]),$X$39,t_omie_evol[[#This Row],[demanda GWh]])</f>
        <v>657</v>
      </c>
    </row>
    <row r="6" spans="1:31" x14ac:dyDescent="0.2">
      <c r="A6" s="4">
        <v>3</v>
      </c>
      <c r="B6" s="4">
        <v>25.31</v>
      </c>
      <c r="D6" s="4">
        <v>74.84</v>
      </c>
      <c r="E6" s="4">
        <v>60.57</v>
      </c>
      <c r="G6" s="4">
        <v>3</v>
      </c>
      <c r="H6" s="4">
        <v>38.639999999999993</v>
      </c>
      <c r="I6" s="4">
        <v>39.590000000000003</v>
      </c>
      <c r="K6" s="4">
        <v>3</v>
      </c>
      <c r="L6" s="4">
        <v>62.27999999999998</v>
      </c>
      <c r="M6" s="4">
        <v>62.68</v>
      </c>
      <c r="O6" s="4">
        <v>3</v>
      </c>
      <c r="P6" s="4">
        <v>68.195999999999998</v>
      </c>
      <c r="Q6" s="4">
        <v>57.919999999999987</v>
      </c>
      <c r="R6" s="4">
        <v>0.54166666666666663</v>
      </c>
      <c r="S6" s="4">
        <v>0.442</v>
      </c>
      <c r="T6" s="4">
        <v>4.1666666666666664E-2</v>
      </c>
      <c r="U6" s="4">
        <v>4.4999999999999998E-2</v>
      </c>
      <c r="V6" s="4">
        <v>0.375</v>
      </c>
      <c r="W6" s="4">
        <v>0.40100000000000002</v>
      </c>
      <c r="X6" s="4">
        <v>648</v>
      </c>
      <c r="Y6" s="4">
        <v>33.095384615384617</v>
      </c>
      <c r="Z6" s="4">
        <v>55.63</v>
      </c>
      <c r="AA6" s="4">
        <v>91.88</v>
      </c>
      <c r="AB6" s="4">
        <v>64.932000000000002</v>
      </c>
      <c r="AC6" s="4">
        <v>87.814444444444447</v>
      </c>
      <c r="AD6" s="4">
        <v>77.057000000000002</v>
      </c>
      <c r="AE6" s="4">
        <f>IF(ISBLANK(t_omie_evol[[#This Row],[Omie media diaria]]),$X$39,t_omie_evol[[#This Row],[demanda GWh]])</f>
        <v>648</v>
      </c>
    </row>
    <row r="7" spans="1:31" x14ac:dyDescent="0.2">
      <c r="A7" s="4">
        <v>4</v>
      </c>
      <c r="B7" s="4">
        <v>33.19</v>
      </c>
      <c r="D7" s="4">
        <v>86.08</v>
      </c>
      <c r="E7" s="4">
        <v>54.49</v>
      </c>
      <c r="G7" s="4">
        <v>4</v>
      </c>
      <c r="H7" s="4">
        <v>39.49</v>
      </c>
      <c r="I7" s="4">
        <v>39.590000000000003</v>
      </c>
      <c r="K7" s="4">
        <v>4</v>
      </c>
      <c r="L7" s="4">
        <v>61</v>
      </c>
      <c r="M7" s="4">
        <v>62.68</v>
      </c>
      <c r="O7" s="4">
        <v>4</v>
      </c>
      <c r="P7" s="4">
        <v>68.195999999999998</v>
      </c>
      <c r="Q7" s="4">
        <v>98.975833333333313</v>
      </c>
      <c r="R7" s="4">
        <v>0.375</v>
      </c>
      <c r="S7" s="4">
        <v>0.442</v>
      </c>
      <c r="T7" s="4">
        <v>0</v>
      </c>
      <c r="U7" s="4">
        <v>4.4999999999999998E-2</v>
      </c>
      <c r="V7" s="4">
        <v>0.58333333333333337</v>
      </c>
      <c r="W7" s="4">
        <v>0.40300000000000002</v>
      </c>
      <c r="X7" s="4">
        <v>632</v>
      </c>
      <c r="Y7" s="4">
        <v>81.785555555555561</v>
      </c>
      <c r="Z7" s="4">
        <v>55.63</v>
      </c>
      <c r="AA7" s="4">
        <v>0</v>
      </c>
      <c r="AB7" s="4">
        <v>64.932000000000002</v>
      </c>
      <c r="AC7" s="4">
        <v>107.29357142857144</v>
      </c>
      <c r="AD7" s="4">
        <v>77.057000000000002</v>
      </c>
      <c r="AE7" s="4">
        <f>IF(ISBLANK(t_omie_evol[[#This Row],[Omie media diaria]]),$X$39,t_omie_evol[[#This Row],[demanda GWh]])</f>
        <v>632</v>
      </c>
    </row>
    <row r="8" spans="1:31" x14ac:dyDescent="0.2">
      <c r="A8" s="4">
        <v>5</v>
      </c>
      <c r="B8" s="4">
        <v>35.520000000000003</v>
      </c>
      <c r="C8" s="4">
        <v>84.72</v>
      </c>
      <c r="D8" s="4">
        <v>80.67</v>
      </c>
      <c r="E8" s="4">
        <v>52.14</v>
      </c>
      <c r="G8" s="4">
        <v>5</v>
      </c>
      <c r="H8" s="4">
        <v>40.74</v>
      </c>
      <c r="I8" s="4">
        <v>39.590000000000003</v>
      </c>
      <c r="K8" s="4">
        <v>5</v>
      </c>
      <c r="L8" s="4">
        <v>61</v>
      </c>
      <c r="M8" s="4">
        <v>62.68</v>
      </c>
      <c r="O8" s="4">
        <v>5</v>
      </c>
      <c r="P8" s="4">
        <v>68.195999999999998</v>
      </c>
      <c r="Q8" s="4">
        <v>60.395416666666669</v>
      </c>
      <c r="R8" s="4">
        <v>0.33333333333333331</v>
      </c>
      <c r="S8" s="4">
        <v>0.442</v>
      </c>
      <c r="T8" s="4">
        <v>0</v>
      </c>
      <c r="U8" s="4">
        <v>4.9000000000000002E-2</v>
      </c>
      <c r="V8" s="4">
        <v>0.45833333333333326</v>
      </c>
      <c r="W8" s="4">
        <v>0.38600000000000001</v>
      </c>
      <c r="X8" s="4">
        <v>564</v>
      </c>
      <c r="Y8" s="4">
        <v>50.582500000000003</v>
      </c>
      <c r="Z8" s="4">
        <v>55.63</v>
      </c>
      <c r="AA8" s="4">
        <v>0</v>
      </c>
      <c r="AB8" s="4">
        <v>64.932000000000002</v>
      </c>
      <c r="AC8" s="4">
        <v>57.695454545454545</v>
      </c>
      <c r="AD8" s="4">
        <v>77.057000000000002</v>
      </c>
      <c r="AE8" s="4">
        <f>IF(ISBLANK(t_omie_evol[[#This Row],[Omie media diaria]]),$X$39,t_omie_evol[[#This Row],[demanda GWh]])</f>
        <v>564</v>
      </c>
    </row>
    <row r="9" spans="1:31" x14ac:dyDescent="0.2">
      <c r="A9" s="4">
        <v>6</v>
      </c>
      <c r="B9" s="4">
        <v>40.119999999999997</v>
      </c>
      <c r="D9" s="4">
        <v>85.71</v>
      </c>
      <c r="E9" s="4">
        <v>55.85</v>
      </c>
      <c r="G9" s="4">
        <v>6</v>
      </c>
      <c r="H9" s="4">
        <v>40.730000000000011</v>
      </c>
      <c r="I9" s="4">
        <v>39.590000000000003</v>
      </c>
      <c r="K9" s="4">
        <v>6</v>
      </c>
      <c r="L9" s="4">
        <v>61</v>
      </c>
      <c r="M9" s="4">
        <v>62.68</v>
      </c>
      <c r="O9" s="4">
        <v>6</v>
      </c>
      <c r="P9" s="4">
        <v>68.195999999999998</v>
      </c>
      <c r="Q9" s="4">
        <v>21.961666666666662</v>
      </c>
      <c r="R9" s="4">
        <v>0.58333333333333337</v>
      </c>
      <c r="S9" s="4">
        <v>0.442</v>
      </c>
      <c r="T9" s="4">
        <v>0</v>
      </c>
      <c r="U9" s="4">
        <v>5.3999999999999999E-2</v>
      </c>
      <c r="V9" s="4">
        <v>0.41666666666666674</v>
      </c>
      <c r="W9" s="4">
        <v>0.379</v>
      </c>
      <c r="X9" s="4">
        <v>537</v>
      </c>
      <c r="Y9" s="4">
        <v>15.50285714285714</v>
      </c>
      <c r="Z9" s="4">
        <v>55.63</v>
      </c>
      <c r="AA9" s="4">
        <v>0</v>
      </c>
      <c r="AB9" s="4">
        <v>64.932000000000002</v>
      </c>
      <c r="AC9" s="4">
        <v>31.004000000000001</v>
      </c>
      <c r="AD9" s="4">
        <v>77.057000000000002</v>
      </c>
      <c r="AE9" s="4">
        <f>IF(ISBLANK(t_omie_evol[[#This Row],[Omie media diaria]]),$X$39,t_omie_evol[[#This Row],[demanda GWh]])</f>
        <v>537</v>
      </c>
    </row>
    <row r="10" spans="1:31" x14ac:dyDescent="0.2">
      <c r="A10" s="4">
        <v>7</v>
      </c>
      <c r="B10" s="4">
        <v>53.54</v>
      </c>
      <c r="C10" s="4">
        <v>99.95</v>
      </c>
      <c r="D10" s="4">
        <v>102</v>
      </c>
      <c r="E10" s="4">
        <v>67.56</v>
      </c>
      <c r="G10" s="4">
        <v>7</v>
      </c>
      <c r="H10" s="4">
        <v>41.24</v>
      </c>
      <c r="I10" s="4">
        <v>39.590000000000003</v>
      </c>
      <c r="K10" s="4">
        <v>7</v>
      </c>
      <c r="L10" s="4">
        <v>61.920000000000016</v>
      </c>
      <c r="M10" s="4">
        <v>62.68</v>
      </c>
      <c r="O10" s="4">
        <v>7</v>
      </c>
      <c r="P10" s="4">
        <v>68.195999999999998</v>
      </c>
      <c r="Q10" s="4">
        <v>55.454999999999991</v>
      </c>
      <c r="R10" s="4">
        <v>0.5</v>
      </c>
      <c r="S10" s="4">
        <v>0.442</v>
      </c>
      <c r="T10" s="4">
        <v>0</v>
      </c>
      <c r="U10" s="4">
        <v>0.06</v>
      </c>
      <c r="V10" s="4">
        <v>0.41666666666666674</v>
      </c>
      <c r="W10" s="4">
        <v>0.375</v>
      </c>
      <c r="X10" s="4">
        <v>647</v>
      </c>
      <c r="Y10" s="4">
        <v>46.293333333333329</v>
      </c>
      <c r="Z10" s="4">
        <v>55.63</v>
      </c>
      <c r="AA10" s="4">
        <v>0</v>
      </c>
      <c r="AB10" s="4">
        <v>64.932000000000002</v>
      </c>
      <c r="AC10" s="4">
        <v>62.44100000000001</v>
      </c>
      <c r="AD10" s="4">
        <v>77.057000000000002</v>
      </c>
      <c r="AE10" s="4">
        <f>IF(ISBLANK(t_omie_evol[[#This Row],[Omie media diaria]]),$X$39,t_omie_evol[[#This Row],[demanda GWh]])</f>
        <v>647</v>
      </c>
    </row>
    <row r="11" spans="1:31" x14ac:dyDescent="0.2">
      <c r="A11" s="4">
        <v>8</v>
      </c>
      <c r="B11" s="4">
        <v>78.33</v>
      </c>
      <c r="C11" s="4">
        <v>121.17</v>
      </c>
      <c r="D11" s="4">
        <v>109.18</v>
      </c>
      <c r="E11" s="4">
        <v>86.82</v>
      </c>
      <c r="G11" s="4">
        <v>8</v>
      </c>
      <c r="H11" s="4">
        <v>40.299999999999983</v>
      </c>
      <c r="I11" s="4">
        <v>39.590000000000003</v>
      </c>
      <c r="K11" s="4">
        <v>8</v>
      </c>
      <c r="L11" s="4">
        <v>59.869999999999969</v>
      </c>
      <c r="M11" s="4">
        <v>62.68</v>
      </c>
      <c r="O11" s="4">
        <v>8</v>
      </c>
      <c r="P11" s="4">
        <v>68.195999999999998</v>
      </c>
      <c r="Q11" s="4">
        <v>31.374583333333337</v>
      </c>
      <c r="R11" s="4">
        <v>0.70833333333333337</v>
      </c>
      <c r="S11" s="4">
        <v>0.442</v>
      </c>
      <c r="T11" s="4">
        <v>0</v>
      </c>
      <c r="U11" s="4">
        <v>6.8000000000000005E-2</v>
      </c>
      <c r="V11" s="4">
        <v>0.25</v>
      </c>
      <c r="W11" s="4">
        <v>0.37</v>
      </c>
      <c r="X11" s="4">
        <v>642</v>
      </c>
      <c r="Y11" s="4">
        <v>22.908823529411759</v>
      </c>
      <c r="Z11" s="4">
        <v>55.63</v>
      </c>
      <c r="AA11" s="4">
        <v>0</v>
      </c>
      <c r="AB11" s="4">
        <v>64.932000000000002</v>
      </c>
      <c r="AC11" s="4">
        <v>51.759999999999991</v>
      </c>
      <c r="AD11" s="4">
        <v>77.057000000000002</v>
      </c>
      <c r="AE11" s="4">
        <f>IF(ISBLANK(t_omie_evol[[#This Row],[Omie media diaria]]),$X$39,t_omie_evol[[#This Row],[demanda GWh]])</f>
        <v>642</v>
      </c>
    </row>
    <row r="12" spans="1:31" x14ac:dyDescent="0.2">
      <c r="A12" s="4">
        <v>9</v>
      </c>
      <c r="B12" s="4">
        <v>59.57</v>
      </c>
      <c r="C12" s="4">
        <v>119.78</v>
      </c>
      <c r="D12" s="4">
        <v>105.18</v>
      </c>
      <c r="E12" s="4">
        <v>99.95</v>
      </c>
      <c r="G12" s="4">
        <v>9</v>
      </c>
      <c r="H12" s="4">
        <v>38.590000000000025</v>
      </c>
      <c r="I12" s="4">
        <v>39.590000000000003</v>
      </c>
      <c r="K12" s="4">
        <v>9</v>
      </c>
      <c r="L12" s="4">
        <v>61.75</v>
      </c>
      <c r="M12" s="4">
        <v>62.68</v>
      </c>
      <c r="O12" s="4">
        <v>9</v>
      </c>
      <c r="P12" s="4">
        <v>68.195999999999998</v>
      </c>
      <c r="Q12" s="4">
        <v>24.51541666666667</v>
      </c>
      <c r="R12" s="4">
        <v>0.58333333333333337</v>
      </c>
      <c r="S12" s="4">
        <v>0.442</v>
      </c>
      <c r="T12" s="4">
        <v>0</v>
      </c>
      <c r="U12" s="4">
        <v>7.6999999999999999E-2</v>
      </c>
      <c r="V12" s="4">
        <v>0.33333333333333331</v>
      </c>
      <c r="W12" s="4">
        <v>0.38700000000000001</v>
      </c>
      <c r="X12" s="4">
        <v>640</v>
      </c>
      <c r="Y12" s="4">
        <v>11.890714285714283</v>
      </c>
      <c r="Z12" s="4">
        <v>55.63</v>
      </c>
      <c r="AA12" s="4">
        <v>0</v>
      </c>
      <c r="AB12" s="4">
        <v>64.932000000000002</v>
      </c>
      <c r="AC12" s="4">
        <v>42.737499999999997</v>
      </c>
      <c r="AD12" s="4">
        <v>77.057000000000002</v>
      </c>
      <c r="AE12" s="4">
        <f>IF(ISBLANK(t_omie_evol[[#This Row],[Omie media diaria]]),$X$39,t_omie_evol[[#This Row],[demanda GWh]])</f>
        <v>640</v>
      </c>
    </row>
    <row r="13" spans="1:31" x14ac:dyDescent="0.2">
      <c r="A13" s="4">
        <v>10</v>
      </c>
      <c r="B13" s="4">
        <v>69.150000000000006</v>
      </c>
      <c r="C13" s="4">
        <v>122.86</v>
      </c>
      <c r="D13" s="4">
        <v>78.38</v>
      </c>
      <c r="E13" s="4">
        <v>82.43</v>
      </c>
      <c r="G13" s="4">
        <v>10</v>
      </c>
      <c r="H13" s="4">
        <v>38.119999999999997</v>
      </c>
      <c r="I13" s="4">
        <v>39.590000000000003</v>
      </c>
      <c r="K13" s="4">
        <v>10</v>
      </c>
      <c r="L13" s="4">
        <v>64.539999999999978</v>
      </c>
      <c r="M13" s="4">
        <v>62.68</v>
      </c>
      <c r="O13" s="4">
        <v>10</v>
      </c>
      <c r="P13" s="4">
        <v>68.195999999999998</v>
      </c>
      <c r="Q13" s="4">
        <v>76.181666666666658</v>
      </c>
      <c r="R13" s="4">
        <v>0.58333333333333337</v>
      </c>
      <c r="S13" s="4">
        <v>0.442</v>
      </c>
      <c r="T13" s="4">
        <v>0.16666666666666666</v>
      </c>
      <c r="U13" s="4">
        <v>0.09</v>
      </c>
      <c r="V13" s="4">
        <v>0.20833333333333337</v>
      </c>
      <c r="W13" s="4">
        <v>0.39600000000000002</v>
      </c>
      <c r="X13" s="4">
        <v>628</v>
      </c>
      <c r="Y13" s="4">
        <v>46.634285714285717</v>
      </c>
      <c r="Z13" s="4">
        <v>55.63</v>
      </c>
      <c r="AA13" s="4">
        <v>142.75</v>
      </c>
      <c r="AB13" s="4">
        <v>64.932000000000002</v>
      </c>
      <c r="AC13" s="4">
        <v>100.896</v>
      </c>
      <c r="AD13" s="4">
        <v>77.057000000000002</v>
      </c>
      <c r="AE13" s="4">
        <f>IF(ISBLANK(t_omie_evol[[#This Row],[Omie media diaria]]),$X$39,t_omie_evol[[#This Row],[demanda GWh]])</f>
        <v>628</v>
      </c>
    </row>
    <row r="14" spans="1:31" x14ac:dyDescent="0.2">
      <c r="A14" s="4">
        <v>11</v>
      </c>
      <c r="B14" s="4">
        <v>58.32</v>
      </c>
      <c r="D14" s="4">
        <v>78.86</v>
      </c>
      <c r="E14" s="4">
        <v>66.61</v>
      </c>
      <c r="G14" s="4">
        <v>11</v>
      </c>
      <c r="H14" s="4">
        <v>39.789999999999985</v>
      </c>
      <c r="I14" s="4">
        <v>39.590000000000003</v>
      </c>
      <c r="K14" s="4">
        <v>11</v>
      </c>
      <c r="L14" s="4">
        <v>64.279999999999987</v>
      </c>
      <c r="M14" s="4">
        <v>62.68</v>
      </c>
      <c r="O14" s="4">
        <v>11</v>
      </c>
      <c r="P14" s="4">
        <v>68.195999999999998</v>
      </c>
      <c r="Q14" s="4">
        <v>90.663750000000036</v>
      </c>
      <c r="R14" s="4">
        <v>0.29166666666666669</v>
      </c>
      <c r="S14" s="4">
        <v>0.442</v>
      </c>
      <c r="T14" s="4">
        <v>0.125</v>
      </c>
      <c r="U14" s="4">
        <v>7.4999999999999997E-2</v>
      </c>
      <c r="V14" s="4">
        <v>0.45833333333333326</v>
      </c>
      <c r="W14" s="4">
        <v>0.433</v>
      </c>
      <c r="X14" s="4">
        <v>622</v>
      </c>
      <c r="Y14" s="4">
        <v>82.934285714285707</v>
      </c>
      <c r="Z14" s="4">
        <v>55.63</v>
      </c>
      <c r="AA14" s="4">
        <v>97.893333333333331</v>
      </c>
      <c r="AB14" s="4">
        <v>64.932000000000002</v>
      </c>
      <c r="AC14" s="4">
        <v>93.008181818181825</v>
      </c>
      <c r="AD14" s="4">
        <v>77.057000000000002</v>
      </c>
      <c r="AE14" s="4">
        <f>IF(ISBLANK(t_omie_evol[[#This Row],[Omie media diaria]]),$X$39,t_omie_evol[[#This Row],[demanda GWh]])</f>
        <v>622</v>
      </c>
    </row>
    <row r="15" spans="1:31" x14ac:dyDescent="0.2">
      <c r="A15" s="4">
        <v>12</v>
      </c>
      <c r="B15" s="4">
        <v>37.14</v>
      </c>
      <c r="D15" s="4">
        <v>64.94</v>
      </c>
      <c r="E15" s="4">
        <v>52.96</v>
      </c>
      <c r="G15" s="4">
        <v>12</v>
      </c>
      <c r="H15" s="4">
        <v>39.269999999999989</v>
      </c>
      <c r="I15" s="4">
        <v>39.590000000000003</v>
      </c>
      <c r="K15" s="4">
        <v>12</v>
      </c>
      <c r="L15" s="4">
        <v>64.279999999999987</v>
      </c>
      <c r="M15" s="4">
        <v>62.68</v>
      </c>
      <c r="O15" s="4">
        <v>12</v>
      </c>
      <c r="P15" s="4">
        <v>68.195999999999998</v>
      </c>
      <c r="Q15" s="4">
        <v>69.856250000000003</v>
      </c>
      <c r="R15" s="4">
        <v>0.5</v>
      </c>
      <c r="S15" s="4">
        <v>0.442</v>
      </c>
      <c r="T15" s="4">
        <v>0</v>
      </c>
      <c r="U15" s="4">
        <v>6.3E-2</v>
      </c>
      <c r="V15" s="4">
        <v>0.45833333333333326</v>
      </c>
      <c r="W15" s="4">
        <v>0.42699999999999999</v>
      </c>
      <c r="X15" s="4">
        <v>550</v>
      </c>
      <c r="Y15" s="4">
        <v>58.34</v>
      </c>
      <c r="Z15" s="4">
        <v>55.63</v>
      </c>
      <c r="AA15" s="4">
        <v>0</v>
      </c>
      <c r="AB15" s="4">
        <v>64.932000000000002</v>
      </c>
      <c r="AC15" s="4">
        <v>83.224545454545449</v>
      </c>
      <c r="AD15" s="4">
        <v>77.057000000000002</v>
      </c>
      <c r="AE15" s="4">
        <f>IF(ISBLANK(t_omie_evol[[#This Row],[Omie media diaria]]),$X$39,t_omie_evol[[#This Row],[demanda GWh]])</f>
        <v>550</v>
      </c>
    </row>
    <row r="16" spans="1:31" x14ac:dyDescent="0.2">
      <c r="A16" s="4">
        <v>13</v>
      </c>
      <c r="B16" s="4">
        <v>42.92</v>
      </c>
      <c r="D16" s="4">
        <v>48.68</v>
      </c>
      <c r="E16" s="4">
        <v>44.84</v>
      </c>
      <c r="G16" s="4">
        <v>13</v>
      </c>
      <c r="H16" s="4">
        <v>38.950000000000017</v>
      </c>
      <c r="I16" s="4">
        <v>39.590000000000003</v>
      </c>
      <c r="K16" s="4">
        <v>13</v>
      </c>
      <c r="L16" s="4">
        <v>64.279999999999987</v>
      </c>
      <c r="M16" s="4">
        <v>62.68</v>
      </c>
      <c r="O16" s="4">
        <v>13</v>
      </c>
      <c r="P16" s="4">
        <v>68.195999999999998</v>
      </c>
      <c r="Q16" s="4">
        <v>52.750416666666673</v>
      </c>
      <c r="R16" s="4">
        <v>0.58333333333333337</v>
      </c>
      <c r="S16" s="4">
        <v>0.442</v>
      </c>
      <c r="T16" s="4">
        <v>4.1666666666666664E-2</v>
      </c>
      <c r="U16" s="4">
        <v>8.3000000000000004E-2</v>
      </c>
      <c r="V16" s="4">
        <v>0.29166666666666669</v>
      </c>
      <c r="W16" s="4">
        <v>0.41699999999999998</v>
      </c>
      <c r="X16" s="4">
        <v>365</v>
      </c>
      <c r="Y16" s="4">
        <v>39.748571428571431</v>
      </c>
      <c r="Z16" s="4">
        <v>55.63</v>
      </c>
      <c r="AA16" s="4">
        <v>121.28</v>
      </c>
      <c r="AB16" s="4">
        <v>64.932000000000002</v>
      </c>
      <c r="AC16" s="4">
        <v>61.495714285714293</v>
      </c>
      <c r="AD16" s="4">
        <v>77.057000000000002</v>
      </c>
      <c r="AE16" s="4">
        <f>IF(ISBLANK(t_omie_evol[[#This Row],[Omie media diaria]]),$X$39,t_omie_evol[[#This Row],[demanda GWh]])</f>
        <v>365</v>
      </c>
    </row>
    <row r="17" spans="1:31" x14ac:dyDescent="0.2">
      <c r="A17" s="4">
        <v>14</v>
      </c>
      <c r="B17" s="4">
        <v>45.28</v>
      </c>
      <c r="D17" s="4">
        <v>29.86</v>
      </c>
      <c r="E17" s="4">
        <v>40.14</v>
      </c>
      <c r="G17" s="4">
        <v>14</v>
      </c>
      <c r="H17" s="4">
        <v>40.039999999999985</v>
      </c>
      <c r="I17" s="4">
        <v>39.590000000000003</v>
      </c>
      <c r="K17" s="4">
        <v>14</v>
      </c>
      <c r="L17" s="4">
        <v>64.279999999999987</v>
      </c>
      <c r="M17" s="4">
        <v>62.68</v>
      </c>
      <c r="O17" s="4">
        <v>14</v>
      </c>
      <c r="P17" s="4">
        <v>68.195999999999998</v>
      </c>
      <c r="Q17" s="4">
        <v>104.16708333333332</v>
      </c>
      <c r="R17" s="4">
        <v>0.29166666666666669</v>
      </c>
      <c r="S17" s="4">
        <v>0.442</v>
      </c>
      <c r="T17" s="4">
        <v>0.16666666666666666</v>
      </c>
      <c r="U17" s="4">
        <v>0.104</v>
      </c>
      <c r="V17" s="4">
        <v>0.45833333333333326</v>
      </c>
      <c r="W17" s="4">
        <v>0.47899999999999998</v>
      </c>
      <c r="X17" s="4">
        <v>0</v>
      </c>
      <c r="Y17" s="4">
        <v>79.001428571428576</v>
      </c>
      <c r="Z17" s="4">
        <v>55.63</v>
      </c>
      <c r="AA17" s="4">
        <v>131.14250000000001</v>
      </c>
      <c r="AB17" s="4">
        <v>64.932000000000002</v>
      </c>
      <c r="AC17" s="4">
        <v>112.24636363636364</v>
      </c>
      <c r="AD17" s="4">
        <v>77.057000000000002</v>
      </c>
      <c r="AE17" s="4">
        <f>IF(ISBLANK(t_omie_evol[[#This Row],[Omie media diaria]]),$X$39,t_omie_evol[[#This Row],[demanda GWh]])</f>
        <v>0</v>
      </c>
    </row>
    <row r="18" spans="1:31" x14ac:dyDescent="0.2">
      <c r="A18" s="4">
        <v>15</v>
      </c>
      <c r="B18" s="4">
        <v>41.2</v>
      </c>
      <c r="D18" s="4">
        <v>26.18</v>
      </c>
      <c r="E18" s="4">
        <v>36.119999999999997</v>
      </c>
      <c r="G18" s="4">
        <v>15</v>
      </c>
      <c r="I18" s="4">
        <v>39.590000000000003</v>
      </c>
      <c r="K18" s="4">
        <v>15</v>
      </c>
      <c r="L18" s="4">
        <v>64.279999999999987</v>
      </c>
      <c r="M18" s="4">
        <v>62.68</v>
      </c>
      <c r="O18" s="4">
        <v>15</v>
      </c>
      <c r="P18" s="4">
        <v>68.195999999999998</v>
      </c>
      <c r="Q18" s="4">
        <v>87.225416666666661</v>
      </c>
      <c r="R18" s="4">
        <v>0.29166666666666669</v>
      </c>
      <c r="S18" s="4">
        <v>0.442</v>
      </c>
      <c r="T18" s="4">
        <v>4.1666666666666664E-2</v>
      </c>
      <c r="U18" s="4">
        <v>4.2000000000000003E-2</v>
      </c>
      <c r="V18" s="4">
        <v>0.5</v>
      </c>
      <c r="W18" s="4">
        <v>0.5</v>
      </c>
      <c r="X18" s="4">
        <v>0</v>
      </c>
      <c r="Y18" s="4">
        <v>83.111428571428561</v>
      </c>
      <c r="Z18" s="4">
        <v>55.63</v>
      </c>
      <c r="AA18" s="4">
        <v>122.28</v>
      </c>
      <c r="AB18" s="4">
        <v>64.932000000000002</v>
      </c>
      <c r="AC18" s="4">
        <v>84.702499999999986</v>
      </c>
      <c r="AD18" s="4">
        <v>77.057000000000002</v>
      </c>
      <c r="AE18" s="4">
        <f>IF(ISBLANK(t_omie_evol[[#This Row],[Omie media diaria]]),$X$39,t_omie_evol[[#This Row],[demanda GWh]])</f>
        <v>0</v>
      </c>
    </row>
    <row r="19" spans="1:31" x14ac:dyDescent="0.2">
      <c r="A19" s="4">
        <v>16</v>
      </c>
      <c r="B19" s="4">
        <v>33.28</v>
      </c>
      <c r="D19" s="4">
        <v>37.979999999999997</v>
      </c>
      <c r="E19" s="4">
        <v>34.85</v>
      </c>
      <c r="G19" s="4">
        <v>16</v>
      </c>
      <c r="I19" s="4">
        <v>39.590000000000003</v>
      </c>
      <c r="K19" s="4">
        <v>16</v>
      </c>
      <c r="M19" s="4">
        <v>62.68</v>
      </c>
      <c r="O19" s="4">
        <v>16</v>
      </c>
      <c r="P19" s="4">
        <v>68.195999999999998</v>
      </c>
      <c r="S19" s="4">
        <v>0.442</v>
      </c>
      <c r="U19" s="4">
        <v>4.2000000000000003E-2</v>
      </c>
      <c r="W19" s="4">
        <v>0.5</v>
      </c>
      <c r="Y19" s="4" t="s">
        <v>1111</v>
      </c>
      <c r="Z19" s="4">
        <v>55.63</v>
      </c>
      <c r="AA19" s="4" t="s">
        <v>1111</v>
      </c>
      <c r="AB19" s="4">
        <v>64.932000000000002</v>
      </c>
      <c r="AC19" s="4" t="s">
        <v>1111</v>
      </c>
      <c r="AD19" s="4">
        <v>77.057000000000002</v>
      </c>
      <c r="AE19" s="4">
        <f>IF(ISBLANK(t_omie_evol[[#This Row],[Omie media diaria]]),$X$39,t_omie_evol[[#This Row],[demanda GWh]])</f>
        <v>518.13333333333333</v>
      </c>
    </row>
    <row r="20" spans="1:31" x14ac:dyDescent="0.2">
      <c r="A20" s="4">
        <v>17</v>
      </c>
      <c r="B20" s="4">
        <v>32.93</v>
      </c>
      <c r="D20" s="4">
        <v>46.03</v>
      </c>
      <c r="E20" s="4">
        <v>38.119999999999997</v>
      </c>
      <c r="G20" s="4">
        <v>17</v>
      </c>
      <c r="I20" s="4">
        <v>39.590000000000003</v>
      </c>
      <c r="K20" s="4">
        <v>17</v>
      </c>
      <c r="M20" s="4">
        <v>62.68</v>
      </c>
      <c r="O20" s="4">
        <v>17</v>
      </c>
      <c r="P20" s="4">
        <v>68.195999999999998</v>
      </c>
      <c r="S20" s="4">
        <v>0.442</v>
      </c>
      <c r="U20" s="4">
        <v>4.2000000000000003E-2</v>
      </c>
      <c r="W20" s="4">
        <v>0.5</v>
      </c>
      <c r="Y20" s="4" t="s">
        <v>1111</v>
      </c>
      <c r="Z20" s="4">
        <v>55.63</v>
      </c>
      <c r="AA20" s="4" t="s">
        <v>1111</v>
      </c>
      <c r="AB20" s="4">
        <v>64.932000000000002</v>
      </c>
      <c r="AC20" s="4" t="s">
        <v>1111</v>
      </c>
      <c r="AD20" s="4">
        <v>77.057000000000002</v>
      </c>
      <c r="AE20" s="4">
        <f>IF(ISBLANK(t_omie_evol[[#This Row],[Omie media diaria]]),$X$39,t_omie_evol[[#This Row],[demanda GWh]])</f>
        <v>518.13333333333333</v>
      </c>
    </row>
    <row r="21" spans="1:31" x14ac:dyDescent="0.2">
      <c r="A21" s="4">
        <v>18</v>
      </c>
      <c r="B21" s="4">
        <v>38.35</v>
      </c>
      <c r="D21" s="4">
        <v>65.55</v>
      </c>
      <c r="E21" s="4">
        <v>51.05</v>
      </c>
      <c r="G21" s="4">
        <v>18</v>
      </c>
      <c r="I21" s="4">
        <v>39.590000000000003</v>
      </c>
      <c r="K21" s="4">
        <v>18</v>
      </c>
      <c r="M21" s="4">
        <v>62.68</v>
      </c>
      <c r="O21" s="4">
        <v>18</v>
      </c>
      <c r="P21" s="4">
        <v>68.195999999999998</v>
      </c>
      <c r="S21" s="4">
        <v>0.442</v>
      </c>
      <c r="U21" s="4">
        <v>4.2000000000000003E-2</v>
      </c>
      <c r="W21" s="4">
        <v>0.5</v>
      </c>
      <c r="Y21" s="4" t="s">
        <v>1111</v>
      </c>
      <c r="Z21" s="4">
        <v>55.63</v>
      </c>
      <c r="AA21" s="4" t="s">
        <v>1111</v>
      </c>
      <c r="AB21" s="4">
        <v>64.932000000000002</v>
      </c>
      <c r="AC21" s="4" t="s">
        <v>1111</v>
      </c>
      <c r="AD21" s="4">
        <v>77.057000000000002</v>
      </c>
      <c r="AE21" s="4">
        <f>IF(ISBLANK(t_omie_evol[[#This Row],[Omie media diaria]]),$X$39,t_omie_evol[[#This Row],[demanda GWh]])</f>
        <v>518.13333333333333</v>
      </c>
    </row>
    <row r="22" spans="1:31" x14ac:dyDescent="0.2">
      <c r="A22" s="4">
        <v>19</v>
      </c>
      <c r="B22" s="4">
        <v>48.11</v>
      </c>
      <c r="D22" s="4">
        <v>86.04</v>
      </c>
      <c r="E22" s="4">
        <v>75.38</v>
      </c>
      <c r="G22" s="4">
        <v>19</v>
      </c>
      <c r="I22" s="4">
        <v>39.590000000000003</v>
      </c>
      <c r="K22" s="4">
        <v>19</v>
      </c>
      <c r="M22" s="4">
        <v>62.68</v>
      </c>
      <c r="O22" s="4">
        <v>19</v>
      </c>
      <c r="P22" s="4">
        <v>68.195999999999998</v>
      </c>
      <c r="S22" s="4">
        <v>0.442</v>
      </c>
      <c r="U22" s="4">
        <v>4.2000000000000003E-2</v>
      </c>
      <c r="W22" s="4">
        <v>0.5</v>
      </c>
      <c r="Y22" s="4" t="s">
        <v>1111</v>
      </c>
      <c r="Z22" s="4">
        <v>55.63</v>
      </c>
      <c r="AA22" s="4" t="s">
        <v>1111</v>
      </c>
      <c r="AB22" s="4">
        <v>64.932000000000002</v>
      </c>
      <c r="AC22" s="4" t="s">
        <v>1111</v>
      </c>
      <c r="AD22" s="4">
        <v>77.057000000000002</v>
      </c>
      <c r="AE22" s="4">
        <f>IF(ISBLANK(t_omie_evol[[#This Row],[Omie media diaria]]),$X$39,t_omie_evol[[#This Row],[demanda GWh]])</f>
        <v>518.13333333333333</v>
      </c>
    </row>
    <row r="23" spans="1:31" x14ac:dyDescent="0.2">
      <c r="A23" s="4">
        <v>20</v>
      </c>
      <c r="B23" s="4">
        <v>94</v>
      </c>
      <c r="D23" s="4">
        <v>106.96</v>
      </c>
      <c r="E23" s="4">
        <v>101.79</v>
      </c>
      <c r="G23" s="4">
        <v>20</v>
      </c>
      <c r="I23" s="4">
        <v>39.590000000000003</v>
      </c>
      <c r="K23" s="4">
        <v>20</v>
      </c>
      <c r="M23" s="4">
        <v>62.68</v>
      </c>
      <c r="O23" s="4">
        <v>20</v>
      </c>
      <c r="P23" s="4">
        <v>68.195999999999998</v>
      </c>
      <c r="S23" s="4">
        <v>0.442</v>
      </c>
      <c r="U23" s="4">
        <v>4.2000000000000003E-2</v>
      </c>
      <c r="W23" s="4">
        <v>0.5</v>
      </c>
      <c r="Y23" s="4" t="s">
        <v>1111</v>
      </c>
      <c r="Z23" s="4">
        <v>55.63</v>
      </c>
      <c r="AA23" s="4" t="s">
        <v>1111</v>
      </c>
      <c r="AB23" s="4">
        <v>64.932000000000002</v>
      </c>
      <c r="AC23" s="4" t="s">
        <v>1111</v>
      </c>
      <c r="AD23" s="4">
        <v>77.057000000000002</v>
      </c>
      <c r="AE23" s="4">
        <f>IF(ISBLANK(t_omie_evol[[#This Row],[Omie media diaria]]),$X$39,t_omie_evol[[#This Row],[demanda GWh]])</f>
        <v>518.13333333333333</v>
      </c>
    </row>
    <row r="24" spans="1:31" x14ac:dyDescent="0.2">
      <c r="A24" s="4">
        <v>21</v>
      </c>
      <c r="B24" s="4">
        <v>96.83</v>
      </c>
      <c r="C24" s="4">
        <v>155.87</v>
      </c>
      <c r="D24" s="4">
        <v>119.8</v>
      </c>
      <c r="E24" s="4">
        <v>120.1</v>
      </c>
      <c r="G24" s="4">
        <v>21</v>
      </c>
      <c r="I24" s="4">
        <v>39.590000000000003</v>
      </c>
      <c r="K24" s="4">
        <v>21</v>
      </c>
      <c r="M24" s="4">
        <v>62.68</v>
      </c>
      <c r="O24" s="4">
        <v>21</v>
      </c>
      <c r="P24" s="4">
        <v>68.195999999999998</v>
      </c>
      <c r="S24" s="4">
        <v>0.442</v>
      </c>
      <c r="U24" s="4">
        <v>4.2000000000000003E-2</v>
      </c>
      <c r="W24" s="4">
        <v>0.5</v>
      </c>
      <c r="Y24" s="4" t="s">
        <v>1111</v>
      </c>
      <c r="Z24" s="4">
        <v>55.63</v>
      </c>
      <c r="AA24" s="4" t="s">
        <v>1111</v>
      </c>
      <c r="AB24" s="4">
        <v>64.932000000000002</v>
      </c>
      <c r="AC24" s="4" t="s">
        <v>1111</v>
      </c>
      <c r="AD24" s="4">
        <v>77.057000000000002</v>
      </c>
      <c r="AE24" s="4">
        <f>IF(ISBLANK(t_omie_evol[[#This Row],[Omie media diaria]]),$X$39,t_omie_evol[[#This Row],[demanda GWh]])</f>
        <v>518.13333333333333</v>
      </c>
    </row>
    <row r="25" spans="1:31" x14ac:dyDescent="0.2">
      <c r="A25" s="4">
        <v>22</v>
      </c>
      <c r="B25" s="4">
        <v>83.19</v>
      </c>
      <c r="C25" s="4">
        <v>153.55000000000001</v>
      </c>
      <c r="D25" s="4">
        <v>99.46</v>
      </c>
      <c r="E25" s="4">
        <v>109.56</v>
      </c>
      <c r="G25" s="4">
        <v>22</v>
      </c>
      <c r="I25" s="4">
        <v>39.590000000000003</v>
      </c>
      <c r="K25" s="4">
        <v>22</v>
      </c>
      <c r="M25" s="4">
        <v>62.68</v>
      </c>
      <c r="O25" s="4">
        <v>22</v>
      </c>
      <c r="P25" s="4">
        <v>68.195999999999998</v>
      </c>
      <c r="S25" s="4">
        <v>0.442</v>
      </c>
      <c r="U25" s="4">
        <v>4.2000000000000003E-2</v>
      </c>
      <c r="W25" s="4">
        <v>0.5</v>
      </c>
      <c r="Y25" s="4" t="s">
        <v>1111</v>
      </c>
      <c r="Z25" s="4">
        <v>55.63</v>
      </c>
      <c r="AA25" s="4" t="s">
        <v>1111</v>
      </c>
      <c r="AB25" s="4">
        <v>64.932000000000002</v>
      </c>
      <c r="AC25" s="4" t="s">
        <v>1111</v>
      </c>
      <c r="AD25" s="4">
        <v>77.057000000000002</v>
      </c>
      <c r="AE25" s="4">
        <f>IF(ISBLANK(t_omie_evol[[#This Row],[Omie media diaria]]),$X$39,t_omie_evol[[#This Row],[demanda GWh]])</f>
        <v>518.13333333333333</v>
      </c>
    </row>
    <row r="26" spans="1:31" x14ac:dyDescent="0.2">
      <c r="A26" s="4">
        <v>23</v>
      </c>
      <c r="C26" s="4">
        <v>100.24</v>
      </c>
      <c r="D26" s="4">
        <v>87.16</v>
      </c>
      <c r="E26" s="4">
        <v>89.07</v>
      </c>
      <c r="G26" s="4">
        <v>23</v>
      </c>
      <c r="I26" s="4">
        <v>39.590000000000003</v>
      </c>
      <c r="K26" s="4">
        <v>23</v>
      </c>
      <c r="M26" s="4">
        <v>62.68</v>
      </c>
      <c r="O26" s="4">
        <v>23</v>
      </c>
      <c r="P26" s="4">
        <v>68.195999999999998</v>
      </c>
      <c r="S26" s="4">
        <v>0.442</v>
      </c>
      <c r="U26" s="4">
        <v>4.2000000000000003E-2</v>
      </c>
      <c r="W26" s="4">
        <v>0.5</v>
      </c>
      <c r="Y26" s="4" t="s">
        <v>1111</v>
      </c>
      <c r="Z26" s="4">
        <v>55.63</v>
      </c>
      <c r="AA26" s="4" t="s">
        <v>1111</v>
      </c>
      <c r="AB26" s="4">
        <v>64.932000000000002</v>
      </c>
      <c r="AC26" s="4" t="s">
        <v>1111</v>
      </c>
      <c r="AD26" s="4">
        <v>77.057000000000002</v>
      </c>
      <c r="AE26" s="4">
        <f>IF(ISBLANK(t_omie_evol[[#This Row],[Omie media diaria]]),$X$39,t_omie_evol[[#This Row],[demanda GWh]])</f>
        <v>518.13333333333333</v>
      </c>
    </row>
    <row r="27" spans="1:31" x14ac:dyDescent="0.2">
      <c r="A27" s="4">
        <v>24</v>
      </c>
      <c r="B27" s="4">
        <v>78.42</v>
      </c>
      <c r="C27" s="4">
        <v>100.34</v>
      </c>
      <c r="D27" s="4">
        <v>73.81</v>
      </c>
      <c r="E27" s="4">
        <v>80.569999999999993</v>
      </c>
      <c r="G27" s="4">
        <v>24</v>
      </c>
      <c r="I27" s="4">
        <v>39.590000000000003</v>
      </c>
      <c r="K27" s="4">
        <v>24</v>
      </c>
      <c r="M27" s="4">
        <v>62.68</v>
      </c>
      <c r="O27" s="4">
        <v>24</v>
      </c>
      <c r="P27" s="4">
        <v>68.195999999999998</v>
      </c>
      <c r="S27" s="4">
        <v>0.442</v>
      </c>
      <c r="U27" s="4">
        <v>4.2000000000000003E-2</v>
      </c>
      <c r="W27" s="4">
        <v>0.5</v>
      </c>
      <c r="Y27" s="4" t="s">
        <v>1111</v>
      </c>
      <c r="Z27" s="4">
        <v>55.63</v>
      </c>
      <c r="AA27" s="4" t="s">
        <v>1111</v>
      </c>
      <c r="AB27" s="4">
        <v>64.932000000000002</v>
      </c>
      <c r="AC27" s="4" t="s">
        <v>1111</v>
      </c>
      <c r="AD27" s="4">
        <v>77.057000000000002</v>
      </c>
      <c r="AE27" s="4">
        <f>IF(ISBLANK(t_omie_evol[[#This Row],[Omie media diaria]]),$X$39,t_omie_evol[[#This Row],[demanda GWh]])</f>
        <v>518.13333333333333</v>
      </c>
    </row>
    <row r="28" spans="1:31" x14ac:dyDescent="0.2">
      <c r="G28" s="4">
        <v>25</v>
      </c>
      <c r="I28" s="4">
        <v>39.590000000000003</v>
      </c>
      <c r="K28" s="4">
        <v>25</v>
      </c>
      <c r="M28" s="4">
        <v>62.68</v>
      </c>
      <c r="O28" s="4">
        <v>25</v>
      </c>
      <c r="P28" s="4">
        <v>68.195999999999998</v>
      </c>
      <c r="S28" s="4">
        <v>0.442</v>
      </c>
      <c r="U28" s="4">
        <v>4.2000000000000003E-2</v>
      </c>
      <c r="W28" s="4">
        <v>0.5</v>
      </c>
      <c r="Y28" s="4" t="s">
        <v>1111</v>
      </c>
      <c r="Z28" s="4">
        <v>55.63</v>
      </c>
      <c r="AA28" s="4" t="s">
        <v>1111</v>
      </c>
      <c r="AB28" s="4">
        <v>64.932000000000002</v>
      </c>
      <c r="AC28" s="4" t="s">
        <v>1111</v>
      </c>
      <c r="AD28" s="4">
        <v>77.057000000000002</v>
      </c>
      <c r="AE28" s="4">
        <f>IF(ISBLANK(t_omie_evol[[#This Row],[Omie media diaria]]),$X$39,t_omie_evol[[#This Row],[demanda GWh]])</f>
        <v>518.13333333333333</v>
      </c>
    </row>
    <row r="29" spans="1:31" ht="11.45" customHeight="1" x14ac:dyDescent="0.2">
      <c r="G29" s="4">
        <v>26</v>
      </c>
      <c r="I29" s="4">
        <v>39.590000000000003</v>
      </c>
      <c r="K29" s="4">
        <v>26</v>
      </c>
      <c r="M29" s="4">
        <v>62.68</v>
      </c>
      <c r="O29" s="4">
        <v>26</v>
      </c>
      <c r="P29" s="4">
        <v>68.195999999999998</v>
      </c>
      <c r="S29" s="4">
        <v>0.442</v>
      </c>
      <c r="U29" s="4">
        <v>4.2000000000000003E-2</v>
      </c>
      <c r="W29" s="4">
        <v>0.5</v>
      </c>
      <c r="Y29" s="4" t="s">
        <v>1111</v>
      </c>
      <c r="Z29" s="4">
        <v>55.63</v>
      </c>
      <c r="AA29" s="4" t="s">
        <v>1111</v>
      </c>
      <c r="AB29" s="4">
        <v>64.932000000000002</v>
      </c>
      <c r="AC29" s="4" t="s">
        <v>1111</v>
      </c>
      <c r="AD29" s="4">
        <v>77.057000000000002</v>
      </c>
      <c r="AE29" s="4">
        <f>IF(ISBLANK(t_omie_evol[[#This Row],[Omie media diaria]]),$X$39,t_omie_evol[[#This Row],[demanda GWh]])</f>
        <v>518.13333333333333</v>
      </c>
    </row>
    <row r="30" spans="1:31" ht="11.45" customHeight="1" x14ac:dyDescent="0.2">
      <c r="G30" s="4">
        <v>27</v>
      </c>
      <c r="I30" s="4">
        <v>39.590000000000003</v>
      </c>
      <c r="K30" s="4">
        <v>27</v>
      </c>
      <c r="M30" s="4">
        <v>62.68</v>
      </c>
      <c r="O30" s="4">
        <v>27</v>
      </c>
      <c r="P30" s="4">
        <v>68.195999999999998</v>
      </c>
      <c r="S30" s="4">
        <v>0.442</v>
      </c>
      <c r="U30" s="4">
        <v>4.2000000000000003E-2</v>
      </c>
      <c r="W30" s="4">
        <v>0.5</v>
      </c>
      <c r="Y30" s="4" t="s">
        <v>1111</v>
      </c>
      <c r="Z30" s="4">
        <v>55.63</v>
      </c>
      <c r="AA30" s="4" t="s">
        <v>1111</v>
      </c>
      <c r="AB30" s="4">
        <v>64.932000000000002</v>
      </c>
      <c r="AC30" s="4" t="s">
        <v>1111</v>
      </c>
      <c r="AD30" s="4">
        <v>77.057000000000002</v>
      </c>
      <c r="AE30" s="4">
        <f>IF(ISBLANK(t_omie_evol[[#This Row],[Omie media diaria]]),$X$39,t_omie_evol[[#This Row],[demanda GWh]])</f>
        <v>518.13333333333333</v>
      </c>
    </row>
    <row r="31" spans="1:31" ht="11.45" customHeight="1" x14ac:dyDescent="0.2">
      <c r="G31" s="4">
        <v>28</v>
      </c>
      <c r="I31" s="4">
        <v>39.590000000000003</v>
      </c>
      <c r="K31" s="4">
        <v>28</v>
      </c>
      <c r="M31" s="4">
        <v>62.68</v>
      </c>
      <c r="O31" s="4">
        <v>28</v>
      </c>
      <c r="P31" s="4">
        <v>68.195999999999998</v>
      </c>
      <c r="S31" s="4">
        <v>0.442</v>
      </c>
      <c r="U31" s="4">
        <v>4.2000000000000003E-2</v>
      </c>
      <c r="W31" s="4">
        <v>0.5</v>
      </c>
      <c r="Y31" s="4" t="s">
        <v>1111</v>
      </c>
      <c r="Z31" s="4">
        <v>55.63</v>
      </c>
      <c r="AA31" s="4" t="s">
        <v>1111</v>
      </c>
      <c r="AB31" s="4">
        <v>64.932000000000002</v>
      </c>
      <c r="AC31" s="4" t="s">
        <v>1111</v>
      </c>
      <c r="AD31" s="4">
        <v>77.057000000000002</v>
      </c>
      <c r="AE31" s="4">
        <f>IF(ISBLANK(t_omie_evol[[#This Row],[Omie media diaria]]),$X$39,t_omie_evol[[#This Row],[demanda GWh]])</f>
        <v>518.13333333333333</v>
      </c>
    </row>
    <row r="32" spans="1:31" ht="11.45" customHeight="1" x14ac:dyDescent="0.2">
      <c r="G32" s="4">
        <v>29</v>
      </c>
      <c r="I32" s="4">
        <v>39.590000000000003</v>
      </c>
      <c r="K32" s="4">
        <v>29</v>
      </c>
      <c r="M32" s="4">
        <v>62.68</v>
      </c>
      <c r="O32" s="4">
        <v>29</v>
      </c>
      <c r="P32" s="4">
        <v>68.195999999999998</v>
      </c>
      <c r="S32" s="4">
        <v>0.442</v>
      </c>
      <c r="U32" s="4">
        <v>4.2000000000000003E-2</v>
      </c>
      <c r="W32" s="4">
        <v>0.5</v>
      </c>
      <c r="Y32" s="4" t="s">
        <v>1111</v>
      </c>
      <c r="Z32" s="4">
        <v>55.63</v>
      </c>
      <c r="AA32" s="4" t="s">
        <v>1111</v>
      </c>
      <c r="AB32" s="4">
        <v>64.932000000000002</v>
      </c>
      <c r="AC32" s="4" t="s">
        <v>1111</v>
      </c>
      <c r="AD32" s="4">
        <v>77.057000000000002</v>
      </c>
      <c r="AE32" s="4">
        <f>IF(ISBLANK(t_omie_evol[[#This Row],[Omie media diaria]]),$X$39,t_omie_evol[[#This Row],[demanda GWh]])</f>
        <v>518.13333333333333</v>
      </c>
    </row>
    <row r="33" spans="7:31" ht="11.45" customHeight="1" x14ac:dyDescent="0.2">
      <c r="G33" s="4">
        <v>30</v>
      </c>
      <c r="I33" s="4">
        <v>39.590000000000003</v>
      </c>
      <c r="K33" s="4">
        <v>30</v>
      </c>
      <c r="M33" s="4">
        <v>62.68</v>
      </c>
      <c r="O33" s="4">
        <v>30</v>
      </c>
      <c r="P33" s="4">
        <v>68.195999999999998</v>
      </c>
      <c r="S33" s="4">
        <v>0.442</v>
      </c>
      <c r="U33" s="4">
        <v>4.2000000000000003E-2</v>
      </c>
      <c r="W33" s="4">
        <v>0.5</v>
      </c>
      <c r="Y33" s="4" t="s">
        <v>1111</v>
      </c>
      <c r="Z33" s="4">
        <v>55.63</v>
      </c>
      <c r="AA33" s="4" t="s">
        <v>1111</v>
      </c>
      <c r="AB33" s="4">
        <v>64.932000000000002</v>
      </c>
      <c r="AC33" s="4" t="s">
        <v>1111</v>
      </c>
      <c r="AD33" s="4">
        <v>77.057000000000002</v>
      </c>
      <c r="AE33" s="4">
        <f>IF(ISBLANK(t_omie_evol[[#This Row],[Omie media diaria]]),$X$39,t_omie_evol[[#This Row],[demanda GWh]])</f>
        <v>518.13333333333333</v>
      </c>
    </row>
    <row r="34" spans="7:31" ht="11.45" customHeight="1" x14ac:dyDescent="0.2">
      <c r="G34" s="4">
        <v>31</v>
      </c>
      <c r="K34" s="4">
        <v>31</v>
      </c>
      <c r="M34" s="4">
        <v>62.68</v>
      </c>
      <c r="O34" s="4">
        <v>31</v>
      </c>
      <c r="P34" s="4">
        <v>68.195999999999998</v>
      </c>
      <c r="S34" s="4">
        <v>0.442</v>
      </c>
      <c r="U34" s="4">
        <v>4.2000000000000003E-2</v>
      </c>
      <c r="W34" s="4">
        <v>0.5</v>
      </c>
      <c r="Y34" s="4" t="s">
        <v>1111</v>
      </c>
      <c r="Z34" s="4">
        <v>55.63</v>
      </c>
      <c r="AA34" s="4" t="s">
        <v>1111</v>
      </c>
      <c r="AB34" s="4">
        <v>64.932000000000002</v>
      </c>
      <c r="AC34" s="4" t="s">
        <v>1111</v>
      </c>
      <c r="AD34" s="4">
        <v>77.057000000000002</v>
      </c>
      <c r="AE34" s="4">
        <f>IF(ISBLANK(t_omie_evol[[#This Row],[Omie media diaria]]),$X$39,t_omie_evol[[#This Row],[demanda GWh]])</f>
        <v>518.13333333333333</v>
      </c>
    </row>
    <row r="38" spans="7:31" x14ac:dyDescent="0.2">
      <c r="W38" s="4" t="s">
        <v>488</v>
      </c>
      <c r="X38" s="4">
        <f>SUM(t_omie_evol[demanda GWh])</f>
        <v>7772</v>
      </c>
    </row>
    <row r="39" spans="7:31" x14ac:dyDescent="0.2">
      <c r="W39" s="4" t="s">
        <v>489</v>
      </c>
      <c r="X39" s="4">
        <f>AVERAGE(t_omie_evol[demanda GWh])</f>
        <v>518.13333333333333</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D21" sqref="D2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5">
    <tablePart r:id="rId1"/>
    <tablePart r:id="rId2"/>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tabSelected="1" workbookViewId="0">
      <selection activeCell="H6" sqref="H6"/>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10"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07"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0.12023460410557188</v>
      </c>
      <c r="L2" s="108">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15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0.1483870967741934</v>
      </c>
      <c r="L3" s="108">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2.580645161290309E-2</v>
      </c>
      <c r="L4" s="108">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1.2903225806451545E-2</v>
      </c>
      <c r="L5" s="108">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0.24882697947214075</v>
      </c>
      <c r="L6" s="108">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2.63929618768328E-2</v>
      </c>
      <c r="L7" s="108">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0.13196480938416422</v>
      </c>
      <c r="L8" s="108">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9.7484929520177122E-2</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0.14032258064516118</v>
      </c>
      <c r="L9" s="108">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1.7595307917889229E-3</v>
      </c>
      <c r="L10" s="108">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0.13649685628705432</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0.17448680351906146</v>
      </c>
      <c r="L11" s="108">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6.2316715542521994E-2</v>
      </c>
      <c r="L12" s="108">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2.63929618768328E-2</v>
      </c>
      <c r="L13" s="108">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0.12316715542522003</v>
      </c>
      <c r="L14" s="108">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5.8944281524926624E-2</v>
      </c>
      <c r="L15" s="108">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08">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3.0791788856304899E-2</v>
      </c>
      <c r="L17" s="108">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1.2170087976539564E-2</v>
      </c>
      <c r="L18" s="108">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5.1319648093842889E-3</v>
      </c>
      <c r="L19" s="108">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4.120234604105575E-2</v>
      </c>
      <c r="L20" s="108">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0.20967741935483866</v>
      </c>
      <c r="L21" s="108">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8.6363636363636365E-2</v>
      </c>
      <c r="L22" s="108">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08">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08">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2.7419354838709536E-2</v>
      </c>
      <c r="L25" s="108">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7.0381231671554833E-3</v>
      </c>
      <c r="L26" s="108">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5.190615835777114E-2</v>
      </c>
      <c r="L27" s="108">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08">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08">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08">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08">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0.22800586510263923</v>
      </c>
      <c r="L32" s="108">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0.23269794721407611</v>
      </c>
      <c r="L33" s="108">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8.7829912023460327E-2</v>
      </c>
      <c r="L34" s="108">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0.10263929618768328</v>
      </c>
      <c r="L35" s="108">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4.3548387096774173E-2</v>
      </c>
      <c r="L36" s="108">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08">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1.7008797653958893E-2</v>
      </c>
      <c r="L38" s="108">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08">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08">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08">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08">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0.30733137829912011</v>
      </c>
      <c r="L43" s="108">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8.137829912023456E-2</v>
      </c>
      <c r="L44" s="108">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08">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08">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08">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08">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08">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08">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0.34574780058651033</v>
      </c>
      <c r="L51" s="108">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0.22888563049853369</v>
      </c>
      <c r="L52" s="108">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08">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08">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08">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2.8592375366568955E-2</v>
      </c>
      <c r="L56" s="108">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08">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08">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08">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4.164222873900298E-2</v>
      </c>
      <c r="L60" s="108">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08">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08">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08">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08">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08">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08">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08">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08">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6.4222873900293187E-2</v>
      </c>
      <c r="L69" s="108">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8.5043988269794785E-2</v>
      </c>
      <c r="L70" s="108">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08">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08">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08">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08">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08">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08">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08">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08">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08">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1.0765395894428151</v>
      </c>
      <c r="L80" s="108">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08">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08">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08">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08">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08">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08">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08">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08">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08">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08">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08">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08">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08">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0.17038123167155411</v>
      </c>
      <c r="L94" s="108">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08">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08">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08">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08">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08">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08">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09"/>
      <c r="M112" s="45"/>
    </row>
    <row r="113" spans="12:13" x14ac:dyDescent="0.2">
      <c r="L113" s="109"/>
      <c r="M113" s="73" t="s">
        <v>146</v>
      </c>
    </row>
    <row r="114" spans="12:13" x14ac:dyDescent="0.2">
      <c r="L114" s="109" t="s">
        <v>661</v>
      </c>
      <c r="M114" s="72" t="e">
        <f>MATCH(M113,1:1,0)</f>
        <v>#N/A</v>
      </c>
    </row>
    <row r="115" spans="12:13" x14ac:dyDescent="0.2">
      <c r="L115" s="109" t="s">
        <v>662</v>
      </c>
      <c r="M115" s="72" t="e">
        <f>M114-1</f>
        <v>#N/A</v>
      </c>
    </row>
    <row r="116" spans="12:13" x14ac:dyDescent="0.2">
      <c r="L116" s="109"/>
      <c r="M116" s="72" t="e">
        <f>ADDRESS(1,M114)</f>
        <v>#N/A</v>
      </c>
    </row>
    <row r="117" spans="12:13" x14ac:dyDescent="0.2">
      <c r="L117" s="109"/>
      <c r="M117" s="72" t="e">
        <f>MID(M116,2,1)</f>
        <v>#N/A</v>
      </c>
    </row>
    <row r="118" spans="12:13" x14ac:dyDescent="0.2">
      <c r="L118" s="109"/>
      <c r="M118" s="45"/>
    </row>
  </sheetData>
  <phoneticPr fontId="9" type="noConversion"/>
  <conditionalFormatting sqref="A2:A100">
    <cfRule type="duplicateValues" dxfId="33"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4" t="s">
        <v>556</v>
      </c>
      <c r="L23" s="114"/>
      <c r="M23" s="114"/>
      <c r="N23" s="114"/>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E43-1824-48A1-82B5-AF218F60A483}">
  <dimension ref="A1:C392"/>
  <sheetViews>
    <sheetView topLeftCell="A322" workbookViewId="0">
      <selection activeCell="G338" sqref="G338"/>
    </sheetView>
  </sheetViews>
  <sheetFormatPr baseColWidth="10" defaultRowHeight="12" x14ac:dyDescent="0.2"/>
  <cols>
    <col min="1" max="1" width="6.85546875" bestFit="1" customWidth="1"/>
    <col min="2" max="2" width="28.5703125" bestFit="1" customWidth="1"/>
    <col min="3" max="3" width="9.7109375" bestFit="1" customWidth="1"/>
  </cols>
  <sheetData>
    <row r="1" spans="1:3" x14ac:dyDescent="0.2">
      <c r="A1" t="s">
        <v>674</v>
      </c>
      <c r="B1" t="s">
        <v>0</v>
      </c>
      <c r="C1" t="s">
        <v>669</v>
      </c>
    </row>
    <row r="2" spans="1:3" x14ac:dyDescent="0.2">
      <c r="A2" t="s">
        <v>1147</v>
      </c>
      <c r="B2" t="s">
        <v>411</v>
      </c>
      <c r="C2">
        <v>102.78</v>
      </c>
    </row>
    <row r="3" spans="1:3" x14ac:dyDescent="0.2">
      <c r="A3" t="s">
        <v>1147</v>
      </c>
      <c r="B3" t="s">
        <v>410</v>
      </c>
      <c r="C3">
        <v>91.2</v>
      </c>
    </row>
    <row r="4" spans="1:3" x14ac:dyDescent="0.2">
      <c r="A4" t="s">
        <v>1147</v>
      </c>
      <c r="B4" t="s">
        <v>239</v>
      </c>
      <c r="C4">
        <v>90.1</v>
      </c>
    </row>
    <row r="5" spans="1:3" x14ac:dyDescent="0.2">
      <c r="A5" t="s">
        <v>1147</v>
      </c>
      <c r="B5" t="s">
        <v>400</v>
      </c>
      <c r="C5">
        <v>89.7</v>
      </c>
    </row>
    <row r="6" spans="1:3" x14ac:dyDescent="0.2">
      <c r="A6" t="s">
        <v>1147</v>
      </c>
      <c r="B6" t="s">
        <v>403</v>
      </c>
      <c r="C6">
        <v>88.5</v>
      </c>
    </row>
    <row r="7" spans="1:3" x14ac:dyDescent="0.2">
      <c r="A7" t="s">
        <v>1147</v>
      </c>
      <c r="B7" t="s">
        <v>219</v>
      </c>
      <c r="C7">
        <v>88.08</v>
      </c>
    </row>
    <row r="8" spans="1:3" x14ac:dyDescent="0.2">
      <c r="A8" t="s">
        <v>1147</v>
      </c>
      <c r="B8" t="s">
        <v>227</v>
      </c>
      <c r="C8">
        <v>87.45</v>
      </c>
    </row>
    <row r="9" spans="1:3" x14ac:dyDescent="0.2">
      <c r="A9" t="s">
        <v>1147</v>
      </c>
      <c r="B9" t="s">
        <v>401</v>
      </c>
      <c r="C9">
        <v>87.1</v>
      </c>
    </row>
    <row r="10" spans="1:3" x14ac:dyDescent="0.2">
      <c r="A10" t="s">
        <v>1147</v>
      </c>
      <c r="B10" t="s">
        <v>218</v>
      </c>
      <c r="C10">
        <v>85.4</v>
      </c>
    </row>
    <row r="11" spans="1:3" x14ac:dyDescent="0.2">
      <c r="A11" t="s">
        <v>1147</v>
      </c>
      <c r="B11" t="s">
        <v>225</v>
      </c>
      <c r="C11">
        <v>85.32</v>
      </c>
    </row>
    <row r="12" spans="1:3" x14ac:dyDescent="0.2">
      <c r="A12" t="s">
        <v>1147</v>
      </c>
      <c r="B12" t="s">
        <v>220</v>
      </c>
      <c r="C12">
        <v>85.2</v>
      </c>
    </row>
    <row r="13" spans="1:3" x14ac:dyDescent="0.2">
      <c r="A13" t="s">
        <v>1147</v>
      </c>
      <c r="B13" t="s">
        <v>409</v>
      </c>
      <c r="C13">
        <v>81.69</v>
      </c>
    </row>
    <row r="14" spans="1:3" x14ac:dyDescent="0.2">
      <c r="A14" t="s">
        <v>1147</v>
      </c>
      <c r="B14" t="s">
        <v>412</v>
      </c>
      <c r="C14">
        <v>81.08</v>
      </c>
    </row>
    <row r="15" spans="1:3" x14ac:dyDescent="0.2">
      <c r="A15" t="s">
        <v>1147</v>
      </c>
      <c r="B15" t="s">
        <v>9</v>
      </c>
      <c r="C15">
        <v>80</v>
      </c>
    </row>
    <row r="16" spans="1:3" x14ac:dyDescent="0.2">
      <c r="A16" t="s">
        <v>1147</v>
      </c>
      <c r="B16" t="s">
        <v>335</v>
      </c>
      <c r="C16">
        <v>79.3</v>
      </c>
    </row>
    <row r="17" spans="1:3" x14ac:dyDescent="0.2">
      <c r="A17" t="s">
        <v>1147</v>
      </c>
      <c r="B17" t="s">
        <v>221</v>
      </c>
      <c r="C17">
        <v>78.28</v>
      </c>
    </row>
    <row r="18" spans="1:3" x14ac:dyDescent="0.2">
      <c r="A18" t="s">
        <v>1147</v>
      </c>
      <c r="B18" t="s">
        <v>215</v>
      </c>
      <c r="C18">
        <v>77.7</v>
      </c>
    </row>
    <row r="19" spans="1:3" x14ac:dyDescent="0.2">
      <c r="A19" t="s">
        <v>1147</v>
      </c>
      <c r="B19" t="s">
        <v>381</v>
      </c>
      <c r="C19">
        <v>76.5</v>
      </c>
    </row>
    <row r="20" spans="1:3" x14ac:dyDescent="0.2">
      <c r="A20" t="s">
        <v>1147</v>
      </c>
      <c r="B20" t="s">
        <v>402</v>
      </c>
      <c r="C20">
        <v>76.040000000000006</v>
      </c>
    </row>
    <row r="21" spans="1:3" x14ac:dyDescent="0.2">
      <c r="A21" t="s">
        <v>1147</v>
      </c>
      <c r="B21" t="s">
        <v>407</v>
      </c>
      <c r="C21">
        <v>75.650000000000006</v>
      </c>
    </row>
    <row r="22" spans="1:3" x14ac:dyDescent="0.2">
      <c r="A22" t="s">
        <v>1147</v>
      </c>
      <c r="B22" t="s">
        <v>226</v>
      </c>
      <c r="C22">
        <v>75.349999999999994</v>
      </c>
    </row>
    <row r="23" spans="1:3" x14ac:dyDescent="0.2">
      <c r="A23" t="s">
        <v>1147</v>
      </c>
      <c r="B23" t="s">
        <v>216</v>
      </c>
      <c r="C23">
        <v>75.150000000000006</v>
      </c>
    </row>
    <row r="24" spans="1:3" x14ac:dyDescent="0.2">
      <c r="A24" t="s">
        <v>1147</v>
      </c>
      <c r="B24" t="s">
        <v>406</v>
      </c>
      <c r="C24">
        <v>75</v>
      </c>
    </row>
    <row r="25" spans="1:3" x14ac:dyDescent="0.2">
      <c r="A25" t="s">
        <v>1147</v>
      </c>
      <c r="B25" t="s">
        <v>399</v>
      </c>
      <c r="C25">
        <v>74.56</v>
      </c>
    </row>
    <row r="26" spans="1:3" x14ac:dyDescent="0.2">
      <c r="A26" t="s">
        <v>1147</v>
      </c>
      <c r="B26" t="s">
        <v>362</v>
      </c>
      <c r="C26">
        <v>74.3</v>
      </c>
    </row>
    <row r="27" spans="1:3" x14ac:dyDescent="0.2">
      <c r="A27" t="s">
        <v>1147</v>
      </c>
      <c r="B27" t="s">
        <v>404</v>
      </c>
      <c r="C27">
        <v>74.28</v>
      </c>
    </row>
    <row r="28" spans="1:3" x14ac:dyDescent="0.2">
      <c r="A28" t="s">
        <v>1147</v>
      </c>
      <c r="B28" t="s">
        <v>222</v>
      </c>
      <c r="C28">
        <v>73.45</v>
      </c>
    </row>
    <row r="29" spans="1:3" x14ac:dyDescent="0.2">
      <c r="A29" t="s">
        <v>1147</v>
      </c>
      <c r="B29" t="s">
        <v>223</v>
      </c>
      <c r="C29">
        <v>73.3</v>
      </c>
    </row>
    <row r="30" spans="1:3" x14ac:dyDescent="0.2">
      <c r="A30" t="s">
        <v>1147</v>
      </c>
      <c r="B30" t="s">
        <v>336</v>
      </c>
      <c r="C30">
        <v>71.7</v>
      </c>
    </row>
    <row r="31" spans="1:3" x14ac:dyDescent="0.2">
      <c r="A31" t="s">
        <v>1147</v>
      </c>
      <c r="B31" t="s">
        <v>408</v>
      </c>
      <c r="C31">
        <v>71.23</v>
      </c>
    </row>
    <row r="32" spans="1:3" x14ac:dyDescent="0.2">
      <c r="A32" t="s">
        <v>1147</v>
      </c>
      <c r="B32" t="s">
        <v>363</v>
      </c>
      <c r="C32">
        <v>70.8</v>
      </c>
    </row>
    <row r="33" spans="1:3" x14ac:dyDescent="0.2">
      <c r="A33" t="s">
        <v>1147</v>
      </c>
      <c r="B33" t="s">
        <v>224</v>
      </c>
      <c r="C33">
        <v>66.56</v>
      </c>
    </row>
    <row r="34" spans="1:3" x14ac:dyDescent="0.2">
      <c r="A34" t="s">
        <v>1147</v>
      </c>
      <c r="B34" t="s">
        <v>405</v>
      </c>
      <c r="C34">
        <v>65.87</v>
      </c>
    </row>
    <row r="35" spans="1:3" x14ac:dyDescent="0.2">
      <c r="A35" t="s">
        <v>1147</v>
      </c>
      <c r="B35" t="s">
        <v>242</v>
      </c>
      <c r="C35">
        <v>60.5</v>
      </c>
    </row>
    <row r="36" spans="1:3" x14ac:dyDescent="0.2">
      <c r="A36" t="s">
        <v>1147</v>
      </c>
      <c r="B36" t="s">
        <v>217</v>
      </c>
      <c r="C36">
        <v>59.5</v>
      </c>
    </row>
    <row r="37" spans="1:3" x14ac:dyDescent="0.2">
      <c r="A37" t="s">
        <v>1148</v>
      </c>
      <c r="B37" t="s">
        <v>338</v>
      </c>
      <c r="C37">
        <v>89.24</v>
      </c>
    </row>
    <row r="38" spans="1:3" x14ac:dyDescent="0.2">
      <c r="A38" t="s">
        <v>1148</v>
      </c>
      <c r="B38" t="s">
        <v>416</v>
      </c>
      <c r="C38">
        <v>87.55</v>
      </c>
    </row>
    <row r="39" spans="1:3" x14ac:dyDescent="0.2">
      <c r="A39" t="s">
        <v>1148</v>
      </c>
      <c r="B39" t="s">
        <v>339</v>
      </c>
      <c r="C39">
        <v>86.2</v>
      </c>
    </row>
    <row r="40" spans="1:3" x14ac:dyDescent="0.2">
      <c r="A40" t="s">
        <v>1148</v>
      </c>
      <c r="B40" t="s">
        <v>412</v>
      </c>
      <c r="C40">
        <v>79.8</v>
      </c>
    </row>
    <row r="41" spans="1:3" x14ac:dyDescent="0.2">
      <c r="A41" t="s">
        <v>1148</v>
      </c>
      <c r="B41" t="s">
        <v>408</v>
      </c>
      <c r="C41">
        <v>75.73</v>
      </c>
    </row>
    <row r="42" spans="1:3" x14ac:dyDescent="0.2">
      <c r="A42" t="s">
        <v>1148</v>
      </c>
      <c r="B42" t="s">
        <v>401</v>
      </c>
      <c r="C42">
        <v>75</v>
      </c>
    </row>
    <row r="43" spans="1:3" x14ac:dyDescent="0.2">
      <c r="A43" t="s">
        <v>1148</v>
      </c>
      <c r="B43" t="s">
        <v>222</v>
      </c>
      <c r="C43">
        <v>73.88</v>
      </c>
    </row>
    <row r="44" spans="1:3" x14ac:dyDescent="0.2">
      <c r="A44" t="s">
        <v>1148</v>
      </c>
      <c r="B44" t="s">
        <v>224</v>
      </c>
      <c r="C44">
        <v>72.36</v>
      </c>
    </row>
    <row r="45" spans="1:3" x14ac:dyDescent="0.2">
      <c r="A45" t="s">
        <v>1148</v>
      </c>
      <c r="B45" t="s">
        <v>225</v>
      </c>
      <c r="C45">
        <v>72.25</v>
      </c>
    </row>
    <row r="46" spans="1:3" x14ac:dyDescent="0.2">
      <c r="A46" t="s">
        <v>1148</v>
      </c>
      <c r="B46" t="s">
        <v>413</v>
      </c>
      <c r="C46">
        <v>72.2</v>
      </c>
    </row>
    <row r="47" spans="1:3" x14ac:dyDescent="0.2">
      <c r="A47" t="s">
        <v>1148</v>
      </c>
      <c r="B47" t="s">
        <v>364</v>
      </c>
      <c r="C47">
        <v>71.010000000000005</v>
      </c>
    </row>
    <row r="48" spans="1:3" x14ac:dyDescent="0.2">
      <c r="A48" t="s">
        <v>1148</v>
      </c>
      <c r="B48" t="s">
        <v>407</v>
      </c>
      <c r="C48">
        <v>70.22</v>
      </c>
    </row>
    <row r="49" spans="1:3" x14ac:dyDescent="0.2">
      <c r="A49" t="s">
        <v>1148</v>
      </c>
      <c r="B49" t="s">
        <v>415</v>
      </c>
      <c r="C49">
        <v>70.099999999999994</v>
      </c>
    </row>
    <row r="50" spans="1:3" x14ac:dyDescent="0.2">
      <c r="A50" t="s">
        <v>1148</v>
      </c>
      <c r="B50" t="s">
        <v>217</v>
      </c>
      <c r="C50">
        <v>69.959999999999994</v>
      </c>
    </row>
    <row r="51" spans="1:3" x14ac:dyDescent="0.2">
      <c r="A51" t="s">
        <v>1148</v>
      </c>
      <c r="B51" t="s">
        <v>362</v>
      </c>
      <c r="C51">
        <v>69.849999999999994</v>
      </c>
    </row>
    <row r="52" spans="1:3" x14ac:dyDescent="0.2">
      <c r="A52" t="s">
        <v>1148</v>
      </c>
      <c r="B52" t="s">
        <v>219</v>
      </c>
      <c r="C52">
        <v>69.69</v>
      </c>
    </row>
    <row r="53" spans="1:3" x14ac:dyDescent="0.2">
      <c r="A53" t="s">
        <v>1148</v>
      </c>
      <c r="B53" t="s">
        <v>409</v>
      </c>
      <c r="C53">
        <v>69.62</v>
      </c>
    </row>
    <row r="54" spans="1:3" x14ac:dyDescent="0.2">
      <c r="A54" t="s">
        <v>1148</v>
      </c>
      <c r="B54" t="s">
        <v>336</v>
      </c>
      <c r="C54">
        <v>69.2</v>
      </c>
    </row>
    <row r="55" spans="1:3" x14ac:dyDescent="0.2">
      <c r="A55" t="s">
        <v>1148</v>
      </c>
      <c r="B55" t="s">
        <v>215</v>
      </c>
      <c r="C55">
        <v>68.95</v>
      </c>
    </row>
    <row r="56" spans="1:3" x14ac:dyDescent="0.2">
      <c r="A56" t="s">
        <v>1148</v>
      </c>
      <c r="B56" t="s">
        <v>335</v>
      </c>
      <c r="C56">
        <v>68.099999999999994</v>
      </c>
    </row>
    <row r="57" spans="1:3" x14ac:dyDescent="0.2">
      <c r="A57" t="s">
        <v>1148</v>
      </c>
      <c r="B57" t="s">
        <v>9</v>
      </c>
      <c r="C57">
        <v>68</v>
      </c>
    </row>
    <row r="58" spans="1:3" x14ac:dyDescent="0.2">
      <c r="A58" t="s">
        <v>1148</v>
      </c>
      <c r="B58" t="s">
        <v>543</v>
      </c>
      <c r="C58">
        <v>67.2</v>
      </c>
    </row>
    <row r="59" spans="1:3" x14ac:dyDescent="0.2">
      <c r="A59" t="s">
        <v>1148</v>
      </c>
      <c r="B59" t="s">
        <v>399</v>
      </c>
      <c r="C59">
        <v>65.86</v>
      </c>
    </row>
    <row r="60" spans="1:3" x14ac:dyDescent="0.2">
      <c r="A60" t="s">
        <v>1148</v>
      </c>
      <c r="B60" t="s">
        <v>363</v>
      </c>
      <c r="C60">
        <v>65.400000000000006</v>
      </c>
    </row>
    <row r="61" spans="1:3" x14ac:dyDescent="0.2">
      <c r="A61" t="s">
        <v>1148</v>
      </c>
      <c r="B61" t="s">
        <v>328</v>
      </c>
      <c r="C61">
        <v>65.2</v>
      </c>
    </row>
    <row r="62" spans="1:3" x14ac:dyDescent="0.2">
      <c r="A62" t="s">
        <v>1148</v>
      </c>
      <c r="B62" t="s">
        <v>406</v>
      </c>
      <c r="C62">
        <v>65</v>
      </c>
    </row>
    <row r="63" spans="1:3" x14ac:dyDescent="0.2">
      <c r="A63" t="s">
        <v>1148</v>
      </c>
      <c r="B63" t="s">
        <v>218</v>
      </c>
      <c r="C63">
        <v>64.459999999999994</v>
      </c>
    </row>
    <row r="64" spans="1:3" x14ac:dyDescent="0.2">
      <c r="A64" t="s">
        <v>1148</v>
      </c>
      <c r="B64" t="s">
        <v>414</v>
      </c>
      <c r="C64">
        <v>64.349999999999994</v>
      </c>
    </row>
    <row r="65" spans="1:3" x14ac:dyDescent="0.2">
      <c r="A65" t="s">
        <v>1148</v>
      </c>
      <c r="B65" t="s">
        <v>226</v>
      </c>
      <c r="C65">
        <v>62.5</v>
      </c>
    </row>
    <row r="66" spans="1:3" x14ac:dyDescent="0.2">
      <c r="A66" t="s">
        <v>1148</v>
      </c>
      <c r="B66" t="s">
        <v>340</v>
      </c>
      <c r="C66">
        <v>61.53</v>
      </c>
    </row>
    <row r="67" spans="1:3" x14ac:dyDescent="0.2">
      <c r="A67" t="s">
        <v>1148</v>
      </c>
      <c r="B67" t="s">
        <v>292</v>
      </c>
      <c r="C67">
        <v>60.1</v>
      </c>
    </row>
    <row r="68" spans="1:3" x14ac:dyDescent="0.2">
      <c r="A68" t="s">
        <v>1148</v>
      </c>
      <c r="B68" t="s">
        <v>337</v>
      </c>
      <c r="C68">
        <v>60.06</v>
      </c>
    </row>
    <row r="69" spans="1:3" x14ac:dyDescent="0.2">
      <c r="A69" t="s">
        <v>1148</v>
      </c>
      <c r="B69" t="s">
        <v>381</v>
      </c>
      <c r="C69">
        <v>60.02</v>
      </c>
    </row>
    <row r="70" spans="1:3" x14ac:dyDescent="0.2">
      <c r="A70" t="s">
        <v>1148</v>
      </c>
      <c r="B70" t="s">
        <v>221</v>
      </c>
      <c r="C70">
        <v>59.3</v>
      </c>
    </row>
    <row r="71" spans="1:3" x14ac:dyDescent="0.2">
      <c r="A71" t="s">
        <v>1148</v>
      </c>
      <c r="B71" t="s">
        <v>404</v>
      </c>
      <c r="C71">
        <v>53.54</v>
      </c>
    </row>
    <row r="72" spans="1:3" x14ac:dyDescent="0.2">
      <c r="A72" t="s">
        <v>1149</v>
      </c>
      <c r="B72" t="s">
        <v>473</v>
      </c>
      <c r="C72">
        <v>65.3</v>
      </c>
    </row>
    <row r="73" spans="1:3" x14ac:dyDescent="0.2">
      <c r="A73" t="s">
        <v>1149</v>
      </c>
      <c r="B73" t="s">
        <v>412</v>
      </c>
      <c r="C73">
        <v>61.68</v>
      </c>
    </row>
    <row r="74" spans="1:3" x14ac:dyDescent="0.2">
      <c r="A74" t="s">
        <v>1149</v>
      </c>
      <c r="B74" t="s">
        <v>409</v>
      </c>
      <c r="C74">
        <v>55.69</v>
      </c>
    </row>
    <row r="75" spans="1:3" x14ac:dyDescent="0.2">
      <c r="A75" t="s">
        <v>1149</v>
      </c>
      <c r="B75" t="s">
        <v>401</v>
      </c>
      <c r="C75">
        <v>55</v>
      </c>
    </row>
    <row r="76" spans="1:3" x14ac:dyDescent="0.2">
      <c r="A76" t="s">
        <v>1149</v>
      </c>
      <c r="B76" t="s">
        <v>407</v>
      </c>
      <c r="C76">
        <v>47.72</v>
      </c>
    </row>
    <row r="77" spans="1:3" x14ac:dyDescent="0.2">
      <c r="A77" t="s">
        <v>1149</v>
      </c>
      <c r="B77" t="s">
        <v>364</v>
      </c>
      <c r="C77">
        <v>47.67</v>
      </c>
    </row>
    <row r="78" spans="1:3" x14ac:dyDescent="0.2">
      <c r="A78" t="s">
        <v>1149</v>
      </c>
      <c r="B78" t="s">
        <v>225</v>
      </c>
      <c r="C78">
        <v>46.23</v>
      </c>
    </row>
    <row r="79" spans="1:3" x14ac:dyDescent="0.2">
      <c r="A79" t="s">
        <v>1149</v>
      </c>
      <c r="B79" t="s">
        <v>217</v>
      </c>
      <c r="C79">
        <v>45.01</v>
      </c>
    </row>
    <row r="80" spans="1:3" x14ac:dyDescent="0.2">
      <c r="A80" t="s">
        <v>1149</v>
      </c>
      <c r="B80" t="s">
        <v>9</v>
      </c>
      <c r="C80">
        <v>45</v>
      </c>
    </row>
    <row r="81" spans="1:3" x14ac:dyDescent="0.2">
      <c r="A81" t="s">
        <v>1149</v>
      </c>
      <c r="B81" t="s">
        <v>219</v>
      </c>
      <c r="C81">
        <v>36.659999999999997</v>
      </c>
    </row>
    <row r="82" spans="1:3" x14ac:dyDescent="0.2">
      <c r="A82" t="s">
        <v>1149</v>
      </c>
      <c r="B82" t="s">
        <v>362</v>
      </c>
      <c r="C82">
        <v>35.6</v>
      </c>
    </row>
    <row r="83" spans="1:3" x14ac:dyDescent="0.2">
      <c r="A83" t="s">
        <v>1149</v>
      </c>
      <c r="B83" t="s">
        <v>475</v>
      </c>
      <c r="C83">
        <v>35.36</v>
      </c>
    </row>
    <row r="84" spans="1:3" x14ac:dyDescent="0.2">
      <c r="A84" t="s">
        <v>1149</v>
      </c>
      <c r="B84" t="s">
        <v>414</v>
      </c>
      <c r="C84">
        <v>35.33</v>
      </c>
    </row>
    <row r="85" spans="1:3" x14ac:dyDescent="0.2">
      <c r="A85" t="s">
        <v>1149</v>
      </c>
      <c r="B85" t="s">
        <v>408</v>
      </c>
      <c r="C85">
        <v>33.31</v>
      </c>
    </row>
    <row r="86" spans="1:3" x14ac:dyDescent="0.2">
      <c r="A86" t="s">
        <v>1149</v>
      </c>
      <c r="B86" t="s">
        <v>472</v>
      </c>
      <c r="C86">
        <v>32.57</v>
      </c>
    </row>
    <row r="87" spans="1:3" x14ac:dyDescent="0.2">
      <c r="A87" t="s">
        <v>1149</v>
      </c>
      <c r="B87" t="s">
        <v>406</v>
      </c>
      <c r="C87">
        <v>32</v>
      </c>
    </row>
    <row r="88" spans="1:3" x14ac:dyDescent="0.2">
      <c r="A88" t="s">
        <v>1149</v>
      </c>
      <c r="B88" t="s">
        <v>222</v>
      </c>
      <c r="C88">
        <v>30.5</v>
      </c>
    </row>
    <row r="89" spans="1:3" x14ac:dyDescent="0.2">
      <c r="A89" t="s">
        <v>1149</v>
      </c>
      <c r="B89" t="s">
        <v>363</v>
      </c>
      <c r="C89">
        <v>29.8</v>
      </c>
    </row>
    <row r="90" spans="1:3" x14ac:dyDescent="0.2">
      <c r="A90" t="s">
        <v>1149</v>
      </c>
      <c r="B90" t="s">
        <v>292</v>
      </c>
      <c r="C90">
        <v>29.4</v>
      </c>
    </row>
    <row r="91" spans="1:3" x14ac:dyDescent="0.2">
      <c r="A91" t="s">
        <v>1149</v>
      </c>
      <c r="B91" t="s">
        <v>543</v>
      </c>
      <c r="C91">
        <v>27.24</v>
      </c>
    </row>
    <row r="92" spans="1:3" x14ac:dyDescent="0.2">
      <c r="A92" t="s">
        <v>1149</v>
      </c>
      <c r="B92" t="s">
        <v>218</v>
      </c>
      <c r="C92">
        <v>26.5</v>
      </c>
    </row>
    <row r="93" spans="1:3" x14ac:dyDescent="0.2">
      <c r="A93" t="s">
        <v>1149</v>
      </c>
      <c r="B93" t="s">
        <v>226</v>
      </c>
      <c r="C93">
        <v>24.8</v>
      </c>
    </row>
    <row r="94" spans="1:3" x14ac:dyDescent="0.2">
      <c r="A94" t="s">
        <v>1149</v>
      </c>
      <c r="B94" t="s">
        <v>336</v>
      </c>
      <c r="C94">
        <v>23.7</v>
      </c>
    </row>
    <row r="95" spans="1:3" x14ac:dyDescent="0.2">
      <c r="A95" t="s">
        <v>1149</v>
      </c>
      <c r="B95" t="s">
        <v>221</v>
      </c>
      <c r="C95">
        <v>23.49</v>
      </c>
    </row>
    <row r="96" spans="1:3" x14ac:dyDescent="0.2">
      <c r="A96" t="s">
        <v>1149</v>
      </c>
      <c r="B96" t="s">
        <v>474</v>
      </c>
      <c r="C96">
        <v>20.399999999999999</v>
      </c>
    </row>
    <row r="97" spans="1:3" x14ac:dyDescent="0.2">
      <c r="A97" t="s">
        <v>1150</v>
      </c>
      <c r="B97" t="s">
        <v>412</v>
      </c>
      <c r="C97">
        <v>88.9</v>
      </c>
    </row>
    <row r="98" spans="1:3" x14ac:dyDescent="0.2">
      <c r="A98" t="s">
        <v>1150</v>
      </c>
      <c r="B98" t="s">
        <v>401</v>
      </c>
      <c r="C98">
        <v>47.45</v>
      </c>
    </row>
    <row r="99" spans="1:3" x14ac:dyDescent="0.2">
      <c r="A99" t="s">
        <v>1150</v>
      </c>
      <c r="B99" t="s">
        <v>215</v>
      </c>
      <c r="C99">
        <v>44.5</v>
      </c>
    </row>
    <row r="100" spans="1:3" x14ac:dyDescent="0.2">
      <c r="A100" t="s">
        <v>1150</v>
      </c>
      <c r="B100" t="s">
        <v>403</v>
      </c>
      <c r="C100">
        <v>40.25</v>
      </c>
    </row>
    <row r="101" spans="1:3" x14ac:dyDescent="0.2">
      <c r="A101" t="s">
        <v>1150</v>
      </c>
      <c r="B101" t="s">
        <v>9</v>
      </c>
      <c r="C101">
        <v>40</v>
      </c>
    </row>
    <row r="102" spans="1:3" x14ac:dyDescent="0.2">
      <c r="A102" t="s">
        <v>1150</v>
      </c>
      <c r="B102" t="s">
        <v>409</v>
      </c>
      <c r="C102">
        <v>37.549999999999997</v>
      </c>
    </row>
    <row r="103" spans="1:3" x14ac:dyDescent="0.2">
      <c r="A103" t="s">
        <v>1150</v>
      </c>
      <c r="B103" t="s">
        <v>337</v>
      </c>
      <c r="C103">
        <v>33.340000000000003</v>
      </c>
    </row>
    <row r="104" spans="1:3" x14ac:dyDescent="0.2">
      <c r="A104" t="s">
        <v>1150</v>
      </c>
      <c r="B104" t="s">
        <v>217</v>
      </c>
      <c r="C104">
        <v>33.33</v>
      </c>
    </row>
    <row r="105" spans="1:3" x14ac:dyDescent="0.2">
      <c r="A105" t="s">
        <v>1150</v>
      </c>
      <c r="B105" t="s">
        <v>406</v>
      </c>
      <c r="C105">
        <v>28.5</v>
      </c>
    </row>
    <row r="106" spans="1:3" x14ac:dyDescent="0.2">
      <c r="A106" t="s">
        <v>1150</v>
      </c>
      <c r="B106" t="s">
        <v>328</v>
      </c>
      <c r="C106">
        <v>27.6</v>
      </c>
    </row>
    <row r="107" spans="1:3" x14ac:dyDescent="0.2">
      <c r="A107" t="s">
        <v>1150</v>
      </c>
      <c r="B107" t="s">
        <v>218</v>
      </c>
      <c r="C107">
        <v>25.9</v>
      </c>
    </row>
    <row r="108" spans="1:3" x14ac:dyDescent="0.2">
      <c r="A108" t="s">
        <v>1150</v>
      </c>
      <c r="B108" t="s">
        <v>364</v>
      </c>
      <c r="C108">
        <v>24.71</v>
      </c>
    </row>
    <row r="109" spans="1:3" x14ac:dyDescent="0.2">
      <c r="A109" t="s">
        <v>1150</v>
      </c>
      <c r="B109" t="s">
        <v>408</v>
      </c>
      <c r="C109">
        <v>24.23</v>
      </c>
    </row>
    <row r="110" spans="1:3" x14ac:dyDescent="0.2">
      <c r="A110" t="s">
        <v>1150</v>
      </c>
      <c r="B110" t="s">
        <v>362</v>
      </c>
      <c r="C110">
        <v>24.2</v>
      </c>
    </row>
    <row r="111" spans="1:3" x14ac:dyDescent="0.2">
      <c r="A111" t="s">
        <v>1150</v>
      </c>
      <c r="B111" t="s">
        <v>292</v>
      </c>
      <c r="C111">
        <v>23.9</v>
      </c>
    </row>
    <row r="112" spans="1:3" x14ac:dyDescent="0.2">
      <c r="A112" t="s">
        <v>1150</v>
      </c>
      <c r="B112" t="s">
        <v>411</v>
      </c>
      <c r="C112">
        <v>23.89</v>
      </c>
    </row>
    <row r="113" spans="1:3" x14ac:dyDescent="0.2">
      <c r="A113" t="s">
        <v>1150</v>
      </c>
      <c r="B113" t="s">
        <v>414</v>
      </c>
      <c r="C113">
        <v>23.51</v>
      </c>
    </row>
    <row r="114" spans="1:3" x14ac:dyDescent="0.2">
      <c r="A114" t="s">
        <v>1150</v>
      </c>
      <c r="B114" t="s">
        <v>544</v>
      </c>
      <c r="C114">
        <v>23.5</v>
      </c>
    </row>
    <row r="115" spans="1:3" x14ac:dyDescent="0.2">
      <c r="A115" t="s">
        <v>1150</v>
      </c>
      <c r="B115" t="s">
        <v>225</v>
      </c>
      <c r="C115">
        <v>23.32</v>
      </c>
    </row>
    <row r="116" spans="1:3" x14ac:dyDescent="0.2">
      <c r="A116" t="s">
        <v>1150</v>
      </c>
      <c r="B116" t="s">
        <v>363</v>
      </c>
      <c r="C116">
        <v>22.8</v>
      </c>
    </row>
    <row r="117" spans="1:3" x14ac:dyDescent="0.2">
      <c r="A117" t="s">
        <v>1150</v>
      </c>
      <c r="B117" t="s">
        <v>226</v>
      </c>
      <c r="C117">
        <v>22.51</v>
      </c>
    </row>
    <row r="118" spans="1:3" x14ac:dyDescent="0.2">
      <c r="A118" t="s">
        <v>1150</v>
      </c>
      <c r="B118" t="s">
        <v>474</v>
      </c>
      <c r="C118">
        <v>22.5</v>
      </c>
    </row>
    <row r="119" spans="1:3" x14ac:dyDescent="0.2">
      <c r="A119" t="s">
        <v>1150</v>
      </c>
      <c r="B119" t="s">
        <v>242</v>
      </c>
      <c r="C119">
        <v>22</v>
      </c>
    </row>
    <row r="120" spans="1:3" x14ac:dyDescent="0.2">
      <c r="A120" t="s">
        <v>1150</v>
      </c>
      <c r="B120" t="s">
        <v>336</v>
      </c>
      <c r="C120">
        <v>20.5</v>
      </c>
    </row>
    <row r="121" spans="1:3" x14ac:dyDescent="0.2">
      <c r="A121" t="s">
        <v>1150</v>
      </c>
      <c r="B121" t="s">
        <v>542</v>
      </c>
      <c r="C121">
        <v>19.91</v>
      </c>
    </row>
    <row r="122" spans="1:3" x14ac:dyDescent="0.2">
      <c r="A122" t="s">
        <v>1150</v>
      </c>
      <c r="B122" t="s">
        <v>221</v>
      </c>
      <c r="C122">
        <v>19.5</v>
      </c>
    </row>
    <row r="123" spans="1:3" x14ac:dyDescent="0.2">
      <c r="A123" t="s">
        <v>1150</v>
      </c>
      <c r="B123" t="s">
        <v>222</v>
      </c>
      <c r="C123">
        <v>18.5</v>
      </c>
    </row>
    <row r="124" spans="1:3" x14ac:dyDescent="0.2">
      <c r="A124" t="s">
        <v>1150</v>
      </c>
      <c r="B124" t="s">
        <v>541</v>
      </c>
      <c r="C124">
        <v>17.329999999999998</v>
      </c>
    </row>
    <row r="125" spans="1:3" x14ac:dyDescent="0.2">
      <c r="A125" t="s">
        <v>1150</v>
      </c>
      <c r="B125" t="s">
        <v>543</v>
      </c>
      <c r="C125">
        <v>8.27</v>
      </c>
    </row>
    <row r="126" spans="1:3" x14ac:dyDescent="0.2">
      <c r="A126" t="s">
        <v>1151</v>
      </c>
      <c r="B126" t="s">
        <v>328</v>
      </c>
      <c r="C126">
        <v>30</v>
      </c>
    </row>
    <row r="127" spans="1:3" x14ac:dyDescent="0.2">
      <c r="A127" t="s">
        <v>1151</v>
      </c>
      <c r="B127" t="s">
        <v>226</v>
      </c>
      <c r="C127">
        <v>24.39</v>
      </c>
    </row>
    <row r="128" spans="1:3" x14ac:dyDescent="0.2">
      <c r="A128" t="s">
        <v>1151</v>
      </c>
      <c r="B128" t="s">
        <v>221</v>
      </c>
      <c r="C128">
        <v>24.93</v>
      </c>
    </row>
    <row r="129" spans="1:3" x14ac:dyDescent="0.2">
      <c r="A129" t="s">
        <v>1151</v>
      </c>
      <c r="B129" t="s">
        <v>9</v>
      </c>
      <c r="C129">
        <v>35</v>
      </c>
    </row>
    <row r="130" spans="1:3" x14ac:dyDescent="0.2">
      <c r="A130" t="s">
        <v>1151</v>
      </c>
      <c r="B130" t="s">
        <v>413</v>
      </c>
      <c r="C130">
        <v>33.340000000000003</v>
      </c>
    </row>
    <row r="131" spans="1:3" x14ac:dyDescent="0.2">
      <c r="A131" t="s">
        <v>1151</v>
      </c>
      <c r="B131" t="s">
        <v>215</v>
      </c>
      <c r="C131">
        <v>41.1</v>
      </c>
    </row>
    <row r="132" spans="1:3" x14ac:dyDescent="0.2">
      <c r="A132" t="s">
        <v>1151</v>
      </c>
      <c r="B132" t="s">
        <v>335</v>
      </c>
      <c r="C132">
        <v>34.21</v>
      </c>
    </row>
    <row r="133" spans="1:3" x14ac:dyDescent="0.2">
      <c r="A133" t="s">
        <v>1151</v>
      </c>
      <c r="B133" t="s">
        <v>652</v>
      </c>
      <c r="C133">
        <v>34.47</v>
      </c>
    </row>
    <row r="134" spans="1:3" x14ac:dyDescent="0.2">
      <c r="A134" t="s">
        <v>1151</v>
      </c>
      <c r="B134" t="s">
        <v>651</v>
      </c>
      <c r="C134">
        <v>13.1</v>
      </c>
    </row>
    <row r="135" spans="1:3" x14ac:dyDescent="0.2">
      <c r="A135" t="s">
        <v>1151</v>
      </c>
      <c r="B135" t="s">
        <v>541</v>
      </c>
      <c r="C135">
        <v>35.33</v>
      </c>
    </row>
    <row r="136" spans="1:3" x14ac:dyDescent="0.2">
      <c r="A136" t="s">
        <v>1151</v>
      </c>
      <c r="B136" t="s">
        <v>225</v>
      </c>
      <c r="C136">
        <v>11.11</v>
      </c>
    </row>
    <row r="137" spans="1:3" x14ac:dyDescent="0.2">
      <c r="A137" t="s">
        <v>1151</v>
      </c>
      <c r="B137" t="s">
        <v>217</v>
      </c>
      <c r="C137">
        <v>33.33</v>
      </c>
    </row>
    <row r="138" spans="1:3" x14ac:dyDescent="0.2">
      <c r="A138" t="s">
        <v>1151</v>
      </c>
      <c r="B138" t="s">
        <v>337</v>
      </c>
      <c r="C138">
        <v>35.53</v>
      </c>
    </row>
    <row r="139" spans="1:3" x14ac:dyDescent="0.2">
      <c r="A139" t="s">
        <v>1151</v>
      </c>
      <c r="B139" t="s">
        <v>788</v>
      </c>
      <c r="C139">
        <v>23.7</v>
      </c>
    </row>
    <row r="140" spans="1:3" x14ac:dyDescent="0.2">
      <c r="A140" t="s">
        <v>1151</v>
      </c>
      <c r="B140" t="s">
        <v>409</v>
      </c>
      <c r="C140">
        <v>29.69</v>
      </c>
    </row>
    <row r="141" spans="1:3" x14ac:dyDescent="0.2">
      <c r="A141" t="s">
        <v>1151</v>
      </c>
      <c r="B141" t="s">
        <v>362</v>
      </c>
      <c r="C141">
        <v>28.3</v>
      </c>
    </row>
    <row r="142" spans="1:3" x14ac:dyDescent="0.2">
      <c r="A142" t="s">
        <v>1151</v>
      </c>
      <c r="B142" t="s">
        <v>650</v>
      </c>
      <c r="C142">
        <v>35.6</v>
      </c>
    </row>
    <row r="143" spans="1:3" x14ac:dyDescent="0.2">
      <c r="A143" t="s">
        <v>1151</v>
      </c>
      <c r="B143" t="s">
        <v>219</v>
      </c>
      <c r="C143">
        <v>33.35</v>
      </c>
    </row>
    <row r="144" spans="1:3" x14ac:dyDescent="0.2">
      <c r="A144" t="s">
        <v>1151</v>
      </c>
      <c r="B144" t="s">
        <v>474</v>
      </c>
      <c r="C144">
        <v>35.1</v>
      </c>
    </row>
    <row r="145" spans="1:3" x14ac:dyDescent="0.2">
      <c r="A145" t="s">
        <v>1151</v>
      </c>
      <c r="B145" t="s">
        <v>242</v>
      </c>
      <c r="C145">
        <v>7.5</v>
      </c>
    </row>
    <row r="146" spans="1:3" x14ac:dyDescent="0.2">
      <c r="A146" t="s">
        <v>1151</v>
      </c>
      <c r="B146" t="s">
        <v>406</v>
      </c>
      <c r="C146">
        <v>25</v>
      </c>
    </row>
    <row r="147" spans="1:3" x14ac:dyDescent="0.2">
      <c r="A147" t="s">
        <v>1151</v>
      </c>
      <c r="B147" t="s">
        <v>336</v>
      </c>
      <c r="C147">
        <v>30.01</v>
      </c>
    </row>
    <row r="148" spans="1:3" x14ac:dyDescent="0.2">
      <c r="A148" t="s">
        <v>1151</v>
      </c>
      <c r="B148" t="s">
        <v>411</v>
      </c>
      <c r="C148">
        <v>22.02</v>
      </c>
    </row>
    <row r="149" spans="1:3" x14ac:dyDescent="0.2">
      <c r="A149" t="s">
        <v>1151</v>
      </c>
      <c r="B149" t="s">
        <v>218</v>
      </c>
      <c r="C149">
        <v>15.5</v>
      </c>
    </row>
    <row r="150" spans="1:3" x14ac:dyDescent="0.2">
      <c r="A150" t="s">
        <v>1151</v>
      </c>
      <c r="B150" t="s">
        <v>645</v>
      </c>
      <c r="C150">
        <v>38.14</v>
      </c>
    </row>
    <row r="151" spans="1:3" x14ac:dyDescent="0.2">
      <c r="A151" t="s">
        <v>1151</v>
      </c>
      <c r="B151" t="s">
        <v>222</v>
      </c>
      <c r="C151">
        <v>26.15</v>
      </c>
    </row>
    <row r="152" spans="1:3" x14ac:dyDescent="0.2">
      <c r="A152" t="s">
        <v>1151</v>
      </c>
      <c r="B152" t="s">
        <v>412</v>
      </c>
      <c r="C152">
        <v>48.6</v>
      </c>
    </row>
    <row r="153" spans="1:3" x14ac:dyDescent="0.2">
      <c r="A153" t="s">
        <v>1151</v>
      </c>
      <c r="B153" t="s">
        <v>404</v>
      </c>
      <c r="C153">
        <v>30.5</v>
      </c>
    </row>
    <row r="154" spans="1:3" x14ac:dyDescent="0.2">
      <c r="A154" t="s">
        <v>1151</v>
      </c>
      <c r="B154" t="s">
        <v>401</v>
      </c>
      <c r="C154">
        <v>8.8800000000000008</v>
      </c>
    </row>
    <row r="155" spans="1:3" x14ac:dyDescent="0.2">
      <c r="A155" t="s">
        <v>1151</v>
      </c>
      <c r="B155" t="s">
        <v>408</v>
      </c>
      <c r="C155">
        <v>29.6</v>
      </c>
    </row>
    <row r="156" spans="1:3" x14ac:dyDescent="0.2">
      <c r="A156" t="s">
        <v>1151</v>
      </c>
      <c r="B156" t="s">
        <v>414</v>
      </c>
      <c r="C156">
        <v>28.1</v>
      </c>
    </row>
    <row r="157" spans="1:3" x14ac:dyDescent="0.2">
      <c r="A157" t="s">
        <v>1151</v>
      </c>
      <c r="B157" t="s">
        <v>403</v>
      </c>
      <c r="C157">
        <v>30.7</v>
      </c>
    </row>
    <row r="158" spans="1:3" x14ac:dyDescent="0.2">
      <c r="A158" t="s">
        <v>1151</v>
      </c>
      <c r="B158" t="s">
        <v>400</v>
      </c>
      <c r="C158">
        <v>37.799999999999997</v>
      </c>
    </row>
    <row r="159" spans="1:3" x14ac:dyDescent="0.2">
      <c r="A159" t="s">
        <v>1151</v>
      </c>
      <c r="B159" t="s">
        <v>364</v>
      </c>
      <c r="C159">
        <v>31.88</v>
      </c>
    </row>
    <row r="160" spans="1:3" x14ac:dyDescent="0.2">
      <c r="A160" t="s">
        <v>1151</v>
      </c>
      <c r="B160" t="s">
        <v>647</v>
      </c>
      <c r="C160">
        <v>33.36</v>
      </c>
    </row>
    <row r="161" spans="1:3" x14ac:dyDescent="0.2">
      <c r="A161" t="s">
        <v>1151</v>
      </c>
      <c r="B161" t="s">
        <v>646</v>
      </c>
      <c r="C161">
        <v>27.25</v>
      </c>
    </row>
    <row r="162" spans="1:3" x14ac:dyDescent="0.2">
      <c r="A162" t="s">
        <v>1151</v>
      </c>
      <c r="B162" t="s">
        <v>381</v>
      </c>
      <c r="C162">
        <v>27.57</v>
      </c>
    </row>
    <row r="163" spans="1:3" x14ac:dyDescent="0.2">
      <c r="A163" t="s">
        <v>1151</v>
      </c>
      <c r="B163" t="s">
        <v>543</v>
      </c>
      <c r="C163">
        <v>28.62</v>
      </c>
    </row>
    <row r="164" spans="1:3" x14ac:dyDescent="0.2">
      <c r="A164" t="s">
        <v>1151</v>
      </c>
      <c r="B164" t="s">
        <v>363</v>
      </c>
      <c r="C164">
        <v>21.6</v>
      </c>
    </row>
    <row r="165" spans="1:3" x14ac:dyDescent="0.2">
      <c r="A165" t="s">
        <v>1151</v>
      </c>
      <c r="B165" t="s">
        <v>542</v>
      </c>
      <c r="C165">
        <v>26.62</v>
      </c>
    </row>
    <row r="166" spans="1:3" x14ac:dyDescent="0.2">
      <c r="A166" t="s">
        <v>1151</v>
      </c>
      <c r="B166" t="s">
        <v>653</v>
      </c>
      <c r="C166">
        <v>18.760000000000002</v>
      </c>
    </row>
    <row r="167" spans="1:3" x14ac:dyDescent="0.2">
      <c r="A167" t="s">
        <v>1151</v>
      </c>
      <c r="B167" t="s">
        <v>399</v>
      </c>
      <c r="C167">
        <v>35.229999999999997</v>
      </c>
    </row>
    <row r="168" spans="1:3" x14ac:dyDescent="0.2">
      <c r="A168" t="s">
        <v>1151</v>
      </c>
      <c r="B168" t="s">
        <v>648</v>
      </c>
      <c r="C168">
        <v>18.12</v>
      </c>
    </row>
    <row r="169" spans="1:3" x14ac:dyDescent="0.2">
      <c r="A169" t="s">
        <v>1152</v>
      </c>
      <c r="B169" t="s">
        <v>786</v>
      </c>
      <c r="C169">
        <v>99.95</v>
      </c>
    </row>
    <row r="170" spans="1:3" x14ac:dyDescent="0.2">
      <c r="A170" t="s">
        <v>1152</v>
      </c>
      <c r="B170" t="s">
        <v>650</v>
      </c>
      <c r="C170">
        <v>86.46</v>
      </c>
    </row>
    <row r="171" spans="1:3" x14ac:dyDescent="0.2">
      <c r="A171" t="s">
        <v>1152</v>
      </c>
      <c r="B171" t="s">
        <v>218</v>
      </c>
      <c r="C171">
        <v>69</v>
      </c>
    </row>
    <row r="172" spans="1:3" x14ac:dyDescent="0.2">
      <c r="A172" t="s">
        <v>1152</v>
      </c>
      <c r="B172" t="s">
        <v>785</v>
      </c>
      <c r="C172">
        <v>63.57</v>
      </c>
    </row>
    <row r="173" spans="1:3" x14ac:dyDescent="0.2">
      <c r="A173" t="s">
        <v>1152</v>
      </c>
      <c r="B173" t="s">
        <v>803</v>
      </c>
      <c r="C173">
        <v>63.18</v>
      </c>
    </row>
    <row r="174" spans="1:3" x14ac:dyDescent="0.2">
      <c r="A174" t="s">
        <v>1152</v>
      </c>
      <c r="B174" t="s">
        <v>784</v>
      </c>
      <c r="C174">
        <v>60.31</v>
      </c>
    </row>
    <row r="175" spans="1:3" x14ac:dyDescent="0.2">
      <c r="A175" t="s">
        <v>1152</v>
      </c>
      <c r="B175" t="s">
        <v>403</v>
      </c>
      <c r="C175">
        <v>60.1</v>
      </c>
    </row>
    <row r="176" spans="1:3" x14ac:dyDescent="0.2">
      <c r="A176" t="s">
        <v>1152</v>
      </c>
      <c r="B176" t="s">
        <v>328</v>
      </c>
      <c r="C176">
        <v>59</v>
      </c>
    </row>
    <row r="177" spans="1:3" x14ac:dyDescent="0.2">
      <c r="A177" t="s">
        <v>1152</v>
      </c>
      <c r="B177" t="s">
        <v>219</v>
      </c>
      <c r="C177">
        <v>58.88</v>
      </c>
    </row>
    <row r="178" spans="1:3" x14ac:dyDescent="0.2">
      <c r="A178" t="s">
        <v>1152</v>
      </c>
      <c r="B178" t="s">
        <v>789</v>
      </c>
      <c r="C178">
        <v>56.3</v>
      </c>
    </row>
    <row r="179" spans="1:3" x14ac:dyDescent="0.2">
      <c r="A179" t="s">
        <v>1152</v>
      </c>
      <c r="B179" t="s">
        <v>791</v>
      </c>
      <c r="C179">
        <v>56.2</v>
      </c>
    </row>
    <row r="180" spans="1:3" x14ac:dyDescent="0.2">
      <c r="A180" t="s">
        <v>1152</v>
      </c>
      <c r="B180" t="s">
        <v>215</v>
      </c>
      <c r="C180">
        <v>55.55</v>
      </c>
    </row>
    <row r="181" spans="1:3" x14ac:dyDescent="0.2">
      <c r="A181" t="s">
        <v>1152</v>
      </c>
      <c r="B181" t="s">
        <v>653</v>
      </c>
      <c r="C181">
        <v>55.33</v>
      </c>
    </row>
    <row r="182" spans="1:3" x14ac:dyDescent="0.2">
      <c r="A182" t="s">
        <v>1152</v>
      </c>
      <c r="B182" t="s">
        <v>1028</v>
      </c>
      <c r="C182">
        <v>55.32</v>
      </c>
    </row>
    <row r="183" spans="1:3" x14ac:dyDescent="0.2">
      <c r="A183" t="s">
        <v>1152</v>
      </c>
      <c r="B183" t="s">
        <v>792</v>
      </c>
      <c r="C183">
        <v>55.3</v>
      </c>
    </row>
    <row r="184" spans="1:3" x14ac:dyDescent="0.2">
      <c r="A184" t="s">
        <v>1152</v>
      </c>
      <c r="B184" t="s">
        <v>406</v>
      </c>
      <c r="C184">
        <v>55</v>
      </c>
    </row>
    <row r="185" spans="1:3" x14ac:dyDescent="0.2">
      <c r="A185" t="s">
        <v>1152</v>
      </c>
      <c r="B185" t="s">
        <v>401</v>
      </c>
      <c r="C185">
        <v>54.56</v>
      </c>
    </row>
    <row r="186" spans="1:3" x14ac:dyDescent="0.2">
      <c r="A186" t="s">
        <v>1152</v>
      </c>
      <c r="B186" t="s">
        <v>412</v>
      </c>
      <c r="C186">
        <v>54.22</v>
      </c>
    </row>
    <row r="187" spans="1:3" x14ac:dyDescent="0.2">
      <c r="A187" t="s">
        <v>1152</v>
      </c>
      <c r="B187" t="s">
        <v>787</v>
      </c>
      <c r="C187">
        <v>53.41</v>
      </c>
    </row>
    <row r="188" spans="1:3" x14ac:dyDescent="0.2">
      <c r="A188" t="s">
        <v>1152</v>
      </c>
      <c r="B188" t="s">
        <v>788</v>
      </c>
      <c r="C188">
        <v>53.4</v>
      </c>
    </row>
    <row r="189" spans="1:3" x14ac:dyDescent="0.2">
      <c r="A189" t="s">
        <v>1152</v>
      </c>
      <c r="B189" t="s">
        <v>335</v>
      </c>
      <c r="C189">
        <v>53.21</v>
      </c>
    </row>
    <row r="190" spans="1:3" x14ac:dyDescent="0.2">
      <c r="A190" t="s">
        <v>1152</v>
      </c>
      <c r="B190" t="s">
        <v>414</v>
      </c>
      <c r="C190">
        <v>53.2</v>
      </c>
    </row>
    <row r="191" spans="1:3" x14ac:dyDescent="0.2">
      <c r="A191" t="s">
        <v>1152</v>
      </c>
      <c r="B191" t="s">
        <v>381</v>
      </c>
      <c r="C191">
        <v>52.95</v>
      </c>
    </row>
    <row r="192" spans="1:3" x14ac:dyDescent="0.2">
      <c r="A192" t="s">
        <v>1152</v>
      </c>
      <c r="B192" t="s">
        <v>409</v>
      </c>
      <c r="C192">
        <v>52.5</v>
      </c>
    </row>
    <row r="193" spans="1:3" x14ac:dyDescent="0.2">
      <c r="A193" t="s">
        <v>1152</v>
      </c>
      <c r="B193" t="s">
        <v>404</v>
      </c>
      <c r="C193">
        <v>52.24</v>
      </c>
    </row>
    <row r="194" spans="1:3" x14ac:dyDescent="0.2">
      <c r="A194" t="s">
        <v>1152</v>
      </c>
      <c r="B194" t="s">
        <v>652</v>
      </c>
      <c r="C194">
        <v>51.49</v>
      </c>
    </row>
    <row r="195" spans="1:3" x14ac:dyDescent="0.2">
      <c r="A195" t="s">
        <v>1152</v>
      </c>
      <c r="B195" t="s">
        <v>336</v>
      </c>
      <c r="C195">
        <v>51.4</v>
      </c>
    </row>
    <row r="196" spans="1:3" x14ac:dyDescent="0.2">
      <c r="A196" t="s">
        <v>1152</v>
      </c>
      <c r="B196" t="s">
        <v>225</v>
      </c>
      <c r="C196">
        <v>50.8</v>
      </c>
    </row>
    <row r="197" spans="1:3" x14ac:dyDescent="0.2">
      <c r="A197" t="s">
        <v>1152</v>
      </c>
      <c r="B197" t="s">
        <v>543</v>
      </c>
      <c r="C197">
        <v>49.29</v>
      </c>
    </row>
    <row r="198" spans="1:3" x14ac:dyDescent="0.2">
      <c r="A198" t="s">
        <v>1152</v>
      </c>
      <c r="B198" t="s">
        <v>364</v>
      </c>
      <c r="C198">
        <v>48.01</v>
      </c>
    </row>
    <row r="199" spans="1:3" x14ac:dyDescent="0.2">
      <c r="A199" t="s">
        <v>1152</v>
      </c>
      <c r="B199" t="s">
        <v>222</v>
      </c>
      <c r="C199">
        <v>47.82</v>
      </c>
    </row>
    <row r="200" spans="1:3" x14ac:dyDescent="0.2">
      <c r="A200" t="s">
        <v>1152</v>
      </c>
      <c r="B200" t="s">
        <v>407</v>
      </c>
      <c r="C200">
        <v>46.66</v>
      </c>
    </row>
    <row r="201" spans="1:3" x14ac:dyDescent="0.2">
      <c r="A201" t="s">
        <v>1152</v>
      </c>
      <c r="B201" t="s">
        <v>242</v>
      </c>
      <c r="C201">
        <v>46.5</v>
      </c>
    </row>
    <row r="202" spans="1:3" x14ac:dyDescent="0.2">
      <c r="A202" t="s">
        <v>1152</v>
      </c>
      <c r="B202" t="s">
        <v>542</v>
      </c>
      <c r="C202">
        <v>44.45</v>
      </c>
    </row>
    <row r="203" spans="1:3" x14ac:dyDescent="0.2">
      <c r="A203" t="s">
        <v>1152</v>
      </c>
      <c r="B203" t="s">
        <v>337</v>
      </c>
      <c r="C203">
        <v>44.44</v>
      </c>
    </row>
    <row r="204" spans="1:3" x14ac:dyDescent="0.2">
      <c r="A204" t="s">
        <v>1152</v>
      </c>
      <c r="B204" t="s">
        <v>292</v>
      </c>
      <c r="C204">
        <v>43.83</v>
      </c>
    </row>
    <row r="205" spans="1:3" x14ac:dyDescent="0.2">
      <c r="A205" t="s">
        <v>1152</v>
      </c>
      <c r="B205" t="s">
        <v>782</v>
      </c>
      <c r="C205">
        <v>43.73</v>
      </c>
    </row>
    <row r="206" spans="1:3" x14ac:dyDescent="0.2">
      <c r="A206" t="s">
        <v>1152</v>
      </c>
      <c r="B206" t="s">
        <v>645</v>
      </c>
      <c r="C206">
        <v>43.71</v>
      </c>
    </row>
    <row r="207" spans="1:3" x14ac:dyDescent="0.2">
      <c r="A207" t="s">
        <v>1152</v>
      </c>
      <c r="B207" t="s">
        <v>779</v>
      </c>
      <c r="C207">
        <v>43.28</v>
      </c>
    </row>
    <row r="208" spans="1:3" x14ac:dyDescent="0.2">
      <c r="A208" t="s">
        <v>1152</v>
      </c>
      <c r="B208" t="s">
        <v>399</v>
      </c>
      <c r="C208">
        <v>43.2</v>
      </c>
    </row>
    <row r="209" spans="1:3" x14ac:dyDescent="0.2">
      <c r="A209" t="s">
        <v>1152</v>
      </c>
      <c r="B209" t="s">
        <v>474</v>
      </c>
      <c r="C209">
        <v>42.25</v>
      </c>
    </row>
    <row r="210" spans="1:3" x14ac:dyDescent="0.2">
      <c r="A210" t="s">
        <v>1152</v>
      </c>
      <c r="B210" t="s">
        <v>362</v>
      </c>
      <c r="C210">
        <v>42.11</v>
      </c>
    </row>
    <row r="211" spans="1:3" x14ac:dyDescent="0.2">
      <c r="A211" t="s">
        <v>1152</v>
      </c>
      <c r="B211" t="s">
        <v>363</v>
      </c>
      <c r="C211">
        <v>42.1</v>
      </c>
    </row>
    <row r="212" spans="1:3" x14ac:dyDescent="0.2">
      <c r="A212" t="s">
        <v>1152</v>
      </c>
      <c r="B212" t="s">
        <v>408</v>
      </c>
      <c r="C212">
        <v>41.91</v>
      </c>
    </row>
    <row r="213" spans="1:3" x14ac:dyDescent="0.2">
      <c r="A213" t="s">
        <v>1152</v>
      </c>
      <c r="B213" t="s">
        <v>217</v>
      </c>
      <c r="C213">
        <v>39.93</v>
      </c>
    </row>
    <row r="214" spans="1:3" x14ac:dyDescent="0.2">
      <c r="A214" t="s">
        <v>1152</v>
      </c>
      <c r="B214" t="s">
        <v>221</v>
      </c>
      <c r="C214">
        <v>39.590000000000003</v>
      </c>
    </row>
    <row r="215" spans="1:3" x14ac:dyDescent="0.2">
      <c r="A215" t="s">
        <v>1152</v>
      </c>
      <c r="B215" t="s">
        <v>651</v>
      </c>
      <c r="C215">
        <v>38.9</v>
      </c>
    </row>
    <row r="216" spans="1:3" x14ac:dyDescent="0.2">
      <c r="A216" t="s">
        <v>1152</v>
      </c>
      <c r="B216" t="s">
        <v>780</v>
      </c>
      <c r="C216">
        <v>38.5</v>
      </c>
    </row>
    <row r="217" spans="1:3" x14ac:dyDescent="0.2">
      <c r="A217" t="s">
        <v>1152</v>
      </c>
      <c r="B217" t="s">
        <v>783</v>
      </c>
      <c r="C217">
        <v>35.880000000000003</v>
      </c>
    </row>
    <row r="218" spans="1:3" x14ac:dyDescent="0.2">
      <c r="A218" t="s">
        <v>1152</v>
      </c>
      <c r="B218" t="s">
        <v>541</v>
      </c>
      <c r="C218">
        <v>35.15</v>
      </c>
    </row>
    <row r="219" spans="1:3" x14ac:dyDescent="0.2">
      <c r="A219" t="s">
        <v>1152</v>
      </c>
      <c r="B219" t="s">
        <v>9</v>
      </c>
      <c r="C219">
        <v>35</v>
      </c>
    </row>
    <row r="220" spans="1:3" x14ac:dyDescent="0.2">
      <c r="A220" t="s">
        <v>1152</v>
      </c>
      <c r="B220" t="s">
        <v>781</v>
      </c>
      <c r="C220">
        <v>31.85</v>
      </c>
    </row>
    <row r="221" spans="1:3" x14ac:dyDescent="0.2">
      <c r="A221" t="s">
        <v>1152</v>
      </c>
      <c r="B221" t="s">
        <v>411</v>
      </c>
      <c r="C221">
        <v>29.45</v>
      </c>
    </row>
    <row r="222" spans="1:3" x14ac:dyDescent="0.2">
      <c r="A222" t="s">
        <v>1153</v>
      </c>
      <c r="B222" t="s">
        <v>786</v>
      </c>
      <c r="C222">
        <v>79.41</v>
      </c>
    </row>
    <row r="223" spans="1:3" x14ac:dyDescent="0.2">
      <c r="A223" t="s">
        <v>1153</v>
      </c>
      <c r="B223" t="s">
        <v>942</v>
      </c>
      <c r="C223">
        <v>78.89</v>
      </c>
    </row>
    <row r="224" spans="1:3" x14ac:dyDescent="0.2">
      <c r="A224" t="s">
        <v>1153</v>
      </c>
      <c r="B224" t="s">
        <v>785</v>
      </c>
      <c r="C224">
        <v>78.650000000000006</v>
      </c>
    </row>
    <row r="225" spans="1:3" x14ac:dyDescent="0.2">
      <c r="A225" t="s">
        <v>1153</v>
      </c>
      <c r="B225" t="s">
        <v>328</v>
      </c>
      <c r="C225">
        <v>78.52</v>
      </c>
    </row>
    <row r="226" spans="1:3" x14ac:dyDescent="0.2">
      <c r="A226" t="s">
        <v>1153</v>
      </c>
      <c r="B226" t="s">
        <v>413</v>
      </c>
      <c r="C226">
        <v>77.77</v>
      </c>
    </row>
    <row r="227" spans="1:3" x14ac:dyDescent="0.2">
      <c r="A227" t="s">
        <v>1153</v>
      </c>
      <c r="B227" t="s">
        <v>218</v>
      </c>
      <c r="C227">
        <v>77.7</v>
      </c>
    </row>
    <row r="228" spans="1:3" x14ac:dyDescent="0.2">
      <c r="A228" t="s">
        <v>1153</v>
      </c>
      <c r="B228" t="s">
        <v>474</v>
      </c>
      <c r="C228">
        <v>76.87</v>
      </c>
    </row>
    <row r="229" spans="1:3" x14ac:dyDescent="0.2">
      <c r="A229" t="s">
        <v>1153</v>
      </c>
      <c r="B229" t="s">
        <v>943</v>
      </c>
      <c r="C229">
        <v>76.5</v>
      </c>
    </row>
    <row r="230" spans="1:3" x14ac:dyDescent="0.2">
      <c r="A230" t="s">
        <v>1153</v>
      </c>
      <c r="B230" t="s">
        <v>1028</v>
      </c>
      <c r="C230">
        <v>76.430000000000007</v>
      </c>
    </row>
    <row r="231" spans="1:3" x14ac:dyDescent="0.2">
      <c r="A231" t="s">
        <v>1153</v>
      </c>
      <c r="B231" t="s">
        <v>400</v>
      </c>
      <c r="C231">
        <v>74.650000000000006</v>
      </c>
    </row>
    <row r="232" spans="1:3" x14ac:dyDescent="0.2">
      <c r="A232" t="s">
        <v>1153</v>
      </c>
      <c r="B232" t="s">
        <v>412</v>
      </c>
      <c r="C232">
        <v>74.540000000000006</v>
      </c>
    </row>
    <row r="233" spans="1:3" x14ac:dyDescent="0.2">
      <c r="A233" t="s">
        <v>1153</v>
      </c>
      <c r="B233" t="s">
        <v>408</v>
      </c>
      <c r="C233">
        <v>74.47</v>
      </c>
    </row>
    <row r="234" spans="1:3" x14ac:dyDescent="0.2">
      <c r="A234" t="s">
        <v>1153</v>
      </c>
      <c r="B234" t="s">
        <v>381</v>
      </c>
      <c r="C234">
        <v>73.94</v>
      </c>
    </row>
    <row r="235" spans="1:3" x14ac:dyDescent="0.2">
      <c r="A235" t="s">
        <v>1153</v>
      </c>
      <c r="B235" t="s">
        <v>336</v>
      </c>
      <c r="C235">
        <v>73.8</v>
      </c>
    </row>
    <row r="236" spans="1:3" x14ac:dyDescent="0.2">
      <c r="A236" t="s">
        <v>1153</v>
      </c>
      <c r="B236" t="s">
        <v>542</v>
      </c>
      <c r="C236">
        <v>73.37</v>
      </c>
    </row>
    <row r="237" spans="1:3" x14ac:dyDescent="0.2">
      <c r="A237" t="s">
        <v>1153</v>
      </c>
      <c r="B237" t="s">
        <v>792</v>
      </c>
      <c r="C237">
        <v>72.58</v>
      </c>
    </row>
    <row r="238" spans="1:3" x14ac:dyDescent="0.2">
      <c r="A238" t="s">
        <v>1153</v>
      </c>
      <c r="B238" t="s">
        <v>944</v>
      </c>
      <c r="C238">
        <v>72.36</v>
      </c>
    </row>
    <row r="239" spans="1:3" x14ac:dyDescent="0.2">
      <c r="A239" t="s">
        <v>1153</v>
      </c>
      <c r="B239" t="s">
        <v>414</v>
      </c>
      <c r="C239">
        <v>72.3</v>
      </c>
    </row>
    <row r="240" spans="1:3" x14ac:dyDescent="0.2">
      <c r="A240" t="s">
        <v>1153</v>
      </c>
      <c r="B240" t="s">
        <v>225</v>
      </c>
      <c r="C240">
        <v>71.8</v>
      </c>
    </row>
    <row r="241" spans="1:3" x14ac:dyDescent="0.2">
      <c r="A241" t="s">
        <v>1153</v>
      </c>
      <c r="B241" t="s">
        <v>222</v>
      </c>
      <c r="C241">
        <v>70</v>
      </c>
    </row>
    <row r="242" spans="1:3" x14ac:dyDescent="0.2">
      <c r="A242" t="s">
        <v>1153</v>
      </c>
      <c r="B242" t="s">
        <v>651</v>
      </c>
      <c r="C242">
        <v>69.680000000000007</v>
      </c>
    </row>
    <row r="243" spans="1:3" x14ac:dyDescent="0.2">
      <c r="A243" t="s">
        <v>1153</v>
      </c>
      <c r="B243" t="s">
        <v>409</v>
      </c>
      <c r="C243">
        <v>69.55</v>
      </c>
    </row>
    <row r="244" spans="1:3" x14ac:dyDescent="0.2">
      <c r="A244" t="s">
        <v>1153</v>
      </c>
      <c r="B244" t="s">
        <v>363</v>
      </c>
      <c r="C244">
        <v>68.8</v>
      </c>
    </row>
    <row r="245" spans="1:3" x14ac:dyDescent="0.2">
      <c r="A245" t="s">
        <v>1153</v>
      </c>
      <c r="B245" t="s">
        <v>652</v>
      </c>
      <c r="C245">
        <v>68.67</v>
      </c>
    </row>
    <row r="246" spans="1:3" x14ac:dyDescent="0.2">
      <c r="A246" t="s">
        <v>1153</v>
      </c>
      <c r="B246" t="s">
        <v>1027</v>
      </c>
      <c r="C246">
        <v>68.260000000000005</v>
      </c>
    </row>
    <row r="247" spans="1:3" x14ac:dyDescent="0.2">
      <c r="A247" t="s">
        <v>1153</v>
      </c>
      <c r="B247" t="s">
        <v>945</v>
      </c>
      <c r="C247">
        <v>68.17</v>
      </c>
    </row>
    <row r="248" spans="1:3" x14ac:dyDescent="0.2">
      <c r="A248" t="s">
        <v>1153</v>
      </c>
      <c r="B248" t="s">
        <v>401</v>
      </c>
      <c r="C248">
        <v>68.14</v>
      </c>
    </row>
    <row r="249" spans="1:3" x14ac:dyDescent="0.2">
      <c r="A249" t="s">
        <v>1153</v>
      </c>
      <c r="B249" t="s">
        <v>406</v>
      </c>
      <c r="C249">
        <v>68</v>
      </c>
    </row>
    <row r="250" spans="1:3" x14ac:dyDescent="0.2">
      <c r="A250" t="s">
        <v>1153</v>
      </c>
      <c r="B250" t="s">
        <v>217</v>
      </c>
      <c r="C250">
        <v>67.89</v>
      </c>
    </row>
    <row r="251" spans="1:3" x14ac:dyDescent="0.2">
      <c r="A251" t="s">
        <v>1153</v>
      </c>
      <c r="B251" t="s">
        <v>215</v>
      </c>
      <c r="C251">
        <v>67.7</v>
      </c>
    </row>
    <row r="252" spans="1:3" x14ac:dyDescent="0.2">
      <c r="A252" t="s">
        <v>1153</v>
      </c>
      <c r="B252" t="s">
        <v>292</v>
      </c>
      <c r="C252">
        <v>67.45</v>
      </c>
    </row>
    <row r="253" spans="1:3" x14ac:dyDescent="0.2">
      <c r="A253" t="s">
        <v>1153</v>
      </c>
      <c r="B253" t="s">
        <v>219</v>
      </c>
      <c r="C253">
        <v>66.67</v>
      </c>
    </row>
    <row r="254" spans="1:3" x14ac:dyDescent="0.2">
      <c r="A254" t="s">
        <v>1153</v>
      </c>
      <c r="B254" t="s">
        <v>543</v>
      </c>
      <c r="C254">
        <v>66.66</v>
      </c>
    </row>
    <row r="255" spans="1:3" x14ac:dyDescent="0.2">
      <c r="A255" t="s">
        <v>1153</v>
      </c>
      <c r="B255" t="s">
        <v>242</v>
      </c>
      <c r="C255">
        <v>66.5</v>
      </c>
    </row>
    <row r="256" spans="1:3" x14ac:dyDescent="0.2">
      <c r="A256" t="s">
        <v>1153</v>
      </c>
      <c r="B256" t="s">
        <v>803</v>
      </c>
      <c r="C256">
        <v>65.569999999999993</v>
      </c>
    </row>
    <row r="257" spans="1:3" x14ac:dyDescent="0.2">
      <c r="A257" t="s">
        <v>1153</v>
      </c>
      <c r="B257" t="s">
        <v>784</v>
      </c>
      <c r="C257">
        <v>65.5</v>
      </c>
    </row>
    <row r="258" spans="1:3" x14ac:dyDescent="0.2">
      <c r="A258" t="s">
        <v>1153</v>
      </c>
      <c r="B258" t="s">
        <v>362</v>
      </c>
      <c r="C258">
        <v>65.260000000000005</v>
      </c>
    </row>
    <row r="259" spans="1:3" x14ac:dyDescent="0.2">
      <c r="A259" t="s">
        <v>1153</v>
      </c>
      <c r="B259" t="s">
        <v>403</v>
      </c>
      <c r="C259">
        <v>65.25</v>
      </c>
    </row>
    <row r="260" spans="1:3" x14ac:dyDescent="0.2">
      <c r="A260" t="s">
        <v>1153</v>
      </c>
      <c r="B260" t="s">
        <v>335</v>
      </c>
      <c r="C260">
        <v>64.709999999999994</v>
      </c>
    </row>
    <row r="261" spans="1:3" x14ac:dyDescent="0.2">
      <c r="A261" t="s">
        <v>1153</v>
      </c>
      <c r="B261" t="s">
        <v>946</v>
      </c>
      <c r="C261">
        <v>64.67</v>
      </c>
    </row>
    <row r="262" spans="1:3" x14ac:dyDescent="0.2">
      <c r="A262" t="s">
        <v>1153</v>
      </c>
      <c r="B262" t="s">
        <v>947</v>
      </c>
      <c r="C262">
        <v>64.239999999999995</v>
      </c>
    </row>
    <row r="263" spans="1:3" x14ac:dyDescent="0.2">
      <c r="A263" t="s">
        <v>1153</v>
      </c>
      <c r="B263" t="s">
        <v>932</v>
      </c>
      <c r="C263">
        <v>63.91</v>
      </c>
    </row>
    <row r="264" spans="1:3" x14ac:dyDescent="0.2">
      <c r="A264" t="s">
        <v>1153</v>
      </c>
      <c r="B264" t="s">
        <v>405</v>
      </c>
      <c r="C264">
        <v>60.68</v>
      </c>
    </row>
    <row r="265" spans="1:3" x14ac:dyDescent="0.2">
      <c r="A265" t="s">
        <v>1153</v>
      </c>
      <c r="B265" t="s">
        <v>9</v>
      </c>
      <c r="C265">
        <v>60</v>
      </c>
    </row>
    <row r="266" spans="1:3" x14ac:dyDescent="0.2">
      <c r="A266" t="s">
        <v>1153</v>
      </c>
      <c r="B266" t="s">
        <v>948</v>
      </c>
      <c r="C266">
        <v>58.37</v>
      </c>
    </row>
    <row r="267" spans="1:3" x14ac:dyDescent="0.2">
      <c r="A267" t="s">
        <v>1153</v>
      </c>
      <c r="B267" t="s">
        <v>791</v>
      </c>
      <c r="C267">
        <v>55.1</v>
      </c>
    </row>
    <row r="268" spans="1:3" x14ac:dyDescent="0.2">
      <c r="A268" t="s">
        <v>1153</v>
      </c>
      <c r="B268" t="s">
        <v>949</v>
      </c>
      <c r="C268">
        <v>50.03</v>
      </c>
    </row>
    <row r="269" spans="1:3" x14ac:dyDescent="0.2">
      <c r="A269" t="s">
        <v>1153</v>
      </c>
      <c r="B269" t="s">
        <v>407</v>
      </c>
      <c r="C269">
        <v>48.3</v>
      </c>
    </row>
    <row r="270" spans="1:3" x14ac:dyDescent="0.2">
      <c r="A270" t="s">
        <v>1153</v>
      </c>
      <c r="B270" t="s">
        <v>650</v>
      </c>
      <c r="C270">
        <v>47.3</v>
      </c>
    </row>
    <row r="271" spans="1:3" x14ac:dyDescent="0.2">
      <c r="A271" t="s">
        <v>1153</v>
      </c>
      <c r="B271" t="s">
        <v>950</v>
      </c>
      <c r="C271">
        <v>43.4</v>
      </c>
    </row>
    <row r="272" spans="1:3" x14ac:dyDescent="0.2">
      <c r="A272" t="s">
        <v>1153</v>
      </c>
      <c r="B272" t="s">
        <v>951</v>
      </c>
      <c r="C272">
        <v>37.64</v>
      </c>
    </row>
    <row r="273" spans="1:3" x14ac:dyDescent="0.2">
      <c r="A273" t="s">
        <v>1153</v>
      </c>
      <c r="B273" t="s">
        <v>952</v>
      </c>
      <c r="C273">
        <v>33.6</v>
      </c>
    </row>
    <row r="274" spans="1:3" x14ac:dyDescent="0.2">
      <c r="A274" t="s">
        <v>1154</v>
      </c>
      <c r="B274" t="s">
        <v>1026</v>
      </c>
      <c r="C274">
        <v>87.85</v>
      </c>
    </row>
    <row r="275" spans="1:3" x14ac:dyDescent="0.2">
      <c r="A275" t="s">
        <v>1154</v>
      </c>
      <c r="B275" t="s">
        <v>645</v>
      </c>
      <c r="C275">
        <v>87.78</v>
      </c>
    </row>
    <row r="276" spans="1:3" x14ac:dyDescent="0.2">
      <c r="A276" t="s">
        <v>1154</v>
      </c>
      <c r="B276" t="s">
        <v>1027</v>
      </c>
      <c r="C276">
        <v>86.91</v>
      </c>
    </row>
    <row r="277" spans="1:3" x14ac:dyDescent="0.2">
      <c r="A277" t="s">
        <v>1154</v>
      </c>
      <c r="B277" t="s">
        <v>542</v>
      </c>
      <c r="C277">
        <v>82.28</v>
      </c>
    </row>
    <row r="278" spans="1:3" x14ac:dyDescent="0.2">
      <c r="A278" t="s">
        <v>1154</v>
      </c>
      <c r="B278" t="s">
        <v>222</v>
      </c>
      <c r="C278">
        <v>81.599999999999994</v>
      </c>
    </row>
    <row r="279" spans="1:3" x14ac:dyDescent="0.2">
      <c r="A279" t="s">
        <v>1154</v>
      </c>
      <c r="B279" t="s">
        <v>785</v>
      </c>
      <c r="C279">
        <v>80.650000000000006</v>
      </c>
    </row>
    <row r="280" spans="1:3" x14ac:dyDescent="0.2">
      <c r="A280" t="s">
        <v>1154</v>
      </c>
      <c r="B280" t="s">
        <v>219</v>
      </c>
      <c r="C280">
        <v>79.989999999999995</v>
      </c>
    </row>
    <row r="281" spans="1:3" x14ac:dyDescent="0.2">
      <c r="A281" t="s">
        <v>1154</v>
      </c>
      <c r="B281" t="s">
        <v>401</v>
      </c>
      <c r="C281">
        <v>78.989999999999995</v>
      </c>
    </row>
    <row r="282" spans="1:3" x14ac:dyDescent="0.2">
      <c r="A282" t="s">
        <v>1154</v>
      </c>
      <c r="B282" t="s">
        <v>786</v>
      </c>
      <c r="C282">
        <v>78.61</v>
      </c>
    </row>
    <row r="283" spans="1:3" x14ac:dyDescent="0.2">
      <c r="A283" t="s">
        <v>1154</v>
      </c>
      <c r="B283" t="s">
        <v>406</v>
      </c>
      <c r="C283">
        <v>78</v>
      </c>
    </row>
    <row r="284" spans="1:3" x14ac:dyDescent="0.2">
      <c r="A284" t="s">
        <v>1154</v>
      </c>
      <c r="B284" t="s">
        <v>218</v>
      </c>
      <c r="C284">
        <v>77.7</v>
      </c>
    </row>
    <row r="285" spans="1:3" x14ac:dyDescent="0.2">
      <c r="A285" t="s">
        <v>1154</v>
      </c>
      <c r="B285" t="s">
        <v>412</v>
      </c>
      <c r="C285">
        <v>77.599999999999994</v>
      </c>
    </row>
    <row r="286" spans="1:3" x14ac:dyDescent="0.2">
      <c r="A286" t="s">
        <v>1154</v>
      </c>
      <c r="B286" t="s">
        <v>242</v>
      </c>
      <c r="C286">
        <v>76.5</v>
      </c>
    </row>
    <row r="287" spans="1:3" x14ac:dyDescent="0.2">
      <c r="A287" t="s">
        <v>1154</v>
      </c>
      <c r="B287" t="s">
        <v>336</v>
      </c>
      <c r="C287">
        <v>76.400000000000006</v>
      </c>
    </row>
    <row r="288" spans="1:3" x14ac:dyDescent="0.2">
      <c r="A288" t="s">
        <v>1154</v>
      </c>
      <c r="B288" t="s">
        <v>1028</v>
      </c>
      <c r="C288">
        <v>76.319999999999993</v>
      </c>
    </row>
    <row r="289" spans="1:3" x14ac:dyDescent="0.2">
      <c r="A289" t="s">
        <v>1154</v>
      </c>
      <c r="B289" t="s">
        <v>408</v>
      </c>
      <c r="C289">
        <v>76.260000000000005</v>
      </c>
    </row>
    <row r="290" spans="1:3" x14ac:dyDescent="0.2">
      <c r="A290" t="s">
        <v>1154</v>
      </c>
      <c r="B290" t="s">
        <v>944</v>
      </c>
      <c r="C290">
        <v>76.22</v>
      </c>
    </row>
    <row r="291" spans="1:3" x14ac:dyDescent="0.2">
      <c r="A291" t="s">
        <v>1154</v>
      </c>
      <c r="B291" t="s">
        <v>381</v>
      </c>
      <c r="C291">
        <v>75.040000000000006</v>
      </c>
    </row>
    <row r="292" spans="1:3" x14ac:dyDescent="0.2">
      <c r="A292" t="s">
        <v>1154</v>
      </c>
      <c r="B292" t="s">
        <v>362</v>
      </c>
      <c r="C292">
        <v>74.81</v>
      </c>
    </row>
    <row r="293" spans="1:3" x14ac:dyDescent="0.2">
      <c r="A293" t="s">
        <v>1154</v>
      </c>
      <c r="B293" t="s">
        <v>225</v>
      </c>
      <c r="C293">
        <v>74.8</v>
      </c>
    </row>
    <row r="294" spans="1:3" x14ac:dyDescent="0.2">
      <c r="A294" t="s">
        <v>1154</v>
      </c>
      <c r="B294" t="s">
        <v>474</v>
      </c>
      <c r="C294">
        <v>74.77</v>
      </c>
    </row>
    <row r="295" spans="1:3" x14ac:dyDescent="0.2">
      <c r="A295" t="s">
        <v>1154</v>
      </c>
      <c r="B295" t="s">
        <v>414</v>
      </c>
      <c r="C295">
        <v>74.3</v>
      </c>
    </row>
    <row r="296" spans="1:3" x14ac:dyDescent="0.2">
      <c r="A296" t="s">
        <v>1154</v>
      </c>
      <c r="B296" t="s">
        <v>328</v>
      </c>
      <c r="C296">
        <v>73.349999999999994</v>
      </c>
    </row>
    <row r="297" spans="1:3" x14ac:dyDescent="0.2">
      <c r="A297" t="s">
        <v>1154</v>
      </c>
      <c r="B297" t="s">
        <v>413</v>
      </c>
      <c r="C297">
        <v>73.33</v>
      </c>
    </row>
    <row r="298" spans="1:3" x14ac:dyDescent="0.2">
      <c r="A298" t="s">
        <v>1154</v>
      </c>
      <c r="B298" t="s">
        <v>364</v>
      </c>
      <c r="C298">
        <v>73.12</v>
      </c>
    </row>
    <row r="299" spans="1:3" x14ac:dyDescent="0.2">
      <c r="A299" t="s">
        <v>1154</v>
      </c>
      <c r="B299" t="s">
        <v>403</v>
      </c>
      <c r="C299">
        <v>72.599999999999994</v>
      </c>
    </row>
    <row r="300" spans="1:3" x14ac:dyDescent="0.2">
      <c r="A300" t="s">
        <v>1154</v>
      </c>
      <c r="B300" t="s">
        <v>780</v>
      </c>
      <c r="C300">
        <v>71.5</v>
      </c>
    </row>
    <row r="301" spans="1:3" x14ac:dyDescent="0.2">
      <c r="A301" t="s">
        <v>1154</v>
      </c>
      <c r="B301" t="s">
        <v>363</v>
      </c>
      <c r="C301">
        <v>71.2</v>
      </c>
    </row>
    <row r="302" spans="1:3" x14ac:dyDescent="0.2">
      <c r="A302" t="s">
        <v>1154</v>
      </c>
      <c r="B302" t="s">
        <v>215</v>
      </c>
      <c r="C302">
        <v>70.7</v>
      </c>
    </row>
    <row r="303" spans="1:3" x14ac:dyDescent="0.2">
      <c r="A303" t="s">
        <v>1154</v>
      </c>
      <c r="B303" t="s">
        <v>792</v>
      </c>
      <c r="C303">
        <v>70.5</v>
      </c>
    </row>
    <row r="304" spans="1:3" x14ac:dyDescent="0.2">
      <c r="A304" t="s">
        <v>1154</v>
      </c>
      <c r="B304" t="s">
        <v>1029</v>
      </c>
      <c r="C304">
        <v>70.45</v>
      </c>
    </row>
    <row r="305" spans="1:3" x14ac:dyDescent="0.2">
      <c r="A305" t="s">
        <v>1154</v>
      </c>
      <c r="B305" t="s">
        <v>409</v>
      </c>
      <c r="C305">
        <v>69.989999999999995</v>
      </c>
    </row>
    <row r="306" spans="1:3" x14ac:dyDescent="0.2">
      <c r="A306" t="s">
        <v>1154</v>
      </c>
      <c r="B306" t="s">
        <v>784</v>
      </c>
      <c r="C306">
        <v>69.959999999999994</v>
      </c>
    </row>
    <row r="307" spans="1:3" x14ac:dyDescent="0.2">
      <c r="A307" t="s">
        <v>1154</v>
      </c>
      <c r="B307" t="s">
        <v>942</v>
      </c>
      <c r="C307">
        <v>69.7</v>
      </c>
    </row>
    <row r="308" spans="1:3" x14ac:dyDescent="0.2">
      <c r="A308" t="s">
        <v>1154</v>
      </c>
      <c r="B308" t="s">
        <v>803</v>
      </c>
      <c r="C308">
        <v>69.569999999999993</v>
      </c>
    </row>
    <row r="309" spans="1:3" x14ac:dyDescent="0.2">
      <c r="A309" t="s">
        <v>1154</v>
      </c>
      <c r="B309" t="s">
        <v>948</v>
      </c>
      <c r="C309">
        <v>69.37</v>
      </c>
    </row>
    <row r="310" spans="1:3" x14ac:dyDescent="0.2">
      <c r="A310" t="s">
        <v>1154</v>
      </c>
      <c r="B310" t="s">
        <v>221</v>
      </c>
      <c r="C310">
        <v>69.099999999999994</v>
      </c>
    </row>
    <row r="311" spans="1:3" x14ac:dyDescent="0.2">
      <c r="A311" t="s">
        <v>1154</v>
      </c>
      <c r="B311" t="s">
        <v>292</v>
      </c>
      <c r="C311">
        <v>65.86</v>
      </c>
    </row>
    <row r="312" spans="1:3" x14ac:dyDescent="0.2">
      <c r="A312" t="s">
        <v>1154</v>
      </c>
      <c r="B312" t="s">
        <v>217</v>
      </c>
      <c r="C312">
        <v>65.430000000000007</v>
      </c>
    </row>
    <row r="313" spans="1:3" x14ac:dyDescent="0.2">
      <c r="A313" t="s">
        <v>1154</v>
      </c>
      <c r="B313" t="s">
        <v>652</v>
      </c>
      <c r="C313">
        <v>64.66</v>
      </c>
    </row>
    <row r="314" spans="1:3" x14ac:dyDescent="0.2">
      <c r="A314" t="s">
        <v>1154</v>
      </c>
      <c r="B314" t="s">
        <v>9</v>
      </c>
      <c r="C314">
        <v>60</v>
      </c>
    </row>
    <row r="315" spans="1:3" x14ac:dyDescent="0.2">
      <c r="A315" t="s">
        <v>1155</v>
      </c>
      <c r="B315" t="s">
        <v>944</v>
      </c>
      <c r="C315">
        <v>104.34</v>
      </c>
    </row>
    <row r="316" spans="1:3" x14ac:dyDescent="0.2">
      <c r="A316" t="s">
        <v>1155</v>
      </c>
      <c r="B316" t="s">
        <v>242</v>
      </c>
      <c r="C316">
        <v>98.5</v>
      </c>
    </row>
    <row r="317" spans="1:3" x14ac:dyDescent="0.2">
      <c r="A317" t="s">
        <v>1155</v>
      </c>
      <c r="B317" t="s">
        <v>785</v>
      </c>
      <c r="C317">
        <v>97.05</v>
      </c>
    </row>
    <row r="318" spans="1:3" x14ac:dyDescent="0.2">
      <c r="A318" t="s">
        <v>1155</v>
      </c>
      <c r="B318" t="s">
        <v>542</v>
      </c>
      <c r="C318">
        <v>95.54</v>
      </c>
    </row>
    <row r="319" spans="1:3" x14ac:dyDescent="0.2">
      <c r="A319" t="s">
        <v>1155</v>
      </c>
      <c r="B319" t="s">
        <v>1026</v>
      </c>
      <c r="C319">
        <v>95.22</v>
      </c>
    </row>
    <row r="320" spans="1:3" x14ac:dyDescent="0.2">
      <c r="A320" t="s">
        <v>1155</v>
      </c>
      <c r="B320" t="s">
        <v>222</v>
      </c>
      <c r="C320">
        <v>94.79</v>
      </c>
    </row>
    <row r="321" spans="1:3" x14ac:dyDescent="0.2">
      <c r="A321" t="s">
        <v>1155</v>
      </c>
      <c r="B321" t="s">
        <v>414</v>
      </c>
      <c r="C321">
        <v>94.3</v>
      </c>
    </row>
    <row r="322" spans="1:3" x14ac:dyDescent="0.2">
      <c r="A322" t="s">
        <v>1155</v>
      </c>
      <c r="B322" t="s">
        <v>401</v>
      </c>
      <c r="C322">
        <v>93.89</v>
      </c>
    </row>
    <row r="323" spans="1:3" x14ac:dyDescent="0.2">
      <c r="A323" t="s">
        <v>1155</v>
      </c>
      <c r="B323" t="s">
        <v>362</v>
      </c>
      <c r="C323">
        <v>93.65</v>
      </c>
    </row>
    <row r="324" spans="1:3" x14ac:dyDescent="0.2">
      <c r="A324" t="s">
        <v>1155</v>
      </c>
      <c r="B324" t="s">
        <v>474</v>
      </c>
      <c r="C324">
        <v>92.87</v>
      </c>
    </row>
    <row r="325" spans="1:3" x14ac:dyDescent="0.2">
      <c r="A325" t="s">
        <v>1155</v>
      </c>
      <c r="B325" t="s">
        <v>225</v>
      </c>
      <c r="C325">
        <v>92.8</v>
      </c>
    </row>
    <row r="326" spans="1:3" x14ac:dyDescent="0.2">
      <c r="A326" t="s">
        <v>1155</v>
      </c>
      <c r="B326" t="s">
        <v>1027</v>
      </c>
      <c r="C326">
        <v>91.86</v>
      </c>
    </row>
    <row r="327" spans="1:3" x14ac:dyDescent="0.2">
      <c r="A327" t="s">
        <v>1155</v>
      </c>
      <c r="B327" t="s">
        <v>792</v>
      </c>
      <c r="C327">
        <v>91.77</v>
      </c>
    </row>
    <row r="328" spans="1:3" x14ac:dyDescent="0.2">
      <c r="A328" t="s">
        <v>1155</v>
      </c>
      <c r="B328" t="s">
        <v>1103</v>
      </c>
      <c r="C328">
        <v>91.26</v>
      </c>
    </row>
    <row r="329" spans="1:3" x14ac:dyDescent="0.2">
      <c r="A329" t="s">
        <v>1155</v>
      </c>
      <c r="B329" t="s">
        <v>219</v>
      </c>
      <c r="C329">
        <v>91.11</v>
      </c>
    </row>
    <row r="330" spans="1:3" x14ac:dyDescent="0.2">
      <c r="A330" t="s">
        <v>1155</v>
      </c>
      <c r="B330" t="s">
        <v>215</v>
      </c>
      <c r="C330">
        <v>90.9</v>
      </c>
    </row>
    <row r="331" spans="1:3" x14ac:dyDescent="0.2">
      <c r="A331" t="s">
        <v>1155</v>
      </c>
      <c r="B331" t="s">
        <v>942</v>
      </c>
      <c r="C331">
        <v>90.66</v>
      </c>
    </row>
    <row r="332" spans="1:3" x14ac:dyDescent="0.2">
      <c r="A332" t="s">
        <v>1155</v>
      </c>
      <c r="B332" t="s">
        <v>381</v>
      </c>
      <c r="C332">
        <v>89.93</v>
      </c>
    </row>
    <row r="333" spans="1:3" x14ac:dyDescent="0.2">
      <c r="A333" t="s">
        <v>1155</v>
      </c>
      <c r="B333" t="s">
        <v>1104</v>
      </c>
      <c r="C333">
        <v>89.4</v>
      </c>
    </row>
    <row r="334" spans="1:3" x14ac:dyDescent="0.2">
      <c r="A334" t="s">
        <v>1155</v>
      </c>
      <c r="B334" t="s">
        <v>1028</v>
      </c>
      <c r="C334">
        <v>89.23</v>
      </c>
    </row>
    <row r="335" spans="1:3" x14ac:dyDescent="0.2">
      <c r="A335" t="s">
        <v>1155</v>
      </c>
      <c r="B335" t="s">
        <v>218</v>
      </c>
      <c r="C335">
        <v>88.88</v>
      </c>
    </row>
    <row r="336" spans="1:3" x14ac:dyDescent="0.2">
      <c r="A336" t="s">
        <v>1155</v>
      </c>
      <c r="B336" t="s">
        <v>328</v>
      </c>
      <c r="C336">
        <v>88.05</v>
      </c>
    </row>
    <row r="337" spans="1:3" x14ac:dyDescent="0.2">
      <c r="A337" t="s">
        <v>1155</v>
      </c>
      <c r="B337" t="s">
        <v>406</v>
      </c>
      <c r="C337">
        <v>88</v>
      </c>
    </row>
    <row r="338" spans="1:3" x14ac:dyDescent="0.2">
      <c r="A338" t="s">
        <v>1155</v>
      </c>
      <c r="B338" t="s">
        <v>412</v>
      </c>
      <c r="C338">
        <v>87.6</v>
      </c>
    </row>
    <row r="339" spans="1:3" x14ac:dyDescent="0.2">
      <c r="A339" t="s">
        <v>1155</v>
      </c>
      <c r="B339" t="s">
        <v>363</v>
      </c>
      <c r="C339">
        <v>87.4</v>
      </c>
    </row>
    <row r="340" spans="1:3" x14ac:dyDescent="0.2">
      <c r="A340" t="s">
        <v>1155</v>
      </c>
      <c r="B340" t="s">
        <v>413</v>
      </c>
      <c r="C340">
        <v>86.86</v>
      </c>
    </row>
    <row r="341" spans="1:3" x14ac:dyDescent="0.2">
      <c r="A341" t="s">
        <v>1155</v>
      </c>
      <c r="B341" t="s">
        <v>645</v>
      </c>
      <c r="C341">
        <v>86.44</v>
      </c>
    </row>
    <row r="342" spans="1:3" x14ac:dyDescent="0.2">
      <c r="A342" t="s">
        <v>1155</v>
      </c>
      <c r="B342" t="s">
        <v>408</v>
      </c>
      <c r="C342">
        <v>85.98</v>
      </c>
    </row>
    <row r="343" spans="1:3" x14ac:dyDescent="0.2">
      <c r="A343" t="s">
        <v>1155</v>
      </c>
      <c r="B343" t="s">
        <v>403</v>
      </c>
      <c r="C343">
        <v>85.5</v>
      </c>
    </row>
    <row r="344" spans="1:3" x14ac:dyDescent="0.2">
      <c r="A344" t="s">
        <v>1155</v>
      </c>
      <c r="B344" t="s">
        <v>1106</v>
      </c>
      <c r="C344">
        <v>85.23</v>
      </c>
    </row>
    <row r="345" spans="1:3" x14ac:dyDescent="0.2">
      <c r="A345" t="s">
        <v>1155</v>
      </c>
      <c r="B345" t="s">
        <v>336</v>
      </c>
      <c r="C345">
        <v>84.9</v>
      </c>
    </row>
    <row r="346" spans="1:3" x14ac:dyDescent="0.2">
      <c r="A346" t="s">
        <v>1155</v>
      </c>
      <c r="B346" t="s">
        <v>652</v>
      </c>
      <c r="C346">
        <v>82.44</v>
      </c>
    </row>
    <row r="347" spans="1:3" x14ac:dyDescent="0.2">
      <c r="A347" t="s">
        <v>1155</v>
      </c>
      <c r="B347" t="s">
        <v>786</v>
      </c>
      <c r="C347">
        <v>81.73</v>
      </c>
    </row>
    <row r="348" spans="1:3" x14ac:dyDescent="0.2">
      <c r="A348" t="s">
        <v>1155</v>
      </c>
      <c r="B348" t="s">
        <v>784</v>
      </c>
      <c r="C348">
        <v>81.459999999999994</v>
      </c>
    </row>
    <row r="349" spans="1:3" x14ac:dyDescent="0.2">
      <c r="A349" t="s">
        <v>1155</v>
      </c>
      <c r="B349" t="s">
        <v>292</v>
      </c>
      <c r="C349">
        <v>79.89</v>
      </c>
    </row>
    <row r="350" spans="1:3" x14ac:dyDescent="0.2">
      <c r="A350" t="s">
        <v>1155</v>
      </c>
      <c r="B350" t="s">
        <v>217</v>
      </c>
      <c r="C350">
        <v>77.77</v>
      </c>
    </row>
    <row r="351" spans="1:3" x14ac:dyDescent="0.2">
      <c r="A351" t="s">
        <v>1155</v>
      </c>
      <c r="B351" t="s">
        <v>409</v>
      </c>
      <c r="C351">
        <v>73.55</v>
      </c>
    </row>
    <row r="352" spans="1:3" x14ac:dyDescent="0.2">
      <c r="A352" t="s">
        <v>1155</v>
      </c>
      <c r="B352" t="s">
        <v>803</v>
      </c>
      <c r="C352">
        <v>68.239999999999995</v>
      </c>
    </row>
    <row r="353" spans="1:3" x14ac:dyDescent="0.2">
      <c r="A353" t="s">
        <v>1155</v>
      </c>
      <c r="B353" t="s">
        <v>9</v>
      </c>
      <c r="C353">
        <v>65</v>
      </c>
    </row>
    <row r="354" spans="1:3" x14ac:dyDescent="0.2">
      <c r="A354" t="s">
        <v>1156</v>
      </c>
      <c r="B354" t="s">
        <v>1113</v>
      </c>
      <c r="C354">
        <v>141.62</v>
      </c>
    </row>
    <row r="355" spans="1:3" x14ac:dyDescent="0.2">
      <c r="A355" t="s">
        <v>1156</v>
      </c>
      <c r="B355" t="s">
        <v>1027</v>
      </c>
      <c r="C355">
        <v>89.16</v>
      </c>
    </row>
    <row r="356" spans="1:3" x14ac:dyDescent="0.2">
      <c r="A356" t="s">
        <v>1156</v>
      </c>
      <c r="B356" t="s">
        <v>362</v>
      </c>
      <c r="C356">
        <v>85.17</v>
      </c>
    </row>
    <row r="357" spans="1:3" x14ac:dyDescent="0.2">
      <c r="A357" t="s">
        <v>1156</v>
      </c>
      <c r="B357" t="s">
        <v>786</v>
      </c>
      <c r="C357">
        <v>84.07</v>
      </c>
    </row>
    <row r="358" spans="1:3" x14ac:dyDescent="0.2">
      <c r="A358" t="s">
        <v>1156</v>
      </c>
      <c r="B358" t="s">
        <v>475</v>
      </c>
      <c r="C358">
        <v>83.81</v>
      </c>
    </row>
    <row r="359" spans="1:3" x14ac:dyDescent="0.2">
      <c r="A359" t="s">
        <v>1156</v>
      </c>
      <c r="B359" t="s">
        <v>792</v>
      </c>
      <c r="C359">
        <v>83.75</v>
      </c>
    </row>
    <row r="360" spans="1:3" x14ac:dyDescent="0.2">
      <c r="A360" t="s">
        <v>1156</v>
      </c>
      <c r="B360" t="s">
        <v>242</v>
      </c>
      <c r="C360">
        <v>82.5</v>
      </c>
    </row>
    <row r="361" spans="1:3" x14ac:dyDescent="0.2">
      <c r="A361" t="s">
        <v>1156</v>
      </c>
      <c r="B361" t="s">
        <v>412</v>
      </c>
      <c r="C361">
        <v>80.099999999999994</v>
      </c>
    </row>
    <row r="362" spans="1:3" x14ac:dyDescent="0.2">
      <c r="A362" t="s">
        <v>1156</v>
      </c>
      <c r="B362" t="s">
        <v>1118</v>
      </c>
      <c r="C362">
        <v>79.819999999999993</v>
      </c>
    </row>
    <row r="363" spans="1:3" x14ac:dyDescent="0.2">
      <c r="A363" t="s">
        <v>1156</v>
      </c>
      <c r="B363" t="s">
        <v>225</v>
      </c>
      <c r="C363">
        <v>78.319999999999993</v>
      </c>
    </row>
    <row r="364" spans="1:3" x14ac:dyDescent="0.2">
      <c r="A364" t="s">
        <v>1156</v>
      </c>
      <c r="B364" t="s">
        <v>218</v>
      </c>
      <c r="C364">
        <v>77.77</v>
      </c>
    </row>
    <row r="365" spans="1:3" x14ac:dyDescent="0.2">
      <c r="A365" t="s">
        <v>1156</v>
      </c>
      <c r="B365" t="s">
        <v>336</v>
      </c>
      <c r="C365">
        <v>77.2</v>
      </c>
    </row>
    <row r="366" spans="1:3" x14ac:dyDescent="0.2">
      <c r="A366" t="s">
        <v>1156</v>
      </c>
      <c r="B366" t="s">
        <v>784</v>
      </c>
      <c r="C366">
        <v>75.2</v>
      </c>
    </row>
    <row r="367" spans="1:3" x14ac:dyDescent="0.2">
      <c r="A367" t="s">
        <v>1156</v>
      </c>
      <c r="B367" t="s">
        <v>803</v>
      </c>
      <c r="C367">
        <v>74.19</v>
      </c>
    </row>
    <row r="368" spans="1:3" x14ac:dyDescent="0.2">
      <c r="A368" t="s">
        <v>1156</v>
      </c>
      <c r="B368" t="s">
        <v>381</v>
      </c>
      <c r="C368">
        <v>74.09</v>
      </c>
    </row>
    <row r="369" spans="1:3" x14ac:dyDescent="0.2">
      <c r="A369" t="s">
        <v>1156</v>
      </c>
      <c r="B369" t="s">
        <v>942</v>
      </c>
      <c r="C369">
        <v>73.75</v>
      </c>
    </row>
    <row r="370" spans="1:3" x14ac:dyDescent="0.2">
      <c r="A370" t="s">
        <v>1156</v>
      </c>
      <c r="B370" t="s">
        <v>1126</v>
      </c>
      <c r="C370">
        <v>72.58</v>
      </c>
    </row>
    <row r="371" spans="1:3" x14ac:dyDescent="0.2">
      <c r="A371" t="s">
        <v>1156</v>
      </c>
      <c r="B371" t="s">
        <v>408</v>
      </c>
      <c r="C371">
        <v>72.45</v>
      </c>
    </row>
    <row r="372" spans="1:3" x14ac:dyDescent="0.2">
      <c r="A372" t="s">
        <v>1156</v>
      </c>
      <c r="B372" t="s">
        <v>219</v>
      </c>
      <c r="C372">
        <v>72.22</v>
      </c>
    </row>
    <row r="373" spans="1:3" x14ac:dyDescent="0.2">
      <c r="A373" t="s">
        <v>1156</v>
      </c>
      <c r="B373" t="s">
        <v>652</v>
      </c>
      <c r="C373">
        <v>71.739999999999995</v>
      </c>
    </row>
    <row r="374" spans="1:3" x14ac:dyDescent="0.2">
      <c r="A374" t="s">
        <v>1156</v>
      </c>
      <c r="B374" t="s">
        <v>474</v>
      </c>
      <c r="C374">
        <v>71.010000000000005</v>
      </c>
    </row>
    <row r="375" spans="1:3" x14ac:dyDescent="0.2">
      <c r="A375" t="s">
        <v>1156</v>
      </c>
      <c r="B375" t="s">
        <v>414</v>
      </c>
      <c r="C375">
        <v>70.3</v>
      </c>
    </row>
    <row r="376" spans="1:3" x14ac:dyDescent="0.2">
      <c r="A376" t="s">
        <v>1156</v>
      </c>
      <c r="B376" t="s">
        <v>542</v>
      </c>
      <c r="C376">
        <v>70.069999999999993</v>
      </c>
    </row>
    <row r="377" spans="1:3" x14ac:dyDescent="0.2">
      <c r="A377" t="s">
        <v>1156</v>
      </c>
      <c r="B377" t="s">
        <v>406</v>
      </c>
      <c r="C377">
        <v>70</v>
      </c>
    </row>
    <row r="378" spans="1:3" x14ac:dyDescent="0.2">
      <c r="A378" t="s">
        <v>1156</v>
      </c>
      <c r="B378" t="s">
        <v>217</v>
      </c>
      <c r="C378">
        <v>69.959999999999994</v>
      </c>
    </row>
    <row r="379" spans="1:3" x14ac:dyDescent="0.2">
      <c r="A379" t="s">
        <v>1156</v>
      </c>
      <c r="B379" t="s">
        <v>785</v>
      </c>
      <c r="C379">
        <v>69.36</v>
      </c>
    </row>
    <row r="380" spans="1:3" x14ac:dyDescent="0.2">
      <c r="A380" t="s">
        <v>1156</v>
      </c>
      <c r="B380" t="s">
        <v>409</v>
      </c>
      <c r="C380">
        <v>69.08</v>
      </c>
    </row>
    <row r="381" spans="1:3" x14ac:dyDescent="0.2">
      <c r="A381" t="s">
        <v>1156</v>
      </c>
      <c r="B381" t="s">
        <v>328</v>
      </c>
      <c r="C381">
        <v>69.03</v>
      </c>
    </row>
    <row r="382" spans="1:3" x14ac:dyDescent="0.2">
      <c r="A382" t="s">
        <v>1156</v>
      </c>
      <c r="B382" t="s">
        <v>413</v>
      </c>
      <c r="C382">
        <v>68.680000000000007</v>
      </c>
    </row>
    <row r="383" spans="1:3" x14ac:dyDescent="0.2">
      <c r="A383" t="s">
        <v>1156</v>
      </c>
      <c r="B383" t="s">
        <v>222</v>
      </c>
      <c r="C383">
        <v>68.08</v>
      </c>
    </row>
    <row r="384" spans="1:3" x14ac:dyDescent="0.2">
      <c r="A384" t="s">
        <v>1156</v>
      </c>
      <c r="B384" t="s">
        <v>221</v>
      </c>
      <c r="C384">
        <v>67.849999999999994</v>
      </c>
    </row>
    <row r="385" spans="1:3" x14ac:dyDescent="0.2">
      <c r="A385" t="s">
        <v>1156</v>
      </c>
      <c r="B385" t="s">
        <v>363</v>
      </c>
      <c r="C385">
        <v>66.400000000000006</v>
      </c>
    </row>
    <row r="386" spans="1:3" x14ac:dyDescent="0.2">
      <c r="A386" t="s">
        <v>1156</v>
      </c>
      <c r="B386" t="s">
        <v>1103</v>
      </c>
      <c r="C386">
        <v>66.25</v>
      </c>
    </row>
    <row r="387" spans="1:3" x14ac:dyDescent="0.2">
      <c r="A387" t="s">
        <v>1156</v>
      </c>
      <c r="B387" t="s">
        <v>1106</v>
      </c>
      <c r="C387">
        <v>65.36</v>
      </c>
    </row>
    <row r="388" spans="1:3" x14ac:dyDescent="0.2">
      <c r="A388" t="s">
        <v>1156</v>
      </c>
      <c r="B388" t="s">
        <v>1028</v>
      </c>
      <c r="C388">
        <v>65.23</v>
      </c>
    </row>
    <row r="389" spans="1:3" x14ac:dyDescent="0.2">
      <c r="A389" t="s">
        <v>1156</v>
      </c>
      <c r="B389" t="s">
        <v>1135</v>
      </c>
      <c r="C389">
        <v>62.4</v>
      </c>
    </row>
    <row r="390" spans="1:3" x14ac:dyDescent="0.2">
      <c r="A390" t="s">
        <v>1156</v>
      </c>
      <c r="B390" t="s">
        <v>9</v>
      </c>
      <c r="C390">
        <v>60</v>
      </c>
    </row>
    <row r="391" spans="1:3" x14ac:dyDescent="0.2">
      <c r="A391" t="s">
        <v>1156</v>
      </c>
      <c r="B391" t="s">
        <v>215</v>
      </c>
      <c r="C391">
        <v>59.8</v>
      </c>
    </row>
    <row r="392" spans="1:3" x14ac:dyDescent="0.2">
      <c r="A392" t="s">
        <v>1156</v>
      </c>
      <c r="B392" t="s">
        <v>1026</v>
      </c>
      <c r="C392">
        <v>44.62</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lpstr>apuestas_2024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2024-10-14T16:06:41Z</dcterms:modified>
</cp:coreProperties>
</file>