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12.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tables/table16.xml" ContentType="application/vnd.openxmlformats-officedocument.spreadsheetml.table+xml"/>
  <Override PartName="/xl/queryTables/queryTable14.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queryTables/queryTable15.xml" ContentType="application/vnd.openxmlformats-officedocument.spreadsheetml.queryTable+xml"/>
  <Override PartName="/xl/tables/table19.xml" ContentType="application/vnd.openxmlformats-officedocument.spreadsheetml.table+xml"/>
  <Override PartName="/xl/queryTables/queryTable16.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queryTables/queryTable17.xml" ContentType="application/vnd.openxmlformats-officedocument.spreadsheetml.queryTable+xml"/>
  <Override PartName="/xl/tables/table22.xml" ContentType="application/vnd.openxmlformats-officedocument.spreadsheetml.table+xml"/>
  <Override PartName="/xl/queryTables/queryTable18.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3.xml" ContentType="application/vnd.openxmlformats-officedocument.spreadsheetml.table+xml"/>
  <Override PartName="/xl/tables/table24.xml" ContentType="application/vnd.openxmlformats-officedocument.spreadsheetml.table+xml"/>
  <Override PartName="/xl/queryTables/queryTable19.xml" ContentType="application/vnd.openxmlformats-officedocument.spreadsheetml.queryTable+xml"/>
  <Override PartName="/xl/tables/table25.xml" ContentType="application/vnd.openxmlformats-officedocument.spreadsheetml.table+xml"/>
  <Override PartName="/xl/queryTables/queryTable20.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queryTables/queryTable21.xml" ContentType="application/vnd.openxmlformats-officedocument.spreadsheetml.queryTable+xml"/>
  <Override PartName="/xl/tables/table28.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9.xml" ContentType="application/vnd.openxmlformats-officedocument.spreadsheetml.table+xml"/>
  <Override PartName="/xl/tables/table30.xml" ContentType="application/vnd.openxmlformats-officedocument.spreadsheetml.table+xml"/>
  <Override PartName="/xl/queryTables/queryTable22.xml" ContentType="application/vnd.openxmlformats-officedocument.spreadsheetml.queryTable+xml"/>
  <Override PartName="/xl/tables/table31.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48.xml" ContentType="application/vnd.openxmlformats-officedocument.drawingml.chart+xml"/>
  <Override PartName="/xl/charts/style36.xml" ContentType="application/vnd.ms-office.chartstyle+xml"/>
  <Override PartName="/xl/charts/colors36.xml" ContentType="application/vnd.ms-office.chartcolorstyle+xml"/>
  <Override PartName="/xl/charts/chart49.xml" ContentType="application/vnd.openxmlformats-officedocument.drawingml.chart+xml"/>
  <Override PartName="/xl/charts/style37.xml" ContentType="application/vnd.ms-office.chartstyle+xml"/>
  <Override PartName="/xl/charts/colors37.xml" ContentType="application/vnd.ms-office.chartcolorstyle+xml"/>
  <Override PartName="/xl/charts/chart50.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3.xml" ContentType="application/vnd.openxmlformats-officedocument.drawingml.chartshapes+xml"/>
  <Override PartName="/xl/charts/chart51.xml" ContentType="application/vnd.openxmlformats-officedocument.drawingml.chart+xml"/>
  <Override PartName="/xl/charts/style39.xml" ContentType="application/vnd.ms-office.chartstyle+xml"/>
  <Override PartName="/xl/charts/colors39.xml" ContentType="application/vnd.ms-office.chartcolorstyle+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style40.xml" ContentType="application/vnd.ms-office.chartstyle+xml"/>
  <Override PartName="/xl/charts/colors40.xml" ContentType="application/vnd.ms-office.chartcolorstyle+xml"/>
  <Override PartName="/xl/charts/chart55.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32.xml" ContentType="application/vnd.openxmlformats-officedocument.spreadsheetml.table+xml"/>
  <Override PartName="/xl/tables/table33.xml" ContentType="application/vnd.openxmlformats-officedocument.spreadsheetml.table+xml"/>
  <Override PartName="/xl/queryTables/queryTable23.xml" ContentType="application/vnd.openxmlformats-officedocument.spreadsheetml.queryTable+xml"/>
  <Override PartName="/xl/tables/table34.xml" ContentType="application/vnd.openxmlformats-officedocument.spreadsheetml.table+xml"/>
  <Override PartName="/xl/charts/chart56.xml" ContentType="application/vnd.openxmlformats-officedocument.drawingml.chart+xml"/>
  <Override PartName="/xl/charts/style42.xml" ContentType="application/vnd.ms-office.chartstyle+xml"/>
  <Override PartName="/xl/charts/colors42.xml" ContentType="application/vnd.ms-office.chartcolorstyle+xml"/>
  <Override PartName="/xl/charts/chart57.xml" ContentType="application/vnd.openxmlformats-officedocument.drawingml.chart+xml"/>
  <Override PartName="/xl/charts/style43.xml" ContentType="application/vnd.ms-office.chartstyle+xml"/>
  <Override PartName="/xl/charts/colors43.xml" ContentType="application/vnd.ms-office.chartcolorstyle+xml"/>
  <Override PartName="/xl/charts/chart58.xml" ContentType="application/vnd.openxmlformats-officedocument.drawingml.chart+xml"/>
  <Override PartName="/xl/charts/style44.xml" ContentType="application/vnd.ms-office.chartstyle+xml"/>
  <Override PartName="/xl/charts/colors44.xml" ContentType="application/vnd.ms-office.chartcolorstyle+xml"/>
  <Override PartName="/xl/charts/chart59.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5.xml" ContentType="application/vnd.openxmlformats-officedocument.drawingml.chartshapes+xml"/>
  <Override PartName="/xl/charts/chart60.xml" ContentType="application/vnd.openxmlformats-officedocument.drawingml.chart+xml"/>
  <Override PartName="/xl/charts/style46.xml" ContentType="application/vnd.ms-office.chartstyle+xml"/>
  <Override PartName="/xl/charts/colors46.xml" ContentType="application/vnd.ms-office.chartcolorstyle+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style47.xml" ContentType="application/vnd.ms-office.chartstyle+xml"/>
  <Override PartName="/xl/charts/colors47.xml" ContentType="application/vnd.ms-office.chartcolorstyle+xml"/>
  <Override PartName="/xl/charts/chart64.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tables/table35.xml" ContentType="application/vnd.openxmlformats-officedocument.spreadsheetml.table+xml"/>
  <Override PartName="/xl/tables/table36.xml" ContentType="application/vnd.openxmlformats-officedocument.spreadsheetml.table+xml"/>
  <Override PartName="/xl/drawings/drawing18.xml" ContentType="application/vnd.openxmlformats-officedocument.drawing+xml"/>
  <Override PartName="/xl/tables/table37.xml" ContentType="application/vnd.openxmlformats-officedocument.spreadsheetml.table+xml"/>
  <Override PartName="/xl/charts/chart65.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19.xml" ContentType="application/vnd.openxmlformats-officedocument.drawingml.chartshapes+xml"/>
  <Override PartName="/xl/charts/chartEx1.xml" ContentType="application/vnd.ms-office.chartex+xml"/>
  <Override PartName="/xl/charts/style50.xml" ContentType="application/vnd.ms-office.chartstyle+xml"/>
  <Override PartName="/xl/charts/colors50.xml" ContentType="application/vnd.ms-office.chartcolorstyle+xml"/>
  <Override PartName="/xl/tables/table38.xml" ContentType="application/vnd.openxmlformats-officedocument.spreadsheetml.table+xml"/>
  <Override PartName="/xl/queryTables/queryTable24.xml" ContentType="application/vnd.openxmlformats-officedocument.spreadsheetml.queryTable+xml"/>
  <Override PartName="/xl/tables/table39.xml" ContentType="application/vnd.openxmlformats-officedocument.spreadsheetml.table+xml"/>
  <Override PartName="/xl/queryTables/queryTable25.xml" ContentType="application/vnd.openxmlformats-officedocument.spreadsheetml.queryTable+xml"/>
  <Override PartName="/xl/tables/table40.xml" ContentType="application/vnd.openxmlformats-officedocument.spreadsheetml.table+xml"/>
  <Override PartName="/xl/queryTables/queryTable26.xml" ContentType="application/vnd.openxmlformats-officedocument.spreadsheetml.query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queryTables/queryTable28.xml" ContentType="application/vnd.openxmlformats-officedocument.spreadsheetml.queryTable+xml"/>
  <Override PartName="/xl/tables/table43.xml" ContentType="application/vnd.openxmlformats-officedocument.spreadsheetml.table+xml"/>
  <Override PartName="/xl/queryTables/queryTable29.xml" ContentType="application/vnd.openxmlformats-officedocument.spreadsheetml.queryTable+xml"/>
  <Override PartName="/xl/tables/table44.xml" ContentType="application/vnd.openxmlformats-officedocument.spreadsheetml.table+xml"/>
  <Override PartName="/xl/queryTables/queryTable30.xml" ContentType="application/vnd.openxmlformats-officedocument.spreadsheetml.queryTable+xml"/>
  <Override PartName="/xl/tables/table45.xml" ContentType="application/vnd.openxmlformats-officedocument.spreadsheetml.table+xml"/>
  <Override PartName="/xl/queryTables/queryTable31.xml" ContentType="application/vnd.openxmlformats-officedocument.spreadsheetml.queryTable+xml"/>
  <Override PartName="/xl/tables/table46.xml" ContentType="application/vnd.openxmlformats-officedocument.spreadsheetml.table+xml"/>
  <Override PartName="/xl/queryTables/queryTable32.xml" ContentType="application/vnd.openxmlformats-officedocument.spreadsheetml.queryTable+xml"/>
  <Override PartName="/xl/tables/table47.xml" ContentType="application/vnd.openxmlformats-officedocument.spreadsheetml.table+xml"/>
  <Override PartName="/xl/queryTables/queryTable33.xml" ContentType="application/vnd.openxmlformats-officedocument.spreadsheetml.queryTable+xml"/>
  <Override PartName="/xl/drawings/drawing20.xml" ContentType="application/vnd.openxmlformats-officedocument.drawing+xml"/>
  <Override PartName="/xl/tables/table48.xml" ContentType="application/vnd.openxmlformats-officedocument.spreadsheetml.table+xml"/>
  <Override PartName="/xl/queryTables/queryTable34.xml" ContentType="application/vnd.openxmlformats-officedocument.spreadsheetml.queryTable+xml"/>
  <Override PartName="/xl/charts/chart66.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21.xml" ContentType="application/vnd.openxmlformats-officedocument.drawingml.chartshapes+xml"/>
  <Override PartName="/xl/drawings/drawing22.xml" ContentType="application/vnd.openxmlformats-officedocument.drawing+xml"/>
  <Override PartName="/xl/tables/table49.xml" ContentType="application/vnd.openxmlformats-officedocument.spreadsheetml.table+xml"/>
  <Override PartName="/xl/queryTables/queryTable35.xml" ContentType="application/vnd.openxmlformats-officedocument.spreadsheetml.queryTable+xml"/>
  <Override PartName="/xl/charts/chart67.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23.xml" ContentType="application/vnd.openxmlformats-officedocument.drawingml.chartshapes+xml"/>
  <Override PartName="/xl/pivotTables/pivotTable1.xml" ContentType="application/vnd.openxmlformats-officedocument.spreadsheetml.pivotTable+xml"/>
  <Override PartName="/xl/tables/table50.xml" ContentType="application/vnd.openxmlformats-officedocument.spreadsheetml.table+xml"/>
  <Override PartName="/xl/queryTables/queryTable36.xml" ContentType="application/vnd.openxmlformats-officedocument.spreadsheetml.queryTable+xml"/>
  <Override PartName="/xl/tables/table51.xml" ContentType="application/vnd.openxmlformats-officedocument.spreadsheetml.table+xml"/>
  <Override PartName="/xl/queryTables/queryTable3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13_ncr:1_{AE547548-A7D2-4D58-AB3C-0DC00C71D4C0}" xr6:coauthVersionLast="47" xr6:coauthVersionMax="47" xr10:uidLastSave="{00000000-0000-0000-0000-000000000000}"/>
  <bookViews>
    <workbookView xWindow="-120" yWindow="-120" windowWidth="38640" windowHeight="21840" activeTab="9"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jul" sheetId="42" r:id="rId9"/>
    <sheet name="ago" sheetId="43" r:id="rId10"/>
    <sheet name="powerrange" sheetId="39" r:id="rId11"/>
    <sheet name="gauss" sheetId="41" r:id="rId12"/>
    <sheet name="externo" sheetId="7" r:id="rId13"/>
    <sheet name="res_mes" sheetId="12" r:id="rId14"/>
    <sheet name="acum_porc" sheetId="32" r:id="rId15"/>
    <sheet name="acum_abs" sheetId="33" r:id="rId16"/>
    <sheet name="estadisticas" sheetId="35" r:id="rId17"/>
    <sheet name="jugadores_2024" sheetId="36" r:id="rId18"/>
  </sheets>
  <externalReferences>
    <externalReference r:id="rId19"/>
  </externalReferences>
  <definedNames>
    <definedName name="_xlchart.v1.0" hidden="1">gauss!$B$3:$B$43</definedName>
    <definedName name="_xlchart.v1.1" hidden="1">gauss!$B$3:$B$55</definedName>
    <definedName name="_xlchart.v1.2" hidden="1">gauss!$B$3:$B$43</definedName>
    <definedName name="_xlchart.v1.3" hidden="1">gauss!$B$3:$B$55</definedName>
    <definedName name="DatosExternos_1" localSheetId="5" hidden="1">abr!$A$6:$E$35</definedName>
    <definedName name="DatosExternos_1" localSheetId="15" hidden="1">acum_abs!$A$1:$H$92</definedName>
    <definedName name="DatosExternos_1" localSheetId="14" hidden="1">acum_porc!$A$1:$I$93</definedName>
    <definedName name="DatosExternos_1" localSheetId="9" hidden="1">ago!$A$6:$E$47</definedName>
    <definedName name="DatosExternos_1" localSheetId="2" hidden="1">ene!$A$6:$E$42</definedName>
    <definedName name="DatosExternos_1" localSheetId="16" hidden="1">estadisticas!$A$1:$E$64</definedName>
    <definedName name="DatosExternos_1" localSheetId="12" hidden="1">externo!$A$3:$E$27</definedName>
    <definedName name="DatosExternos_1" localSheetId="3" hidden="1">feb!$A$6:$E$41</definedName>
    <definedName name="DatosExternos_1" localSheetId="0" hidden="1">in!$A$1:$H$334</definedName>
    <definedName name="DatosExternos_1" localSheetId="17" hidden="1">jugadores_2024!$A$1:$C$86</definedName>
    <definedName name="DatosExternos_1" localSheetId="8" hidden="1">jul!$A$6:$E$58</definedName>
    <definedName name="DatosExternos_1" localSheetId="7" hidden="1">jun!$A$6:$E$59</definedName>
    <definedName name="DatosExternos_1" localSheetId="4" hidden="1">mar!$A$6:$E$31</definedName>
    <definedName name="DatosExternos_1" localSheetId="6" hidden="1">may!$A$6:$E$49</definedName>
    <definedName name="DatosExternos_1" localSheetId="1" hidden="1">omie!$A$4:$B$217</definedName>
    <definedName name="DatosExternos_1" localSheetId="13" hidden="1">res_mes!$A$1:$F$36</definedName>
    <definedName name="DatosExternos_2" localSheetId="5" hidden="1">abr!$P$6:$Q$36</definedName>
    <definedName name="DatosExternos_2" localSheetId="2" hidden="1">ene!$P$6:$Q$37</definedName>
    <definedName name="DatosExternos_2" localSheetId="12"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3" hidden="1">res_mes!$H$1:$M$36</definedName>
    <definedName name="DatosExternos_3" localSheetId="12" hidden="1">externo!$K$3:$M$34</definedName>
    <definedName name="DatosExternos_3" localSheetId="1" hidden="1">omie!$G$4:$H$33</definedName>
    <definedName name="DatosExternos_3" localSheetId="13" hidden="1">res_mes!$O$1:$T$26</definedName>
    <definedName name="DatosExternos_4" localSheetId="12" hidden="1">externo!$O$3:$AD$34</definedName>
    <definedName name="DatosExternos_4" localSheetId="1" hidden="1">omie!$J$4:$K$35</definedName>
    <definedName name="DatosExternos_4" localSheetId="13" hidden="1">res_mes!$V$1:$AA$30</definedName>
    <definedName name="DatosExternos_5" localSheetId="1" hidden="1">omie!$M$4:$N$34</definedName>
    <definedName name="DatosExternos_5" localSheetId="13" hidden="1">res_mes!$AC$1:$AH$44</definedName>
    <definedName name="DatosExternos_6" localSheetId="1" hidden="1">omie!$P$4:$Q$35</definedName>
    <definedName name="DatosExternos_6" localSheetId="13" hidden="1">res_mes!$A$41:$F$94</definedName>
    <definedName name="DatosExternos_7" localSheetId="1" hidden="1">omie!$S$4:$T$34</definedName>
    <definedName name="DatosExternos_8" localSheetId="1" hidden="1">omie!$V$4:$W$35</definedName>
    <definedName name="DatosExternos_9" localSheetId="1" hidden="1">omie!$Y$4:$Z$9</definedName>
  </definedNames>
  <calcPr calcId="181029"/>
  <pivotCaches>
    <pivotCache cacheId="0" r:id="rId2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3" i="32" l="1"/>
  <c r="L23" i="32" s="1"/>
  <c r="J27" i="32"/>
  <c r="J58" i="32"/>
  <c r="J59" i="32"/>
  <c r="L59" i="32" s="1"/>
  <c r="J12" i="32"/>
  <c r="L12" i="32" s="1"/>
  <c r="J19" i="32"/>
  <c r="J60" i="32"/>
  <c r="J48" i="32"/>
  <c r="L48" i="32" s="1"/>
  <c r="J62" i="32"/>
  <c r="J63" i="32"/>
  <c r="L63" i="32" s="1"/>
  <c r="J31" i="32"/>
  <c r="L31" i="32" s="1"/>
  <c r="J64" i="32"/>
  <c r="J14" i="32"/>
  <c r="L14" i="32" s="1"/>
  <c r="J65" i="32"/>
  <c r="J28" i="32"/>
  <c r="J32" i="32"/>
  <c r="L32" i="32" s="1"/>
  <c r="J37" i="32"/>
  <c r="L37" i="32" s="1"/>
  <c r="J66" i="32"/>
  <c r="J49" i="32"/>
  <c r="J38" i="32"/>
  <c r="J67" i="32"/>
  <c r="J18" i="32"/>
  <c r="L18" i="32" s="1"/>
  <c r="J17" i="32"/>
  <c r="L17" i="32" s="1"/>
  <c r="J33" i="32"/>
  <c r="J50" i="32"/>
  <c r="J7" i="32"/>
  <c r="J68" i="32"/>
  <c r="J39" i="32"/>
  <c r="L39" i="32" s="1"/>
  <c r="J69" i="32"/>
  <c r="L69" i="32" s="1"/>
  <c r="J70" i="32"/>
  <c r="J11" i="32"/>
  <c r="J40" i="32"/>
  <c r="J8" i="32"/>
  <c r="J71" i="32"/>
  <c r="L71" i="32" s="1"/>
  <c r="J9" i="32"/>
  <c r="L9" i="32" s="1"/>
  <c r="J21" i="32"/>
  <c r="J72" i="32"/>
  <c r="J73" i="32"/>
  <c r="J74" i="32"/>
  <c r="J5" i="32"/>
  <c r="J2" i="32"/>
  <c r="L2" i="32" s="1"/>
  <c r="J41" i="32"/>
  <c r="J51" i="32"/>
  <c r="J34" i="32"/>
  <c r="L34" i="32" s="1"/>
  <c r="J13" i="32"/>
  <c r="J75" i="32"/>
  <c r="L75" i="32" s="1"/>
  <c r="J42" i="32"/>
  <c r="L42" i="32" s="1"/>
  <c r="J43" i="32"/>
  <c r="J76" i="32"/>
  <c r="J3" i="32"/>
  <c r="J20" i="32"/>
  <c r="J77" i="32"/>
  <c r="J52" i="32"/>
  <c r="L52" i="32" s="1"/>
  <c r="J35" i="32"/>
  <c r="J22" i="32"/>
  <c r="J78" i="32"/>
  <c r="J79" i="32"/>
  <c r="J6" i="32"/>
  <c r="L6" i="32" s="1"/>
  <c r="J15" i="32"/>
  <c r="L15" i="32" s="1"/>
  <c r="J80" i="32"/>
  <c r="J25" i="32"/>
  <c r="J81" i="32"/>
  <c r="J44" i="32"/>
  <c r="J53" i="32"/>
  <c r="J26" i="32"/>
  <c r="L26" i="32" s="1"/>
  <c r="J82" i="32"/>
  <c r="J83" i="32"/>
  <c r="J84" i="32"/>
  <c r="L84" i="32" s="1"/>
  <c r="J85" i="32"/>
  <c r="J86" i="32"/>
  <c r="L86" i="32" s="1"/>
  <c r="J24" i="32"/>
  <c r="L24" i="32" s="1"/>
  <c r="J87" i="32"/>
  <c r="J88" i="32"/>
  <c r="J45" i="32"/>
  <c r="J54" i="32"/>
  <c r="J55" i="32"/>
  <c r="J56" i="32"/>
  <c r="L56" i="32" s="1"/>
  <c r="J46" i="32"/>
  <c r="J4" i="32"/>
  <c r="J89" i="32"/>
  <c r="J16" i="32"/>
  <c r="J10" i="32"/>
  <c r="L10" i="32" s="1"/>
  <c r="J29" i="32"/>
  <c r="L29" i="32" s="1"/>
  <c r="J57" i="32"/>
  <c r="J90" i="32"/>
  <c r="L90" i="32" s="1"/>
  <c r="J36" i="32"/>
  <c r="J91" i="32"/>
  <c r="J92" i="32"/>
  <c r="J30" i="32"/>
  <c r="L30" i="32" s="1"/>
  <c r="J93" i="32"/>
  <c r="J47" i="32"/>
  <c r="J61" i="32"/>
  <c r="L61" i="32" s="1"/>
  <c r="L27" i="32"/>
  <c r="L58" i="32"/>
  <c r="L19" i="32"/>
  <c r="L60" i="32"/>
  <c r="L62" i="32"/>
  <c r="L64" i="32"/>
  <c r="L65" i="32"/>
  <c r="L28" i="32"/>
  <c r="L66" i="32"/>
  <c r="L49" i="32"/>
  <c r="L38" i="32"/>
  <c r="L67" i="32"/>
  <c r="L33" i="32"/>
  <c r="L50" i="32"/>
  <c r="L7" i="32"/>
  <c r="L68" i="32"/>
  <c r="L70" i="32"/>
  <c r="L11" i="32"/>
  <c r="L40" i="32"/>
  <c r="L8" i="32"/>
  <c r="L21" i="32"/>
  <c r="L72" i="32"/>
  <c r="L73" i="32"/>
  <c r="L74" i="32"/>
  <c r="L5" i="32"/>
  <c r="L41" i="32"/>
  <c r="L51" i="32"/>
  <c r="L13" i="32"/>
  <c r="L43" i="32"/>
  <c r="L76" i="32"/>
  <c r="L3" i="32"/>
  <c r="L20" i="32"/>
  <c r="L77" i="32"/>
  <c r="L35" i="32"/>
  <c r="L22" i="32"/>
  <c r="L78" i="32"/>
  <c r="L79" i="32"/>
  <c r="L80" i="32"/>
  <c r="L25" i="32"/>
  <c r="L81" i="32"/>
  <c r="L44" i="32"/>
  <c r="L53" i="32"/>
  <c r="L82" i="32"/>
  <c r="L83" i="32"/>
  <c r="L85" i="32"/>
  <c r="L87" i="32"/>
  <c r="L88" i="32"/>
  <c r="L45" i="32"/>
  <c r="L54" i="32"/>
  <c r="L55" i="32"/>
  <c r="L46" i="32"/>
  <c r="L4" i="32"/>
  <c r="L89" i="32"/>
  <c r="L16" i="32"/>
  <c r="L57" i="32"/>
  <c r="L36" i="32"/>
  <c r="L91" i="32"/>
  <c r="L92" i="32"/>
  <c r="L93" i="32"/>
  <c r="L47" i="32"/>
  <c r="O2" i="32"/>
  <c r="N2" i="32"/>
  <c r="F13" i="41" l="1"/>
  <c r="F5" i="41"/>
  <c r="F4" i="41"/>
  <c r="F3" i="41"/>
  <c r="AE4" i="7"/>
  <c r="AE5" i="7"/>
  <c r="AE6" i="7"/>
  <c r="AE7" i="7"/>
  <c r="AE8" i="7"/>
  <c r="F18" i="39" l="1"/>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39" i="39"/>
  <c r="C9" i="39"/>
  <c r="Q37" i="43"/>
  <c r="Q36" i="43"/>
  <c r="Q35" i="43"/>
  <c r="Q34" i="43"/>
  <c r="Q33" i="43"/>
  <c r="Q32" i="43"/>
  <c r="Q31" i="43"/>
  <c r="Q30" i="43"/>
  <c r="Q29" i="43"/>
  <c r="Q28" i="43"/>
  <c r="Q27" i="43"/>
  <c r="Q26" i="43"/>
  <c r="Q25" i="43"/>
  <c r="Q24" i="43"/>
  <c r="Q23" i="43"/>
  <c r="Q22" i="43"/>
  <c r="Q21" i="43"/>
  <c r="Q20" i="43"/>
  <c r="Q19" i="43"/>
  <c r="Q18" i="43"/>
  <c r="Q17" i="43"/>
  <c r="Q16" i="43"/>
  <c r="Q15" i="43"/>
  <c r="Q14" i="43"/>
  <c r="Q13" i="43"/>
  <c r="Q12" i="43"/>
  <c r="Q11" i="43"/>
  <c r="Q10" i="43"/>
  <c r="Q9" i="43"/>
  <c r="Q8" i="43"/>
  <c r="Q7" i="43"/>
  <c r="B5" i="43"/>
  <c r="B4" i="43"/>
  <c r="B3" i="43" s="1"/>
  <c r="Z3" i="1"/>
  <c r="M47" i="43"/>
  <c r="M48" i="39" s="1"/>
  <c r="L47" i="43"/>
  <c r="L48" i="39" s="1"/>
  <c r="M46" i="43"/>
  <c r="M47" i="39" s="1"/>
  <c r="L46" i="43"/>
  <c r="L47" i="39" s="1"/>
  <c r="M45" i="43"/>
  <c r="M46" i="39" s="1"/>
  <c r="L45" i="43"/>
  <c r="L46" i="39" s="1"/>
  <c r="M44" i="43"/>
  <c r="M45" i="39" s="1"/>
  <c r="L44" i="43"/>
  <c r="L45" i="39" s="1"/>
  <c r="M43" i="43"/>
  <c r="M44" i="39" s="1"/>
  <c r="L43" i="43"/>
  <c r="L44" i="39" s="1"/>
  <c r="M42" i="43"/>
  <c r="M43" i="39" s="1"/>
  <c r="L42" i="43"/>
  <c r="L43" i="39" s="1"/>
  <c r="M41" i="43"/>
  <c r="M42" i="39" s="1"/>
  <c r="L41" i="43"/>
  <c r="L42" i="39" s="1"/>
  <c r="M40" i="43"/>
  <c r="M41" i="39" s="1"/>
  <c r="L40" i="43"/>
  <c r="L41" i="39" s="1"/>
  <c r="M39" i="43"/>
  <c r="M40" i="39" s="1"/>
  <c r="L39" i="43"/>
  <c r="L40" i="39" s="1"/>
  <c r="M38" i="43"/>
  <c r="M39" i="39" s="1"/>
  <c r="L38" i="43"/>
  <c r="L39" i="39" s="1"/>
  <c r="M37" i="43"/>
  <c r="M38" i="39" s="1"/>
  <c r="L37" i="43"/>
  <c r="L38" i="39" s="1"/>
  <c r="M36" i="43"/>
  <c r="M37" i="39" s="1"/>
  <c r="L36" i="43"/>
  <c r="L37" i="39" s="1"/>
  <c r="M35" i="43"/>
  <c r="M36" i="39" s="1"/>
  <c r="L35" i="43"/>
  <c r="L36" i="39" s="1"/>
  <c r="M34" i="43"/>
  <c r="M35" i="39" s="1"/>
  <c r="L34" i="43"/>
  <c r="L35" i="39" s="1"/>
  <c r="M33" i="43"/>
  <c r="M34" i="39" s="1"/>
  <c r="L33" i="43"/>
  <c r="L34" i="39" s="1"/>
  <c r="M32" i="43"/>
  <c r="M33" i="39" s="1"/>
  <c r="L32" i="43"/>
  <c r="L33" i="39" s="1"/>
  <c r="M31" i="43"/>
  <c r="M32" i="39" s="1"/>
  <c r="L31" i="43"/>
  <c r="L32" i="39" s="1"/>
  <c r="M30" i="43"/>
  <c r="M31" i="39" s="1"/>
  <c r="L30" i="43"/>
  <c r="L31" i="39" s="1"/>
  <c r="M29" i="43"/>
  <c r="M30" i="39" s="1"/>
  <c r="L29" i="43"/>
  <c r="L30" i="39" s="1"/>
  <c r="M28" i="43"/>
  <c r="M29" i="39" s="1"/>
  <c r="L28" i="43"/>
  <c r="L29" i="39" s="1"/>
  <c r="M27" i="43"/>
  <c r="M28" i="39" s="1"/>
  <c r="L27" i="43"/>
  <c r="L28" i="39" s="1"/>
  <c r="M26" i="43"/>
  <c r="M27" i="39" s="1"/>
  <c r="L26" i="43"/>
  <c r="L27" i="39" s="1"/>
  <c r="M25" i="43"/>
  <c r="M26" i="39" s="1"/>
  <c r="L25" i="43"/>
  <c r="L26" i="39" s="1"/>
  <c r="M24" i="43"/>
  <c r="M25" i="39" s="1"/>
  <c r="L24" i="43"/>
  <c r="L25" i="39" s="1"/>
  <c r="M23" i="43"/>
  <c r="M24" i="39" s="1"/>
  <c r="L23" i="43"/>
  <c r="L24" i="39" s="1"/>
  <c r="M22" i="43"/>
  <c r="M23" i="39" s="1"/>
  <c r="L22" i="43"/>
  <c r="L23" i="39" s="1"/>
  <c r="M21" i="43"/>
  <c r="M22" i="39" s="1"/>
  <c r="L21" i="43"/>
  <c r="L22" i="39" s="1"/>
  <c r="M20" i="43"/>
  <c r="M21" i="39" s="1"/>
  <c r="L20" i="43"/>
  <c r="L21" i="39" s="1"/>
  <c r="M19" i="43"/>
  <c r="M20" i="39" s="1"/>
  <c r="L19" i="43"/>
  <c r="L20" i="39" s="1"/>
  <c r="M18" i="43"/>
  <c r="M19" i="39" s="1"/>
  <c r="L18" i="43"/>
  <c r="L19" i="39" s="1"/>
  <c r="M17" i="43"/>
  <c r="M18" i="39" s="1"/>
  <c r="L17" i="43"/>
  <c r="L18" i="39" s="1"/>
  <c r="M16" i="43"/>
  <c r="M17" i="39" s="1"/>
  <c r="L16" i="43"/>
  <c r="L17" i="39" s="1"/>
  <c r="M15" i="43"/>
  <c r="M16" i="39" s="1"/>
  <c r="L15" i="43"/>
  <c r="L16" i="39" s="1"/>
  <c r="M14" i="43"/>
  <c r="M15" i="39" s="1"/>
  <c r="L14" i="43"/>
  <c r="L15" i="39" s="1"/>
  <c r="M13" i="43"/>
  <c r="M14" i="39" s="1"/>
  <c r="L13" i="43"/>
  <c r="L14" i="39" s="1"/>
  <c r="M12" i="43"/>
  <c r="M13" i="39" s="1"/>
  <c r="L12" i="43"/>
  <c r="L13" i="39" s="1"/>
  <c r="M11" i="43"/>
  <c r="M12" i="39" s="1"/>
  <c r="L11" i="43"/>
  <c r="L12" i="39" s="1"/>
  <c r="M10" i="43"/>
  <c r="M11" i="39" s="1"/>
  <c r="L10" i="43"/>
  <c r="L11" i="39" s="1"/>
  <c r="M9" i="43"/>
  <c r="M10" i="39" s="1"/>
  <c r="L9" i="43"/>
  <c r="L10" i="39" s="1"/>
  <c r="M8" i="43"/>
  <c r="M9" i="39" s="1"/>
  <c r="L8" i="43"/>
  <c r="L9" i="39" s="1"/>
  <c r="M7" i="43"/>
  <c r="M8" i="39" s="1"/>
  <c r="L7" i="43"/>
  <c r="L8" i="39" s="1"/>
  <c r="H4" i="43"/>
  <c r="N3" i="43"/>
  <c r="H2" i="43"/>
  <c r="B2" i="43"/>
  <c r="B1" i="43"/>
  <c r="I20" i="33"/>
  <c r="I15" i="33"/>
  <c r="I30" i="33"/>
  <c r="I31" i="33"/>
  <c r="I12" i="33"/>
  <c r="I25" i="33"/>
  <c r="I32" i="33"/>
  <c r="I33" i="33"/>
  <c r="I34" i="33"/>
  <c r="I35" i="33"/>
  <c r="I36" i="33"/>
  <c r="I19" i="33"/>
  <c r="I37" i="33"/>
  <c r="I17" i="33"/>
  <c r="I38" i="33"/>
  <c r="I39" i="33"/>
  <c r="I40" i="33"/>
  <c r="I41" i="33"/>
  <c r="I42" i="33"/>
  <c r="I43" i="33"/>
  <c r="I16" i="33"/>
  <c r="I23" i="33"/>
  <c r="I44" i="33"/>
  <c r="I45" i="33"/>
  <c r="I13" i="33"/>
  <c r="I46" i="33"/>
  <c r="I47" i="33"/>
  <c r="I48" i="33"/>
  <c r="I49" i="33"/>
  <c r="I10" i="33"/>
  <c r="I50" i="33"/>
  <c r="I14" i="33"/>
  <c r="I51" i="33"/>
  <c r="I9" i="33"/>
  <c r="I24" i="33"/>
  <c r="I52" i="33"/>
  <c r="I53" i="33"/>
  <c r="I54" i="33"/>
  <c r="I4" i="33"/>
  <c r="I2" i="33"/>
  <c r="I55" i="33"/>
  <c r="I56" i="33"/>
  <c r="I57" i="33"/>
  <c r="I18" i="33"/>
  <c r="I58" i="33"/>
  <c r="I59" i="33"/>
  <c r="I60" i="33"/>
  <c r="I61" i="33"/>
  <c r="I3" i="33"/>
  <c r="I26" i="33"/>
  <c r="I62" i="33"/>
  <c r="I63" i="33"/>
  <c r="I64" i="33"/>
  <c r="I27" i="33"/>
  <c r="I65" i="33"/>
  <c r="I66" i="33"/>
  <c r="I6" i="33"/>
  <c r="I8" i="33"/>
  <c r="I67" i="33"/>
  <c r="I21" i="33"/>
  <c r="I68" i="33"/>
  <c r="I69" i="33"/>
  <c r="I70" i="33"/>
  <c r="I71" i="33"/>
  <c r="I28" i="33"/>
  <c r="I72" i="33"/>
  <c r="I73" i="33"/>
  <c r="I74" i="33"/>
  <c r="I75" i="33"/>
  <c r="I76" i="33"/>
  <c r="I22" i="33"/>
  <c r="I77" i="33"/>
  <c r="I78" i="33"/>
  <c r="I79" i="33"/>
  <c r="I80" i="33"/>
  <c r="I81" i="33"/>
  <c r="I82" i="33"/>
  <c r="I7" i="33"/>
  <c r="I83" i="33"/>
  <c r="I5" i="33"/>
  <c r="I11" i="33"/>
  <c r="I84" i="33"/>
  <c r="I85" i="33"/>
  <c r="I86" i="33"/>
  <c r="I87" i="33"/>
  <c r="I88" i="33"/>
  <c r="I89" i="33"/>
  <c r="I29" i="33"/>
  <c r="I90" i="33"/>
  <c r="I91" i="33"/>
  <c r="I92" i="33"/>
  <c r="F10" i="43" l="1"/>
  <c r="G10" i="43" s="1"/>
  <c r="F22" i="43"/>
  <c r="F34" i="43"/>
  <c r="G34" i="43" s="1"/>
  <c r="F46" i="43"/>
  <c r="G46" i="43" s="1"/>
  <c r="F11" i="43"/>
  <c r="G11" i="43" s="1"/>
  <c r="F23" i="43"/>
  <c r="G23" i="43" s="1"/>
  <c r="F35" i="43"/>
  <c r="G35" i="43" s="1"/>
  <c r="F47" i="43"/>
  <c r="G47" i="43" s="1"/>
  <c r="F26" i="43"/>
  <c r="G26" i="43" s="1"/>
  <c r="F27" i="43"/>
  <c r="G27" i="43" s="1"/>
  <c r="F16" i="43"/>
  <c r="G16" i="43" s="1"/>
  <c r="F17" i="43"/>
  <c r="G17" i="43" s="1"/>
  <c r="F41" i="43"/>
  <c r="G41" i="43" s="1"/>
  <c r="F12" i="43"/>
  <c r="G12" i="43" s="1"/>
  <c r="F24" i="43"/>
  <c r="G24" i="43" s="1"/>
  <c r="F36" i="43"/>
  <c r="G36" i="43" s="1"/>
  <c r="F13" i="43"/>
  <c r="G13" i="43" s="1"/>
  <c r="F25" i="43"/>
  <c r="G25" i="43" s="1"/>
  <c r="F37" i="43"/>
  <c r="G37" i="43" s="1"/>
  <c r="F14" i="43"/>
  <c r="G14" i="43" s="1"/>
  <c r="F38" i="43"/>
  <c r="G38" i="43" s="1"/>
  <c r="F15" i="43"/>
  <c r="G15" i="43" s="1"/>
  <c r="F39" i="43"/>
  <c r="N39" i="43" s="1"/>
  <c r="G22" i="43"/>
  <c r="F28" i="43"/>
  <c r="G28" i="43" s="1"/>
  <c r="F40" i="43"/>
  <c r="G40" i="43" s="1"/>
  <c r="F29" i="43"/>
  <c r="G29" i="43" s="1"/>
  <c r="F18" i="43"/>
  <c r="N18" i="43" s="1"/>
  <c r="F30" i="43"/>
  <c r="G30" i="43" s="1"/>
  <c r="F42" i="43"/>
  <c r="G42" i="43" s="1"/>
  <c r="F7" i="43"/>
  <c r="G7" i="43" s="1"/>
  <c r="F19" i="43"/>
  <c r="G19" i="43" s="1"/>
  <c r="F31" i="43"/>
  <c r="G31" i="43" s="1"/>
  <c r="F43" i="43"/>
  <c r="G43" i="43" s="1"/>
  <c r="F8" i="43"/>
  <c r="G8" i="43" s="1"/>
  <c r="F20" i="43"/>
  <c r="G20" i="43" s="1"/>
  <c r="F32" i="43"/>
  <c r="G32" i="43" s="1"/>
  <c r="F44" i="43"/>
  <c r="G44" i="43" s="1"/>
  <c r="F9" i="43"/>
  <c r="G9" i="43" s="1"/>
  <c r="F21" i="43"/>
  <c r="G21" i="43" s="1"/>
  <c r="F33" i="43"/>
  <c r="G33" i="43" s="1"/>
  <c r="F45" i="43"/>
  <c r="G45" i="43" s="1"/>
  <c r="N42" i="43"/>
  <c r="R45" i="41"/>
  <c r="R46" i="41" s="1"/>
  <c r="R47" i="41" s="1"/>
  <c r="L49" i="41"/>
  <c r="M50" i="41" s="1"/>
  <c r="F15" i="39"/>
  <c r="P3" i="39" s="1"/>
  <c r="P3" i="43"/>
  <c r="N31" i="43" l="1"/>
  <c r="G18" i="43"/>
  <c r="G39" i="43"/>
  <c r="N37" i="43"/>
  <c r="N7" i="43"/>
  <c r="N30" i="43"/>
  <c r="N17" i="43"/>
  <c r="N46" i="43"/>
  <c r="N36" i="43"/>
  <c r="N34" i="43"/>
  <c r="O17" i="43"/>
  <c r="N28" i="43"/>
  <c r="N23" i="43"/>
  <c r="N14" i="43"/>
  <c r="N11" i="43"/>
  <c r="N16" i="43"/>
  <c r="N38" i="43"/>
  <c r="N45" i="43"/>
  <c r="N20" i="43"/>
  <c r="N35" i="43"/>
  <c r="N44" i="43"/>
  <c r="N33" i="43"/>
  <c r="N40" i="43"/>
  <c r="N47" i="43"/>
  <c r="N9" i="43"/>
  <c r="N8" i="43"/>
  <c r="N10" i="43"/>
  <c r="N32" i="43"/>
  <c r="O30" i="43"/>
  <c r="N19" i="43"/>
  <c r="N27" i="43"/>
  <c r="N26" i="43"/>
  <c r="O43" i="43"/>
  <c r="N15" i="43"/>
  <c r="N24" i="43"/>
  <c r="N41" i="43"/>
  <c r="O44" i="43"/>
  <c r="N43" i="43"/>
  <c r="O9" i="43"/>
  <c r="O27" i="43"/>
  <c r="N13" i="43"/>
  <c r="O7" i="43"/>
  <c r="O36" i="43"/>
  <c r="O32" i="43"/>
  <c r="O8" i="43"/>
  <c r="O11" i="43"/>
  <c r="O20" i="43"/>
  <c r="O35" i="43"/>
  <c r="N29" i="43"/>
  <c r="N12" i="43"/>
  <c r="O33" i="43"/>
  <c r="O12" i="43"/>
  <c r="O25" i="43"/>
  <c r="O13" i="43"/>
  <c r="O21" i="43"/>
  <c r="O29" i="43"/>
  <c r="O22" i="43"/>
  <c r="N25" i="43"/>
  <c r="N22" i="43"/>
  <c r="N21" i="43"/>
  <c r="O47" i="43"/>
  <c r="O14" i="43"/>
  <c r="O28" i="43"/>
  <c r="O26" i="43"/>
  <c r="O38" i="43"/>
  <c r="O10" i="43"/>
  <c r="O40" i="43"/>
  <c r="Z6" i="41"/>
  <c r="Z5" i="41"/>
  <c r="H39" i="43" l="1"/>
  <c r="K39" i="43" s="1"/>
  <c r="K40" i="39" s="1"/>
  <c r="H18" i="43"/>
  <c r="K18" i="43" s="1"/>
  <c r="K19" i="39" s="1"/>
  <c r="H43" i="43"/>
  <c r="H34" i="43"/>
  <c r="H22" i="43"/>
  <c r="H16" i="43"/>
  <c r="K16" i="43" s="1"/>
  <c r="K17" i="39" s="1"/>
  <c r="H36" i="43"/>
  <c r="K36" i="43" s="1"/>
  <c r="K37" i="39" s="1"/>
  <c r="H26" i="43"/>
  <c r="H37" i="43"/>
  <c r="H32" i="43"/>
  <c r="K32" i="43" s="1"/>
  <c r="K33" i="39" s="1"/>
  <c r="H8" i="43"/>
  <c r="K8" i="43" s="1"/>
  <c r="K9" i="39" s="1"/>
  <c r="H31" i="43"/>
  <c r="K31" i="43" s="1"/>
  <c r="K32" i="39" s="1"/>
  <c r="H28" i="43"/>
  <c r="K28" i="43" s="1"/>
  <c r="K29" i="39" s="1"/>
  <c r="H7" i="43"/>
  <c r="K7" i="43" s="1"/>
  <c r="H33" i="43"/>
  <c r="K33" i="43" s="1"/>
  <c r="K34" i="39" s="1"/>
  <c r="H41" i="43"/>
  <c r="H15" i="43"/>
  <c r="K15" i="43" s="1"/>
  <c r="K16" i="39" s="1"/>
  <c r="H11" i="43"/>
  <c r="K11" i="43" s="1"/>
  <c r="K12" i="39" s="1"/>
  <c r="H45" i="43"/>
  <c r="K45" i="43" s="1"/>
  <c r="K46" i="39" s="1"/>
  <c r="H14" i="43"/>
  <c r="K14" i="43" s="1"/>
  <c r="K15" i="39" s="1"/>
  <c r="H40" i="43"/>
  <c r="K40" i="43" s="1"/>
  <c r="K41" i="39" s="1"/>
  <c r="H10" i="43"/>
  <c r="K10" i="43" s="1"/>
  <c r="K11" i="39" s="1"/>
  <c r="H12" i="43"/>
  <c r="K12" i="43" s="1"/>
  <c r="K13" i="39" s="1"/>
  <c r="H13" i="43"/>
  <c r="K13" i="43" s="1"/>
  <c r="K14" i="39" s="1"/>
  <c r="H35" i="43"/>
  <c r="K35" i="43" s="1"/>
  <c r="K36" i="39" s="1"/>
  <c r="H23" i="43"/>
  <c r="K23" i="43" s="1"/>
  <c r="K24" i="39" s="1"/>
  <c r="H38" i="43"/>
  <c r="K38" i="43" s="1"/>
  <c r="K39" i="39" s="1"/>
  <c r="H19" i="43"/>
  <c r="K19" i="43" s="1"/>
  <c r="K20" i="39" s="1"/>
  <c r="H25" i="43"/>
  <c r="K25" i="43" s="1"/>
  <c r="K26" i="39" s="1"/>
  <c r="H20" i="43"/>
  <c r="K20" i="43" s="1"/>
  <c r="K21" i="39" s="1"/>
  <c r="H30" i="43"/>
  <c r="K30" i="43" s="1"/>
  <c r="K31" i="39" s="1"/>
  <c r="H21" i="43"/>
  <c r="K21" i="43" s="1"/>
  <c r="K22" i="39" s="1"/>
  <c r="H9" i="43"/>
  <c r="K9" i="43" s="1"/>
  <c r="K10" i="39" s="1"/>
  <c r="H42" i="43"/>
  <c r="K42" i="43" s="1"/>
  <c r="K43" i="39" s="1"/>
  <c r="H24" i="43"/>
  <c r="K24" i="43" s="1"/>
  <c r="K25" i="39" s="1"/>
  <c r="H17" i="43"/>
  <c r="K17" i="43" s="1"/>
  <c r="K18" i="39" s="1"/>
  <c r="H44" i="43"/>
  <c r="K44" i="43" s="1"/>
  <c r="K45" i="39" s="1"/>
  <c r="H29" i="43"/>
  <c r="K29" i="43" s="1"/>
  <c r="K30" i="39" s="1"/>
  <c r="H46" i="43"/>
  <c r="K46" i="43" s="1"/>
  <c r="K47" i="39" s="1"/>
  <c r="H47" i="43"/>
  <c r="K47" i="43" s="1"/>
  <c r="K48" i="39" s="1"/>
  <c r="H27" i="43"/>
  <c r="K27" i="43" s="1"/>
  <c r="K28" i="39" s="1"/>
  <c r="K22" i="43"/>
  <c r="K23" i="39" s="1"/>
  <c r="K37" i="43"/>
  <c r="K38" i="39" s="1"/>
  <c r="K41" i="43"/>
  <c r="K42" i="39" s="1"/>
  <c r="K43" i="43"/>
  <c r="K44" i="39" s="1"/>
  <c r="K34" i="43"/>
  <c r="K35" i="39" s="1"/>
  <c r="O39" i="43"/>
  <c r="O18" i="43"/>
  <c r="O46" i="43"/>
  <c r="O45" i="43"/>
  <c r="O34" i="43"/>
  <c r="O23" i="43"/>
  <c r="O15" i="43"/>
  <c r="O24" i="43"/>
  <c r="O31" i="43"/>
  <c r="O19" i="43"/>
  <c r="O37" i="43"/>
  <c r="O41" i="43"/>
  <c r="O16" i="43"/>
  <c r="O42" i="43"/>
  <c r="L58" i="42"/>
  <c r="M58" i="42"/>
  <c r="Q37" i="42"/>
  <c r="Q36" i="42"/>
  <c r="Q35" i="42"/>
  <c r="Q34" i="42"/>
  <c r="Q33" i="42"/>
  <c r="Q32" i="42"/>
  <c r="Q31" i="42"/>
  <c r="Q30" i="42"/>
  <c r="Q29" i="42"/>
  <c r="Q28" i="42"/>
  <c r="Q27" i="42"/>
  <c r="Q26" i="42"/>
  <c r="Q25" i="42"/>
  <c r="Q24" i="42"/>
  <c r="Q23" i="42"/>
  <c r="Q22" i="42"/>
  <c r="Q21" i="42"/>
  <c r="Q20" i="42"/>
  <c r="Q19" i="42"/>
  <c r="Q18" i="42"/>
  <c r="Q17" i="42"/>
  <c r="Q16" i="42"/>
  <c r="Q15" i="42"/>
  <c r="Q14" i="42"/>
  <c r="Q13" i="42"/>
  <c r="Q12" i="42"/>
  <c r="Q11" i="42"/>
  <c r="Q10" i="42"/>
  <c r="Q9" i="42"/>
  <c r="Q8" i="42"/>
  <c r="Q7" i="42"/>
  <c r="B5" i="42"/>
  <c r="F16" i="39" l="1"/>
  <c r="K8" i="39"/>
  <c r="K26" i="43"/>
  <c r="K27" i="39" s="1"/>
  <c r="AC2" i="1"/>
  <c r="AD2" i="1" s="1"/>
  <c r="W3" i="1"/>
  <c r="B4" i="42"/>
  <c r="M57" i="42"/>
  <c r="L57" i="42"/>
  <c r="M56" i="42"/>
  <c r="L56" i="42"/>
  <c r="M55" i="42"/>
  <c r="L55" i="42"/>
  <c r="M54" i="42"/>
  <c r="L54" i="42"/>
  <c r="M53" i="42"/>
  <c r="L53" i="42"/>
  <c r="M52" i="42"/>
  <c r="L52" i="42"/>
  <c r="M51" i="42"/>
  <c r="L51" i="42"/>
  <c r="M50" i="42"/>
  <c r="L50" i="42"/>
  <c r="M49" i="42"/>
  <c r="L49" i="42"/>
  <c r="M48" i="42"/>
  <c r="L48" i="42"/>
  <c r="M47" i="42"/>
  <c r="L47" i="42"/>
  <c r="M46" i="42"/>
  <c r="L46" i="42"/>
  <c r="M45" i="42"/>
  <c r="L45" i="42"/>
  <c r="M44" i="42"/>
  <c r="L44" i="42"/>
  <c r="M43" i="42"/>
  <c r="L43" i="42"/>
  <c r="M42" i="42"/>
  <c r="L42" i="42"/>
  <c r="M41" i="42"/>
  <c r="L41" i="42"/>
  <c r="M40" i="42"/>
  <c r="L40" i="42"/>
  <c r="M39" i="42"/>
  <c r="L39" i="42"/>
  <c r="M38" i="42"/>
  <c r="L38" i="42"/>
  <c r="M37" i="42"/>
  <c r="L37" i="42"/>
  <c r="M36" i="42"/>
  <c r="L36" i="42"/>
  <c r="M35" i="42"/>
  <c r="L35" i="42"/>
  <c r="M34" i="42"/>
  <c r="L34" i="42"/>
  <c r="M33" i="42"/>
  <c r="L33" i="42"/>
  <c r="M32" i="42"/>
  <c r="L32" i="42"/>
  <c r="M31" i="42"/>
  <c r="L31" i="42"/>
  <c r="M30" i="42"/>
  <c r="L30" i="42"/>
  <c r="M29" i="42"/>
  <c r="L29" i="42"/>
  <c r="M28" i="42"/>
  <c r="L28" i="42"/>
  <c r="M27" i="42"/>
  <c r="L27" i="42"/>
  <c r="M26" i="42"/>
  <c r="L26" i="42"/>
  <c r="M25" i="42"/>
  <c r="L25" i="42"/>
  <c r="M24" i="42"/>
  <c r="L24" i="42"/>
  <c r="M23" i="42"/>
  <c r="L23" i="42"/>
  <c r="M22" i="42"/>
  <c r="L22" i="42"/>
  <c r="M21" i="42"/>
  <c r="L21" i="42"/>
  <c r="M20" i="42"/>
  <c r="L20" i="42"/>
  <c r="M19" i="42"/>
  <c r="L19" i="42"/>
  <c r="M18" i="42"/>
  <c r="L18" i="42"/>
  <c r="M17" i="42"/>
  <c r="L17" i="42"/>
  <c r="M16" i="42"/>
  <c r="L16" i="42"/>
  <c r="M15" i="42"/>
  <c r="L15" i="42"/>
  <c r="M14" i="42"/>
  <c r="L14" i="42"/>
  <c r="M13" i="42"/>
  <c r="L13" i="42"/>
  <c r="M12" i="42"/>
  <c r="L12" i="42"/>
  <c r="M11" i="42"/>
  <c r="L11" i="42"/>
  <c r="M10" i="42"/>
  <c r="L10" i="42"/>
  <c r="M9" i="42"/>
  <c r="L9" i="42"/>
  <c r="M8" i="42"/>
  <c r="L8" i="42"/>
  <c r="M7" i="42"/>
  <c r="L7" i="42"/>
  <c r="H4" i="42"/>
  <c r="N3" i="42"/>
  <c r="H2" i="42"/>
  <c r="B2" i="42"/>
  <c r="B1" i="42"/>
  <c r="B3" i="42" l="1"/>
  <c r="F25" i="39"/>
  <c r="F7" i="42" l="1"/>
  <c r="G7" i="42" s="1"/>
  <c r="F19" i="42"/>
  <c r="G19" i="42" s="1"/>
  <c r="F31" i="42"/>
  <c r="G31" i="42" s="1"/>
  <c r="F43" i="42"/>
  <c r="G43" i="42" s="1"/>
  <c r="F55" i="42"/>
  <c r="G55" i="42" s="1"/>
  <c r="F8" i="42"/>
  <c r="G8" i="42" s="1"/>
  <c r="F20" i="42"/>
  <c r="G20" i="42" s="1"/>
  <c r="F32" i="42"/>
  <c r="G32" i="42" s="1"/>
  <c r="F44" i="42"/>
  <c r="G44" i="42" s="1"/>
  <c r="F56" i="42"/>
  <c r="G56" i="42" s="1"/>
  <c r="F9" i="42"/>
  <c r="G9" i="42" s="1"/>
  <c r="F21" i="42"/>
  <c r="G21" i="42" s="1"/>
  <c r="F33" i="42"/>
  <c r="G33" i="42" s="1"/>
  <c r="F45" i="42"/>
  <c r="G45" i="42" s="1"/>
  <c r="F57" i="42"/>
  <c r="G57" i="42" s="1"/>
  <c r="F17" i="42"/>
  <c r="G17" i="42" s="1"/>
  <c r="F10" i="42"/>
  <c r="G10" i="42" s="1"/>
  <c r="F22" i="42"/>
  <c r="G22" i="42" s="1"/>
  <c r="F34" i="42"/>
  <c r="G34" i="42" s="1"/>
  <c r="F46" i="42"/>
  <c r="G46" i="42" s="1"/>
  <c r="F58" i="42"/>
  <c r="G58" i="42" s="1"/>
  <c r="F16" i="42"/>
  <c r="G16" i="42" s="1"/>
  <c r="F53" i="42"/>
  <c r="G53" i="42" s="1"/>
  <c r="F11" i="42"/>
  <c r="G11" i="42" s="1"/>
  <c r="F23" i="42"/>
  <c r="G23" i="42" s="1"/>
  <c r="F35" i="42"/>
  <c r="G35" i="42" s="1"/>
  <c r="F47" i="42"/>
  <c r="G47" i="42" s="1"/>
  <c r="F28" i="42"/>
  <c r="G28" i="42" s="1"/>
  <c r="F12" i="42"/>
  <c r="G12" i="42" s="1"/>
  <c r="F24" i="42"/>
  <c r="G24" i="42" s="1"/>
  <c r="F36" i="42"/>
  <c r="G36" i="42" s="1"/>
  <c r="F48" i="42"/>
  <c r="G48" i="42" s="1"/>
  <c r="F40" i="42"/>
  <c r="G40" i="42" s="1"/>
  <c r="F29" i="42"/>
  <c r="G29" i="42" s="1"/>
  <c r="F13" i="42"/>
  <c r="G13" i="42" s="1"/>
  <c r="F25" i="42"/>
  <c r="G25" i="42" s="1"/>
  <c r="F37" i="42"/>
  <c r="G37" i="42" s="1"/>
  <c r="F49" i="42"/>
  <c r="G49" i="42" s="1"/>
  <c r="F52" i="42"/>
  <c r="G52" i="42" s="1"/>
  <c r="F14" i="42"/>
  <c r="G14" i="42" s="1"/>
  <c r="F26" i="42"/>
  <c r="G26" i="42" s="1"/>
  <c r="F38" i="42"/>
  <c r="G38" i="42" s="1"/>
  <c r="F50" i="42"/>
  <c r="G50" i="42" s="1"/>
  <c r="F15" i="42"/>
  <c r="G15" i="42" s="1"/>
  <c r="F27" i="42"/>
  <c r="G27" i="42" s="1"/>
  <c r="F39" i="42"/>
  <c r="G39" i="42" s="1"/>
  <c r="F51" i="42"/>
  <c r="G51" i="42" s="1"/>
  <c r="F41" i="42"/>
  <c r="G41" i="42" s="1"/>
  <c r="F18" i="42"/>
  <c r="G18" i="42" s="1"/>
  <c r="F30" i="42"/>
  <c r="G30" i="42" s="1"/>
  <c r="F42" i="42"/>
  <c r="G42" i="42" s="1"/>
  <c r="F54" i="42"/>
  <c r="G54" i="42" s="1"/>
  <c r="F28" i="39"/>
  <c r="F29" i="39" s="1"/>
  <c r="N31" i="42"/>
  <c r="P3" i="42"/>
  <c r="H20" i="42" l="1"/>
  <c r="H47" i="42"/>
  <c r="H29" i="42"/>
  <c r="H17" i="42"/>
  <c r="H21" i="42"/>
  <c r="H9" i="42"/>
  <c r="H11" i="42"/>
  <c r="H36" i="42"/>
  <c r="H35" i="42"/>
  <c r="H16" i="42"/>
  <c r="H55" i="42"/>
  <c r="H33" i="42"/>
  <c r="H30" i="42"/>
  <c r="H46" i="42"/>
  <c r="H43" i="42"/>
  <c r="H8" i="42"/>
  <c r="H53" i="42"/>
  <c r="H18" i="42"/>
  <c r="H49" i="42"/>
  <c r="H56" i="42"/>
  <c r="H31" i="42"/>
  <c r="H48" i="42"/>
  <c r="H41" i="42"/>
  <c r="H28" i="42"/>
  <c r="H22" i="42"/>
  <c r="H23" i="42"/>
  <c r="H42" i="42"/>
  <c r="H58" i="42"/>
  <c r="H34" i="42"/>
  <c r="H10" i="42"/>
  <c r="H13" i="42"/>
  <c r="H7" i="42"/>
  <c r="H51" i="42"/>
  <c r="H32" i="42"/>
  <c r="H39" i="42"/>
  <c r="H19" i="42"/>
  <c r="H27" i="42"/>
  <c r="H12" i="42"/>
  <c r="H25" i="42"/>
  <c r="H50" i="42"/>
  <c r="H15" i="42"/>
  <c r="H45" i="42"/>
  <c r="H37" i="42"/>
  <c r="H38" i="42"/>
  <c r="H54" i="42"/>
  <c r="H44" i="42"/>
  <c r="H24" i="42"/>
  <c r="H40" i="42"/>
  <c r="H14" i="42"/>
  <c r="H52" i="42"/>
  <c r="H26" i="42"/>
  <c r="H57" i="42"/>
  <c r="N52" i="42"/>
  <c r="N7" i="42"/>
  <c r="O58" i="42"/>
  <c r="N58" i="42"/>
  <c r="N36" i="42"/>
  <c r="N56" i="42"/>
  <c r="O47" i="42"/>
  <c r="N32" i="42"/>
  <c r="N30" i="42"/>
  <c r="N53" i="42"/>
  <c r="N40" i="42"/>
  <c r="O24" i="42"/>
  <c r="O40" i="42"/>
  <c r="O57" i="42"/>
  <c r="N57" i="42"/>
  <c r="N29" i="42"/>
  <c r="N18" i="42"/>
  <c r="O51" i="42"/>
  <c r="N24" i="42"/>
  <c r="O7" i="42"/>
  <c r="N45" i="42"/>
  <c r="O43" i="42"/>
  <c r="O42" i="42"/>
  <c r="N21" i="42"/>
  <c r="N47" i="42"/>
  <c r="O11" i="42"/>
  <c r="O21" i="42"/>
  <c r="O38" i="42"/>
  <c r="O26" i="42"/>
  <c r="O52" i="42"/>
  <c r="N51" i="42"/>
  <c r="N49" i="42"/>
  <c r="N35" i="42"/>
  <c r="O16" i="42"/>
  <c r="O10" i="42"/>
  <c r="O20" i="42"/>
  <c r="N11" i="42"/>
  <c r="O19" i="42"/>
  <c r="N22" i="42"/>
  <c r="N15" i="42"/>
  <c r="O49" i="42"/>
  <c r="N14" i="42"/>
  <c r="O8" i="42"/>
  <c r="N50" i="42"/>
  <c r="N26" i="42"/>
  <c r="O15" i="42"/>
  <c r="N27" i="42"/>
  <c r="N23" i="42"/>
  <c r="O23" i="42"/>
  <c r="O33" i="42"/>
  <c r="N19" i="42"/>
  <c r="N44" i="42"/>
  <c r="N38" i="42"/>
  <c r="N20" i="42"/>
  <c r="N42" i="42"/>
  <c r="N9" i="42"/>
  <c r="N8" i="42"/>
  <c r="N25" i="42"/>
  <c r="N54" i="42"/>
  <c r="O28" i="42"/>
  <c r="N43" i="42"/>
  <c r="N28" i="42"/>
  <c r="N10" i="42"/>
  <c r="O54" i="42"/>
  <c r="O35" i="42"/>
  <c r="N17" i="42"/>
  <c r="O9" i="42"/>
  <c r="N41" i="42"/>
  <c r="O39" i="42"/>
  <c r="N13" i="42"/>
  <c r="O41" i="42"/>
  <c r="N33" i="42"/>
  <c r="N12" i="42"/>
  <c r="O13" i="42"/>
  <c r="N39" i="42"/>
  <c r="N48" i="42"/>
  <c r="O17" i="42"/>
  <c r="N55" i="42"/>
  <c r="O46" i="42"/>
  <c r="N46" i="42"/>
  <c r="O55" i="42"/>
  <c r="N34" i="42"/>
  <c r="O37" i="42"/>
  <c r="N37" i="42"/>
  <c r="N16" i="42"/>
  <c r="O56" i="42"/>
  <c r="O18" i="42"/>
  <c r="O36" i="42"/>
  <c r="O48" i="42"/>
  <c r="O44" i="42"/>
  <c r="O14" i="42"/>
  <c r="O50" i="42"/>
  <c r="O45" i="42"/>
  <c r="O12" i="42"/>
  <c r="O22" i="42"/>
  <c r="O34" i="42"/>
  <c r="O27" i="42"/>
  <c r="O25" i="42"/>
  <c r="K25" i="42" l="1"/>
  <c r="K12" i="42"/>
  <c r="K8" i="42"/>
  <c r="K15" i="42"/>
  <c r="K37" i="42"/>
  <c r="K44" i="42"/>
  <c r="K22" i="42"/>
  <c r="K41" i="42"/>
  <c r="K40" i="42"/>
  <c r="K16" i="42"/>
  <c r="K18" i="42"/>
  <c r="K57" i="42"/>
  <c r="K23" i="42"/>
  <c r="K54" i="42"/>
  <c r="K42" i="42"/>
  <c r="K56" i="42"/>
  <c r="K11" i="42"/>
  <c r="K29" i="42"/>
  <c r="K51" i="42"/>
  <c r="K58" i="42"/>
  <c r="K33" i="42"/>
  <c r="K53" i="42"/>
  <c r="K55" i="42"/>
  <c r="K30" i="42"/>
  <c r="K7" i="42"/>
  <c r="K52" i="42"/>
  <c r="K38" i="42"/>
  <c r="K13" i="42"/>
  <c r="K46" i="42"/>
  <c r="K14" i="42"/>
  <c r="K24" i="42"/>
  <c r="K48" i="42"/>
  <c r="K49" i="42"/>
  <c r="K21" i="42"/>
  <c r="K35" i="42"/>
  <c r="K34" i="42"/>
  <c r="K50" i="42"/>
  <c r="K32" i="42"/>
  <c r="K39" i="42"/>
  <c r="K19" i="42"/>
  <c r="K28" i="42"/>
  <c r="K36" i="42"/>
  <c r="K27" i="42"/>
  <c r="K9" i="42"/>
  <c r="K45" i="42"/>
  <c r="K43" i="42"/>
  <c r="O31" i="42"/>
  <c r="K20" i="42"/>
  <c r="K26" i="42"/>
  <c r="K10" i="42"/>
  <c r="K17" i="42"/>
  <c r="K47" i="42"/>
  <c r="K31" i="42"/>
  <c r="O29" i="42"/>
  <c r="O32" i="42"/>
  <c r="O30" i="42"/>
  <c r="O53" i="42"/>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Q8" i="40"/>
  <c r="F22" i="39" l="1"/>
  <c r="F21" i="39"/>
  <c r="F23" i="39" l="1"/>
  <c r="O3" i="39"/>
  <c r="Y3" i="32" l="1"/>
  <c r="K12" i="32" l="1"/>
  <c r="K37" i="32"/>
  <c r="K69" i="32"/>
  <c r="K2" i="32"/>
  <c r="K52" i="32"/>
  <c r="K26" i="32"/>
  <c r="K56" i="32"/>
  <c r="K30" i="32"/>
  <c r="K68" i="32"/>
  <c r="K19" i="32"/>
  <c r="K66" i="32"/>
  <c r="K70" i="32"/>
  <c r="K41" i="32"/>
  <c r="K35" i="32"/>
  <c r="K82" i="32"/>
  <c r="K46" i="32"/>
  <c r="K93" i="32"/>
  <c r="K73" i="32"/>
  <c r="K45" i="32"/>
  <c r="K28" i="32"/>
  <c r="K54" i="32"/>
  <c r="K60" i="32"/>
  <c r="K49" i="32"/>
  <c r="K11" i="32"/>
  <c r="K51" i="32"/>
  <c r="K22" i="32"/>
  <c r="K83" i="32"/>
  <c r="K4" i="32"/>
  <c r="K47" i="32"/>
  <c r="K65" i="32"/>
  <c r="K81" i="32"/>
  <c r="K20" i="32"/>
  <c r="K48" i="32"/>
  <c r="K38" i="32"/>
  <c r="K40" i="32"/>
  <c r="K34" i="32"/>
  <c r="K78" i="32"/>
  <c r="K84" i="32"/>
  <c r="K89" i="32"/>
  <c r="K61" i="32"/>
  <c r="K62" i="32"/>
  <c r="K67" i="32"/>
  <c r="K8" i="32"/>
  <c r="K13" i="32"/>
  <c r="K79" i="32"/>
  <c r="K85" i="32"/>
  <c r="K16" i="32"/>
  <c r="K44" i="32"/>
  <c r="K63" i="32"/>
  <c r="K18" i="32"/>
  <c r="K71" i="32"/>
  <c r="K75" i="32"/>
  <c r="K6" i="32"/>
  <c r="K86" i="32"/>
  <c r="K10" i="32"/>
  <c r="K27" i="32"/>
  <c r="K36" i="32"/>
  <c r="K31" i="32"/>
  <c r="K17" i="32"/>
  <c r="K9" i="32"/>
  <c r="K42" i="32"/>
  <c r="K15" i="32"/>
  <c r="K24" i="32"/>
  <c r="K29" i="32"/>
  <c r="K74" i="32"/>
  <c r="K64" i="32"/>
  <c r="K33" i="32"/>
  <c r="K21" i="32"/>
  <c r="K43" i="32"/>
  <c r="K80" i="32"/>
  <c r="K87" i="32"/>
  <c r="K57" i="32"/>
  <c r="K58" i="32"/>
  <c r="K91" i="32"/>
  <c r="K23" i="32"/>
  <c r="K14" i="32"/>
  <c r="K50" i="32"/>
  <c r="K72" i="32"/>
  <c r="K76" i="32"/>
  <c r="K25" i="32"/>
  <c r="K88" i="32"/>
  <c r="K90" i="32"/>
  <c r="K7" i="32"/>
  <c r="K3" i="32"/>
  <c r="K59" i="32"/>
  <c r="K32" i="32"/>
  <c r="K39" i="32"/>
  <c r="K5" i="32"/>
  <c r="K77" i="32"/>
  <c r="K53" i="32"/>
  <c r="K55" i="32"/>
  <c r="K92" i="32"/>
  <c r="J37" i="33"/>
  <c r="J50" i="33"/>
  <c r="J64" i="33"/>
  <c r="J79" i="33"/>
  <c r="J92" i="33"/>
  <c r="J40" i="33"/>
  <c r="J54" i="33"/>
  <c r="J66" i="33"/>
  <c r="J41" i="33"/>
  <c r="J2" i="33"/>
  <c r="J7" i="33"/>
  <c r="J32" i="33"/>
  <c r="J49" i="33"/>
  <c r="J17" i="33"/>
  <c r="J14" i="33"/>
  <c r="J27" i="33"/>
  <c r="J80" i="33"/>
  <c r="J39" i="33"/>
  <c r="J53" i="33"/>
  <c r="J65" i="33"/>
  <c r="J81" i="33"/>
  <c r="J82" i="33"/>
  <c r="J20" i="33"/>
  <c r="J68" i="33"/>
  <c r="J15" i="33"/>
  <c r="J42" i="33"/>
  <c r="J55" i="33"/>
  <c r="J69" i="33"/>
  <c r="J83" i="33"/>
  <c r="J30" i="33"/>
  <c r="J43" i="33"/>
  <c r="J71" i="33"/>
  <c r="J5" i="33"/>
  <c r="J29" i="33"/>
  <c r="J10" i="33"/>
  <c r="J91" i="33"/>
  <c r="J56" i="33"/>
  <c r="J73" i="33"/>
  <c r="J74" i="33"/>
  <c r="J31" i="33"/>
  <c r="J13" i="33"/>
  <c r="J57" i="33"/>
  <c r="J28" i="33"/>
  <c r="J87" i="33"/>
  <c r="J12" i="33"/>
  <c r="J46" i="33"/>
  <c r="J18" i="33"/>
  <c r="J88" i="33"/>
  <c r="J3" i="33"/>
  <c r="J33" i="33"/>
  <c r="J63" i="33"/>
  <c r="J78" i="33"/>
  <c r="J72" i="33"/>
  <c r="J90" i="33"/>
  <c r="J25" i="33"/>
  <c r="J48" i="33"/>
  <c r="J26" i="33"/>
  <c r="J4" i="33"/>
  <c r="J24" i="33"/>
  <c r="J75" i="33"/>
  <c r="J11" i="33"/>
  <c r="J86" i="33"/>
  <c r="J44" i="33"/>
  <c r="J6" i="33"/>
  <c r="J77" i="33"/>
  <c r="J36" i="33"/>
  <c r="J58" i="33"/>
  <c r="J67" i="33"/>
  <c r="J21" i="33"/>
  <c r="J47" i="33"/>
  <c r="J51" i="33"/>
  <c r="J60" i="33"/>
  <c r="J61" i="33"/>
  <c r="J84" i="33"/>
  <c r="J16" i="33"/>
  <c r="J35" i="33"/>
  <c r="J52" i="33"/>
  <c r="J76" i="33"/>
  <c r="J34" i="33"/>
  <c r="J45" i="33"/>
  <c r="J8" i="33"/>
  <c r="J62" i="33"/>
  <c r="J19" i="33"/>
  <c r="J59" i="33"/>
  <c r="J38" i="33"/>
  <c r="J85" i="33"/>
  <c r="J9" i="33"/>
  <c r="J89" i="33"/>
  <c r="J22" i="33"/>
  <c r="J23" i="33"/>
  <c r="J70" i="33"/>
  <c r="T2" i="32"/>
  <c r="Q7" i="40"/>
  <c r="F19" i="39" l="1"/>
  <c r="B5" i="40"/>
  <c r="L46" i="41"/>
  <c r="L55" i="40"/>
  <c r="L56" i="40"/>
  <c r="L57" i="40"/>
  <c r="L58" i="40"/>
  <c r="L59" i="40"/>
  <c r="M55" i="40"/>
  <c r="M56" i="40"/>
  <c r="M57" i="40"/>
  <c r="M58" i="40"/>
  <c r="M59" i="40"/>
  <c r="T3" i="1"/>
  <c r="C21" i="41" l="1"/>
  <c r="C3" i="41"/>
  <c r="F20" i="39"/>
  <c r="C13" i="41"/>
  <c r="C24" i="41"/>
  <c r="C20" i="41"/>
  <c r="D42" i="41"/>
  <c r="C23" i="41"/>
  <c r="C11" i="41"/>
  <c r="D19" i="41"/>
  <c r="D18" i="41"/>
  <c r="D17" i="41"/>
  <c r="C10" i="41"/>
  <c r="D41" i="41"/>
  <c r="D40" i="41"/>
  <c r="C22" i="41"/>
  <c r="D16" i="41"/>
  <c r="C9" i="41"/>
  <c r="D38" i="41"/>
  <c r="D37" i="41"/>
  <c r="C19" i="41"/>
  <c r="D31" i="41"/>
  <c r="C36" i="41"/>
  <c r="D30" i="41"/>
  <c r="D6" i="41"/>
  <c r="D29" i="41"/>
  <c r="D5" i="41"/>
  <c r="C34" i="41"/>
  <c r="D28" i="41"/>
  <c r="D4" i="41"/>
  <c r="C33" i="41"/>
  <c r="C8" i="41"/>
  <c r="C32" i="41"/>
  <c r="C7" i="41"/>
  <c r="D21" i="41"/>
  <c r="D39" i="41"/>
  <c r="D15" i="41"/>
  <c r="D14" i="41"/>
  <c r="C43" i="41"/>
  <c r="D7" i="41"/>
  <c r="C35" i="41"/>
  <c r="D27" i="41"/>
  <c r="D43" i="41"/>
  <c r="D26" i="41"/>
  <c r="C31" i="41"/>
  <c r="C12" i="41"/>
  <c r="D25" i="41"/>
  <c r="C30" i="41"/>
  <c r="C6" i="41"/>
  <c r="D24" i="41"/>
  <c r="C29" i="41"/>
  <c r="C17" i="41"/>
  <c r="D35" i="41"/>
  <c r="D11" i="41"/>
  <c r="C40" i="41"/>
  <c r="C28" i="41"/>
  <c r="C16" i="41"/>
  <c r="C4" i="41"/>
  <c r="D34" i="41"/>
  <c r="D22" i="41"/>
  <c r="D10" i="41"/>
  <c r="C39" i="41"/>
  <c r="M46" i="41" s="1"/>
  <c r="C27" i="41"/>
  <c r="C15" i="41"/>
  <c r="D13" i="41"/>
  <c r="C42" i="41"/>
  <c r="C18" i="41"/>
  <c r="D36" i="41"/>
  <c r="D12" i="41"/>
  <c r="C41" i="41"/>
  <c r="C5" i="41"/>
  <c r="D23" i="41"/>
  <c r="C38" i="41"/>
  <c r="C14" i="41"/>
  <c r="D33" i="41"/>
  <c r="D9" i="41"/>
  <c r="C26" i="41"/>
  <c r="D3" i="41"/>
  <c r="D32" i="41"/>
  <c r="D20" i="41"/>
  <c r="D8"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N44" i="39" s="1"/>
  <c r="O44" i="39" s="1"/>
  <c r="P45" i="39" s="1"/>
  <c r="R45" i="39" s="1"/>
  <c r="L43" i="40"/>
  <c r="M42" i="40"/>
  <c r="L42" i="40"/>
  <c r="M41" i="40"/>
  <c r="L41" i="40"/>
  <c r="M40" i="40"/>
  <c r="L40" i="40"/>
  <c r="M39" i="40"/>
  <c r="L39" i="40"/>
  <c r="M38" i="40"/>
  <c r="L38" i="40"/>
  <c r="M37" i="40"/>
  <c r="N38" i="39" s="1"/>
  <c r="O38" i="39" s="1"/>
  <c r="P39" i="39" s="1"/>
  <c r="R39" i="39" s="1"/>
  <c r="L37" i="40"/>
  <c r="M36" i="40"/>
  <c r="L36" i="40"/>
  <c r="M35" i="40"/>
  <c r="L35" i="40"/>
  <c r="M34" i="40"/>
  <c r="L34" i="40"/>
  <c r="M33" i="40"/>
  <c r="L33" i="40"/>
  <c r="M32" i="40"/>
  <c r="L32" i="40"/>
  <c r="M31" i="40"/>
  <c r="N32" i="39" s="1"/>
  <c r="O32" i="39" s="1"/>
  <c r="P33" i="39" s="1"/>
  <c r="R33" i="39" s="1"/>
  <c r="L31" i="40"/>
  <c r="M30" i="40"/>
  <c r="L30" i="40"/>
  <c r="M29" i="40"/>
  <c r="L29" i="40"/>
  <c r="M28" i="40"/>
  <c r="L28" i="40"/>
  <c r="M27" i="40"/>
  <c r="L27" i="40"/>
  <c r="M26" i="40"/>
  <c r="L26" i="40"/>
  <c r="M25" i="40"/>
  <c r="N26" i="39" s="1"/>
  <c r="O26" i="39" s="1"/>
  <c r="P27" i="39" s="1"/>
  <c r="R27" i="39" s="1"/>
  <c r="L25" i="40"/>
  <c r="M24" i="40"/>
  <c r="L24" i="40"/>
  <c r="M23" i="40"/>
  <c r="L23" i="40"/>
  <c r="M22" i="40"/>
  <c r="L22" i="40"/>
  <c r="M21" i="40"/>
  <c r="L21" i="40"/>
  <c r="M20" i="40"/>
  <c r="L20" i="40"/>
  <c r="M19" i="40"/>
  <c r="N20" i="39" s="1"/>
  <c r="O20" i="39" s="1"/>
  <c r="P21" i="39" s="1"/>
  <c r="R21" i="39" s="1"/>
  <c r="L19" i="40"/>
  <c r="M18" i="40"/>
  <c r="L18" i="40"/>
  <c r="M17" i="40"/>
  <c r="L17" i="40"/>
  <c r="M16" i="40"/>
  <c r="L16" i="40"/>
  <c r="M15" i="40"/>
  <c r="L15" i="40"/>
  <c r="M14" i="40"/>
  <c r="L14" i="40"/>
  <c r="M13" i="40"/>
  <c r="N14" i="39" s="1"/>
  <c r="O14" i="39" s="1"/>
  <c r="P15" i="39" s="1"/>
  <c r="R15" i="39" s="1"/>
  <c r="L13" i="40"/>
  <c r="M12" i="40"/>
  <c r="L12" i="40"/>
  <c r="M11" i="40"/>
  <c r="L11" i="40"/>
  <c r="M10" i="40"/>
  <c r="L10" i="40"/>
  <c r="M9" i="40"/>
  <c r="L9" i="40"/>
  <c r="M8" i="40"/>
  <c r="L8" i="40"/>
  <c r="M7" i="40"/>
  <c r="N8" i="39" s="1"/>
  <c r="O8" i="39" s="1"/>
  <c r="P9" i="39" s="1"/>
  <c r="R9" i="39" s="1"/>
  <c r="L7" i="40"/>
  <c r="H4" i="40"/>
  <c r="N3" i="40"/>
  <c r="H2" i="40"/>
  <c r="B2" i="40"/>
  <c r="B1" i="40"/>
  <c r="N10" i="39" l="1"/>
  <c r="O10" i="39" s="1"/>
  <c r="P11" i="39" s="1"/>
  <c r="R11" i="39" s="1"/>
  <c r="N16" i="39"/>
  <c r="O16" i="39" s="1"/>
  <c r="P17" i="39" s="1"/>
  <c r="R17" i="39" s="1"/>
  <c r="N22" i="39"/>
  <c r="O22" i="39" s="1"/>
  <c r="P23" i="39" s="1"/>
  <c r="R23" i="39" s="1"/>
  <c r="N28" i="39"/>
  <c r="O28" i="39" s="1"/>
  <c r="P29" i="39" s="1"/>
  <c r="R29" i="39" s="1"/>
  <c r="N34" i="39"/>
  <c r="O34" i="39" s="1"/>
  <c r="P35" i="39" s="1"/>
  <c r="R35" i="39" s="1"/>
  <c r="N46" i="39"/>
  <c r="O46" i="39" s="1"/>
  <c r="P47" i="39" s="1"/>
  <c r="R47" i="39" s="1"/>
  <c r="N13" i="39"/>
  <c r="O13" i="39" s="1"/>
  <c r="P14" i="39" s="1"/>
  <c r="R14" i="39" s="1"/>
  <c r="N25" i="39"/>
  <c r="O25" i="39" s="1"/>
  <c r="P26" i="39" s="1"/>
  <c r="R26" i="39" s="1"/>
  <c r="N37" i="39"/>
  <c r="O37" i="39" s="1"/>
  <c r="P38" i="39" s="1"/>
  <c r="R38" i="39" s="1"/>
  <c r="N31" i="39"/>
  <c r="O31" i="39" s="1"/>
  <c r="P32" i="39" s="1"/>
  <c r="R32" i="39" s="1"/>
  <c r="N9" i="39"/>
  <c r="O9" i="39" s="1"/>
  <c r="P10" i="39" s="1"/>
  <c r="R10" i="39" s="1"/>
  <c r="N15" i="39"/>
  <c r="O15" i="39" s="1"/>
  <c r="P16" i="39" s="1"/>
  <c r="R16" i="39" s="1"/>
  <c r="N21" i="39"/>
  <c r="O21" i="39" s="1"/>
  <c r="P22" i="39" s="1"/>
  <c r="R22" i="39" s="1"/>
  <c r="N27" i="39"/>
  <c r="O27" i="39" s="1"/>
  <c r="P28" i="39" s="1"/>
  <c r="R28" i="39" s="1"/>
  <c r="N33" i="39"/>
  <c r="O33" i="39" s="1"/>
  <c r="P34" i="39" s="1"/>
  <c r="R34" i="39" s="1"/>
  <c r="N39" i="39"/>
  <c r="O39" i="39" s="1"/>
  <c r="P40" i="39" s="1"/>
  <c r="R40" i="39" s="1"/>
  <c r="N45" i="39"/>
  <c r="O45" i="39" s="1"/>
  <c r="P46" i="39" s="1"/>
  <c r="R46" i="39" s="1"/>
  <c r="N19" i="39"/>
  <c r="O19" i="39" s="1"/>
  <c r="P20" i="39" s="1"/>
  <c r="R20" i="39" s="1"/>
  <c r="N43" i="39"/>
  <c r="O43" i="39" s="1"/>
  <c r="P44" i="39" s="1"/>
  <c r="R44" i="39" s="1"/>
  <c r="N40" i="39"/>
  <c r="O40" i="39" s="1"/>
  <c r="P41" i="39" s="1"/>
  <c r="R41" i="39" s="1"/>
  <c r="W8" i="39"/>
  <c r="N11" i="39"/>
  <c r="O11" i="39" s="1"/>
  <c r="P12" i="39" s="1"/>
  <c r="R12" i="39" s="1"/>
  <c r="N17" i="39"/>
  <c r="O17" i="39" s="1"/>
  <c r="P18" i="39" s="1"/>
  <c r="R18" i="39" s="1"/>
  <c r="N23" i="39"/>
  <c r="O23" i="39" s="1"/>
  <c r="P24" i="39" s="1"/>
  <c r="R24" i="39" s="1"/>
  <c r="N29" i="39"/>
  <c r="O29" i="39" s="1"/>
  <c r="P30" i="39" s="1"/>
  <c r="R30" i="39" s="1"/>
  <c r="N35" i="39"/>
  <c r="O35" i="39" s="1"/>
  <c r="P36" i="39" s="1"/>
  <c r="R36" i="39" s="1"/>
  <c r="N41" i="39"/>
  <c r="O41" i="39" s="1"/>
  <c r="P42" i="39" s="1"/>
  <c r="R42" i="39" s="1"/>
  <c r="N47" i="39"/>
  <c r="O47" i="39" s="1"/>
  <c r="P48" i="39" s="1"/>
  <c r="R48" i="39" s="1"/>
  <c r="N12" i="39"/>
  <c r="O12" i="39" s="1"/>
  <c r="P13" i="39" s="1"/>
  <c r="R13" i="39" s="1"/>
  <c r="N18" i="39"/>
  <c r="O18" i="39" s="1"/>
  <c r="P19" i="39" s="1"/>
  <c r="R19" i="39" s="1"/>
  <c r="N24" i="39"/>
  <c r="O24" i="39" s="1"/>
  <c r="P25" i="39" s="1"/>
  <c r="R25" i="39" s="1"/>
  <c r="N30" i="39"/>
  <c r="O30" i="39" s="1"/>
  <c r="P31" i="39" s="1"/>
  <c r="R31" i="39" s="1"/>
  <c r="N36" i="39"/>
  <c r="O36" i="39" s="1"/>
  <c r="P37" i="39" s="1"/>
  <c r="R37" i="39" s="1"/>
  <c r="N42" i="39"/>
  <c r="O42" i="39" s="1"/>
  <c r="P43" i="39" s="1"/>
  <c r="R43" i="39" s="1"/>
  <c r="N48" i="39"/>
  <c r="O48" i="39" s="1"/>
  <c r="B3" i="40"/>
  <c r="F9" i="40" l="1"/>
  <c r="G9" i="40" s="1"/>
  <c r="F21" i="40"/>
  <c r="F33" i="40"/>
  <c r="F45" i="40"/>
  <c r="F57" i="40"/>
  <c r="G57" i="40" s="1"/>
  <c r="F50" i="40"/>
  <c r="G21" i="40"/>
  <c r="F27" i="40"/>
  <c r="G27" i="40" s="1"/>
  <c r="F40" i="40"/>
  <c r="G40" i="40" s="1"/>
  <c r="F29" i="40"/>
  <c r="G29" i="40" s="1"/>
  <c r="F44" i="40"/>
  <c r="G44" i="40" s="1"/>
  <c r="F10" i="40"/>
  <c r="G10" i="40" s="1"/>
  <c r="F22" i="40"/>
  <c r="G22" i="40" s="1"/>
  <c r="F34" i="40"/>
  <c r="G34" i="40" s="1"/>
  <c r="F46" i="40"/>
  <c r="F58" i="40"/>
  <c r="G58" i="40" s="1"/>
  <c r="F51" i="40"/>
  <c r="G51" i="40" s="1"/>
  <c r="F16" i="40"/>
  <c r="G16" i="40" s="1"/>
  <c r="F41" i="40"/>
  <c r="G41" i="40" s="1"/>
  <c r="F32" i="40"/>
  <c r="G32" i="40" s="1"/>
  <c r="F11" i="40"/>
  <c r="G11" i="40" s="1"/>
  <c r="F23" i="40"/>
  <c r="G23" i="40" s="1"/>
  <c r="F35" i="40"/>
  <c r="G35" i="40" s="1"/>
  <c r="F47" i="40"/>
  <c r="G47" i="40" s="1"/>
  <c r="F59" i="40"/>
  <c r="G59" i="40" s="1"/>
  <c r="F38" i="40"/>
  <c r="G38" i="40" s="1"/>
  <c r="F56" i="40"/>
  <c r="G56" i="40" s="1"/>
  <c r="F12" i="40"/>
  <c r="G12" i="40" s="1"/>
  <c r="F24" i="40"/>
  <c r="G24" i="40" s="1"/>
  <c r="F36" i="40"/>
  <c r="G36" i="40" s="1"/>
  <c r="F48" i="40"/>
  <c r="G48" i="40" s="1"/>
  <c r="F26" i="40"/>
  <c r="G26" i="40" s="1"/>
  <c r="G33" i="40"/>
  <c r="F39" i="40"/>
  <c r="G39" i="40" s="1"/>
  <c r="F28" i="40"/>
  <c r="G28" i="40" s="1"/>
  <c r="F53" i="40"/>
  <c r="G53" i="40" s="1"/>
  <c r="F8" i="40"/>
  <c r="G8" i="40" s="1"/>
  <c r="F13" i="40"/>
  <c r="G13" i="40" s="1"/>
  <c r="F25" i="40"/>
  <c r="G25" i="40" s="1"/>
  <c r="F37" i="40"/>
  <c r="G37" i="40" s="1"/>
  <c r="F49" i="40"/>
  <c r="G49" i="40" s="1"/>
  <c r="F14" i="40"/>
  <c r="G14" i="40" s="1"/>
  <c r="G45" i="40"/>
  <c r="F15" i="40"/>
  <c r="G15" i="40" s="1"/>
  <c r="G46" i="40"/>
  <c r="F52" i="40"/>
  <c r="G52" i="40" s="1"/>
  <c r="F17" i="40"/>
  <c r="G17" i="40" s="1"/>
  <c r="F18" i="40"/>
  <c r="G18" i="40" s="1"/>
  <c r="F30" i="40"/>
  <c r="G30" i="40" s="1"/>
  <c r="F42" i="40"/>
  <c r="G42" i="40" s="1"/>
  <c r="F54" i="40"/>
  <c r="G54" i="40" s="1"/>
  <c r="F7" i="40"/>
  <c r="G7" i="40" s="1"/>
  <c r="F19" i="40"/>
  <c r="G19" i="40" s="1"/>
  <c r="F31" i="40"/>
  <c r="G31" i="40" s="1"/>
  <c r="F43" i="40"/>
  <c r="G43" i="40" s="1"/>
  <c r="F55" i="40"/>
  <c r="G55" i="40" s="1"/>
  <c r="G50" i="40"/>
  <c r="F20" i="40"/>
  <c r="G20" i="40" s="1"/>
  <c r="P3" i="40"/>
  <c r="C40" i="39"/>
  <c r="C43" i="39"/>
  <c r="C42" i="39"/>
  <c r="C41" i="39"/>
  <c r="H32" i="40" l="1"/>
  <c r="H14" i="40"/>
  <c r="H12" i="40"/>
  <c r="H28" i="40"/>
  <c r="H38" i="40"/>
  <c r="H54" i="40"/>
  <c r="H59" i="40"/>
  <c r="H16" i="40"/>
  <c r="H58" i="40"/>
  <c r="H18" i="40"/>
  <c r="H35" i="40"/>
  <c r="H29" i="40"/>
  <c r="H20" i="40"/>
  <c r="H25" i="40"/>
  <c r="H8" i="40"/>
  <c r="H34" i="40"/>
  <c r="H42" i="40"/>
  <c r="H13" i="40"/>
  <c r="H11" i="40"/>
  <c r="H22" i="40"/>
  <c r="H41" i="40"/>
  <c r="H30" i="40"/>
  <c r="H52" i="40"/>
  <c r="H48" i="40"/>
  <c r="H15" i="40"/>
  <c r="H53" i="40"/>
  <c r="H36" i="40"/>
  <c r="H17" i="40"/>
  <c r="H46" i="40"/>
  <c r="H21" i="40"/>
  <c r="H10" i="40"/>
  <c r="H45" i="40"/>
  <c r="H49" i="40"/>
  <c r="H23" i="40"/>
  <c r="H40" i="40"/>
  <c r="H50" i="40"/>
  <c r="H51" i="40"/>
  <c r="H24" i="40"/>
  <c r="H47" i="40"/>
  <c r="H27" i="40"/>
  <c r="H26" i="40"/>
  <c r="H31" i="40"/>
  <c r="H7" i="40"/>
  <c r="H9" i="40"/>
  <c r="H37" i="40"/>
  <c r="H44" i="40"/>
  <c r="H55" i="40"/>
  <c r="H57" i="40"/>
  <c r="H56" i="40"/>
  <c r="H33" i="40"/>
  <c r="H43" i="40"/>
  <c r="H19" i="40"/>
  <c r="H39" i="40"/>
  <c r="O21" i="40"/>
  <c r="O55" i="40"/>
  <c r="O20" i="40"/>
  <c r="O45"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47" i="40"/>
  <c r="K17" i="40"/>
  <c r="K46" i="40"/>
  <c r="K8" i="40"/>
  <c r="K35" i="40"/>
  <c r="K37" i="40"/>
  <c r="O59" i="40"/>
  <c r="K43" i="40"/>
  <c r="K26" i="40"/>
  <c r="K32" i="40"/>
  <c r="K33" i="40"/>
  <c r="K24" i="40"/>
  <c r="K19" i="40"/>
  <c r="K54" i="40"/>
  <c r="K20" i="40"/>
  <c r="K14" i="40"/>
  <c r="K40" i="40"/>
  <c r="K55" i="40"/>
  <c r="K57" i="40"/>
  <c r="K18" i="40"/>
  <c r="K15" i="40"/>
  <c r="K23" i="40"/>
  <c r="K44" i="40"/>
  <c r="K45" i="40"/>
  <c r="K59" i="40"/>
  <c r="K12" i="40"/>
  <c r="K56" i="40"/>
  <c r="K42" i="40"/>
  <c r="K49" i="40"/>
  <c r="K51" i="40"/>
  <c r="K9" i="40"/>
  <c r="K53" i="40"/>
  <c r="K7" i="40"/>
  <c r="K13" i="40"/>
  <c r="K39" i="40"/>
  <c r="K38" i="40"/>
  <c r="K34" i="40"/>
  <c r="K29" i="40"/>
  <c r="K25" i="40"/>
  <c r="K28" i="40"/>
  <c r="K31" i="40"/>
  <c r="K41" i="40"/>
  <c r="K16" i="40"/>
  <c r="K48" i="40"/>
  <c r="K52" i="40"/>
  <c r="K11" i="40"/>
  <c r="K10" i="40"/>
  <c r="K58" i="40"/>
  <c r="K50" i="40"/>
  <c r="K27" i="40"/>
  <c r="K30" i="40"/>
  <c r="K21" i="40"/>
  <c r="K36" i="40"/>
  <c r="X8" i="39"/>
  <c r="Q12" i="39" l="1"/>
  <c r="Q34" i="39"/>
  <c r="Q19" i="39"/>
  <c r="Q42" i="39"/>
  <c r="Q29" i="39"/>
  <c r="Q43" i="39"/>
  <c r="Q48" i="39"/>
  <c r="Q30" i="39"/>
  <c r="Q17" i="39"/>
  <c r="Q25" i="39"/>
  <c r="Q24" i="39"/>
  <c r="Q11" i="39"/>
  <c r="Q15" i="39"/>
  <c r="Q14" i="39"/>
  <c r="Q35" i="39"/>
  <c r="Q36" i="39"/>
  <c r="Q22" i="39"/>
  <c r="Q44" i="39"/>
  <c r="Q18" i="39"/>
  <c r="Q10" i="39"/>
  <c r="Q40" i="39"/>
  <c r="Q41" i="39"/>
  <c r="Q13" i="39"/>
  <c r="Q39" i="39"/>
  <c r="Q45" i="39"/>
  <c r="Q37" i="39"/>
  <c r="Q8" i="39"/>
  <c r="Q31" i="39"/>
  <c r="Q38" i="39"/>
  <c r="Q20" i="39"/>
  <c r="Q47" i="39"/>
  <c r="Q32" i="39"/>
  <c r="Q33" i="39"/>
  <c r="Q21" i="39"/>
  <c r="Q16" i="39"/>
  <c r="Q9" i="39"/>
  <c r="Q28" i="39"/>
  <c r="Q26" i="39"/>
  <c r="Q23" i="39"/>
  <c r="Q27" i="39"/>
  <c r="Q46" i="39"/>
  <c r="H2" i="37"/>
  <c r="L49" i="37" l="1"/>
  <c r="M49" i="37"/>
  <c r="C107" i="32"/>
  <c r="C109" i="32" s="1"/>
  <c r="C110" i="32" s="1"/>
  <c r="C108" i="32" l="1"/>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F39" i="37" l="1"/>
  <c r="G39" i="37" s="1"/>
  <c r="F40" i="37"/>
  <c r="G40" i="37" s="1"/>
  <c r="F36" i="37"/>
  <c r="G36" i="37" s="1"/>
  <c r="F30" i="37"/>
  <c r="G30" i="37" s="1"/>
  <c r="F38" i="37"/>
  <c r="G38" i="37" s="1"/>
  <c r="F28" i="37"/>
  <c r="G28" i="37" s="1"/>
  <c r="F7" i="37"/>
  <c r="G7" i="37" s="1"/>
  <c r="F42" i="37"/>
  <c r="G42" i="37" s="1"/>
  <c r="F16" i="37"/>
  <c r="G16" i="37" s="1"/>
  <c r="F31" i="37"/>
  <c r="G31" i="37" s="1"/>
  <c r="F25" i="37"/>
  <c r="G25" i="37" s="1"/>
  <c r="F35" i="37"/>
  <c r="G35" i="37" s="1"/>
  <c r="F21" i="37"/>
  <c r="G21" i="37" s="1"/>
  <c r="F11" i="37"/>
  <c r="G11" i="37" s="1"/>
  <c r="F48" i="37"/>
  <c r="G48"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13" i="37"/>
  <c r="G13" i="37" s="1"/>
  <c r="F26" i="37"/>
  <c r="G26" i="37" s="1"/>
  <c r="F23" i="37"/>
  <c r="G23" i="37" s="1"/>
  <c r="F27" i="37"/>
  <c r="G27" i="37" s="1"/>
  <c r="F46" i="37"/>
  <c r="G46" i="37" s="1"/>
  <c r="F37" i="37"/>
  <c r="G37" i="37" s="1"/>
  <c r="F10" i="37"/>
  <c r="G10" i="37" s="1"/>
  <c r="F34" i="37"/>
  <c r="G34" i="37" s="1"/>
  <c r="F12" i="37"/>
  <c r="G12" i="37" s="1"/>
  <c r="F47" i="37"/>
  <c r="G47" i="37" s="1"/>
  <c r="F41" i="37"/>
  <c r="G41" i="37" s="1"/>
  <c r="F19" i="37"/>
  <c r="G19" i="37" s="1"/>
  <c r="F22" i="37"/>
  <c r="G22" i="37" s="1"/>
  <c r="F45" i="37"/>
  <c r="G45" i="37" s="1"/>
  <c r="F9" i="37"/>
  <c r="G9" i="37" s="1"/>
  <c r="F33" i="37"/>
  <c r="G33" i="37" s="1"/>
  <c r="P3" i="37"/>
  <c r="H49" i="37" l="1"/>
  <c r="H7" i="37"/>
  <c r="H24" i="37"/>
  <c r="H17" i="37"/>
  <c r="H22" i="37"/>
  <c r="H23" i="37"/>
  <c r="H34" i="37"/>
  <c r="H11" i="37"/>
  <c r="H35" i="37"/>
  <c r="H38" i="37"/>
  <c r="H9" i="37"/>
  <c r="H25" i="37"/>
  <c r="H28" i="37"/>
  <c r="H26" i="37"/>
  <c r="H29" i="37"/>
  <c r="H31" i="37"/>
  <c r="H47" i="37"/>
  <c r="H13" i="37"/>
  <c r="H45" i="37"/>
  <c r="H20" i="37"/>
  <c r="H16" i="37"/>
  <c r="H19" i="37"/>
  <c r="H27" i="37"/>
  <c r="H21" i="37"/>
  <c r="H10" i="37"/>
  <c r="H44" i="37"/>
  <c r="H48" i="37"/>
  <c r="H32" i="37"/>
  <c r="H14" i="37"/>
  <c r="H36" i="37"/>
  <c r="H15" i="37"/>
  <c r="H41" i="37"/>
  <c r="H18" i="37"/>
  <c r="H12" i="37"/>
  <c r="H8" i="37"/>
  <c r="H40" i="37"/>
  <c r="H37" i="37"/>
  <c r="H43" i="37"/>
  <c r="H30" i="37"/>
  <c r="H33" i="37"/>
  <c r="H42" i="37"/>
  <c r="H46" i="37"/>
  <c r="H3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27" i="24" l="1"/>
  <c r="G27" i="24" s="1"/>
  <c r="F15" i="24"/>
  <c r="G15" i="24" s="1"/>
  <c r="F35" i="24"/>
  <c r="G35" i="24" s="1"/>
  <c r="F32" i="24"/>
  <c r="G32" i="24" s="1"/>
  <c r="F30" i="24"/>
  <c r="G30" i="24" s="1"/>
  <c r="F26" i="24"/>
  <c r="G26" i="24" s="1"/>
  <c r="F11" i="24"/>
  <c r="G11" i="24" s="1"/>
  <c r="F22" i="24"/>
  <c r="G22" i="24" s="1"/>
  <c r="F31" i="24"/>
  <c r="G31" i="24" s="1"/>
  <c r="F9" i="24"/>
  <c r="G9" i="24" s="1"/>
  <c r="F17" i="24"/>
  <c r="G17" i="24" s="1"/>
  <c r="F24" i="24"/>
  <c r="G24" i="24" s="1"/>
  <c r="F34" i="24"/>
  <c r="G34" i="24" s="1"/>
  <c r="F33" i="24"/>
  <c r="G33" i="24" s="1"/>
  <c r="F14" i="24"/>
  <c r="G14" i="24" s="1"/>
  <c r="F8" i="24"/>
  <c r="G8" i="24" s="1"/>
  <c r="F25" i="24"/>
  <c r="G25" i="24" s="1"/>
  <c r="F7" i="24"/>
  <c r="G7" i="24" s="1"/>
  <c r="F13" i="24"/>
  <c r="G13" i="24" s="1"/>
  <c r="F19" i="24"/>
  <c r="G19" i="24" s="1"/>
  <c r="F12" i="24"/>
  <c r="G12" i="24" s="1"/>
  <c r="F23" i="24"/>
  <c r="G23" i="24" s="1"/>
  <c r="F20" i="24"/>
  <c r="G20" i="24" s="1"/>
  <c r="F10" i="24"/>
  <c r="G10" i="24" s="1"/>
  <c r="F28" i="24"/>
  <c r="G28" i="24" s="1"/>
  <c r="F18" i="24"/>
  <c r="G18" i="24" s="1"/>
  <c r="F16" i="24"/>
  <c r="G16" i="24" s="1"/>
  <c r="F29" i="24"/>
  <c r="G29" i="24" s="1"/>
  <c r="F21" i="24"/>
  <c r="G21" i="24" s="1"/>
  <c r="P3" i="24"/>
  <c r="H11" i="24" l="1"/>
  <c r="H25" i="24"/>
  <c r="H13" i="24"/>
  <c r="H22" i="24"/>
  <c r="H10" i="24"/>
  <c r="H33" i="24"/>
  <c r="H20" i="24"/>
  <c r="H21" i="24"/>
  <c r="H26" i="24"/>
  <c r="H32" i="24"/>
  <c r="H7" i="24"/>
  <c r="H29" i="24"/>
  <c r="H17" i="24"/>
  <c r="H12" i="24"/>
  <c r="H16" i="24"/>
  <c r="H18" i="24"/>
  <c r="H14" i="24"/>
  <c r="H19" i="24"/>
  <c r="H30" i="24"/>
  <c r="H24" i="24"/>
  <c r="H31" i="24"/>
  <c r="H34" i="24"/>
  <c r="H35" i="24"/>
  <c r="H15" i="24"/>
  <c r="H9" i="24"/>
  <c r="H8" i="24"/>
  <c r="H27" i="24"/>
  <c r="H23" i="24"/>
  <c r="H28"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AE16" i="7" l="1"/>
  <c r="AE28" i="7"/>
  <c r="AE34" i="7"/>
  <c r="AE26" i="7"/>
  <c r="AE17" i="7"/>
  <c r="AE29" i="7"/>
  <c r="AE21" i="7"/>
  <c r="AE18" i="7"/>
  <c r="AE30" i="7"/>
  <c r="AE33" i="7"/>
  <c r="AE15" i="7"/>
  <c r="AE19" i="7"/>
  <c r="AE31" i="7"/>
  <c r="AE10" i="7"/>
  <c r="AE20" i="7"/>
  <c r="AE32" i="7"/>
  <c r="AE22" i="7"/>
  <c r="AE9" i="7"/>
  <c r="AE11" i="7"/>
  <c r="AE23" i="7"/>
  <c r="AE12" i="7"/>
  <c r="AE24" i="7"/>
  <c r="AE27" i="7"/>
  <c r="AE13" i="7"/>
  <c r="AE25" i="7"/>
  <c r="AE14" i="7"/>
  <c r="M3" i="15"/>
  <c r="B4" i="15"/>
  <c r="B5" i="15"/>
  <c r="K3" i="1"/>
  <c r="H4" i="15" l="1"/>
  <c r="B3" i="15"/>
  <c r="H2" i="15"/>
  <c r="AC1" i="1"/>
  <c r="AD1" i="1" s="1"/>
  <c r="F30" i="15" l="1"/>
  <c r="G30" i="15" s="1"/>
  <c r="F10" i="15"/>
  <c r="G10" i="15" s="1"/>
  <c r="F22" i="15"/>
  <c r="G22" i="15" s="1"/>
  <c r="F17" i="15"/>
  <c r="G17" i="15" s="1"/>
  <c r="F11" i="15"/>
  <c r="G11" i="15" s="1"/>
  <c r="F27" i="15"/>
  <c r="G27" i="15" s="1"/>
  <c r="F28" i="15"/>
  <c r="G28" i="15" s="1"/>
  <c r="F18" i="15"/>
  <c r="G18" i="15" s="1"/>
  <c r="F23" i="15"/>
  <c r="G23" i="15" s="1"/>
  <c r="F16" i="15"/>
  <c r="G16" i="15" s="1"/>
  <c r="F21" i="15"/>
  <c r="G21" i="15" s="1"/>
  <c r="F12" i="15"/>
  <c r="G12" i="15" s="1"/>
  <c r="F25" i="15"/>
  <c r="G25" i="15" s="1"/>
  <c r="F20" i="15"/>
  <c r="G20" i="15" s="1"/>
  <c r="F7" i="15"/>
  <c r="G7" i="15" s="1"/>
  <c r="F24" i="15"/>
  <c r="G24" i="15" s="1"/>
  <c r="F14" i="15"/>
  <c r="G14" i="15" s="1"/>
  <c r="F13" i="15"/>
  <c r="G13" i="15" s="1"/>
  <c r="F26" i="15"/>
  <c r="G26" i="15" s="1"/>
  <c r="F15" i="15"/>
  <c r="G15" i="15" s="1"/>
  <c r="F9" i="15"/>
  <c r="G9"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14" i="15" l="1"/>
  <c r="H8" i="15"/>
  <c r="H9" i="15"/>
  <c r="H7" i="15"/>
  <c r="H17" i="15"/>
  <c r="H11" i="15"/>
  <c r="H31" i="15"/>
  <c r="H12" i="15"/>
  <c r="H26" i="15"/>
  <c r="H19" i="15"/>
  <c r="H15" i="15"/>
  <c r="H13" i="15"/>
  <c r="H24" i="15"/>
  <c r="H29" i="15"/>
  <c r="H21" i="15"/>
  <c r="H16" i="15"/>
  <c r="H22" i="15"/>
  <c r="H30" i="15"/>
  <c r="H20" i="15"/>
  <c r="H27" i="15"/>
  <c r="H23" i="15"/>
  <c r="H18" i="15"/>
  <c r="H28" i="15"/>
  <c r="H10" i="15"/>
  <c r="H25" i="15"/>
  <c r="F39" i="11"/>
  <c r="G39" i="11" s="1"/>
  <c r="F31" i="11"/>
  <c r="G31" i="11" s="1"/>
  <c r="F19" i="11"/>
  <c r="G19" i="11" s="1"/>
  <c r="F21" i="11"/>
  <c r="G21" i="11" s="1"/>
  <c r="F24" i="11"/>
  <c r="G24" i="11" s="1"/>
  <c r="F8" i="11"/>
  <c r="G8" i="11" s="1"/>
  <c r="F14" i="11"/>
  <c r="G14" i="11" s="1"/>
  <c r="F15" i="11"/>
  <c r="G15" i="11" s="1"/>
  <c r="F27" i="11"/>
  <c r="G27" i="11" s="1"/>
  <c r="F35" i="11"/>
  <c r="G35" i="11" s="1"/>
  <c r="F41" i="11"/>
  <c r="G41" i="11" s="1"/>
  <c r="F25" i="11"/>
  <c r="G25" i="11" s="1"/>
  <c r="F28" i="11"/>
  <c r="G28" i="11" s="1"/>
  <c r="F16" i="11"/>
  <c r="G16" i="11" s="1"/>
  <c r="F33" i="11"/>
  <c r="G33" i="11" s="1"/>
  <c r="F40" i="11"/>
  <c r="G40" i="11" s="1"/>
  <c r="F10" i="11"/>
  <c r="G10" i="11" s="1"/>
  <c r="F18" i="11"/>
  <c r="G18" i="11" s="1"/>
  <c r="F29" i="11"/>
  <c r="G29" i="11" s="1"/>
  <c r="F38" i="11"/>
  <c r="G38" i="11" s="1"/>
  <c r="F9" i="11"/>
  <c r="G9" i="11" s="1"/>
  <c r="F30" i="11"/>
  <c r="G30" i="11" s="1"/>
  <c r="F7" i="11"/>
  <c r="G7" i="11" s="1"/>
  <c r="F22" i="11"/>
  <c r="G22" i="11" s="1"/>
  <c r="F17" i="11"/>
  <c r="G17" i="11" s="1"/>
  <c r="F34" i="11"/>
  <c r="G34" i="11" s="1"/>
  <c r="F11" i="11"/>
  <c r="G11" i="11" s="1"/>
  <c r="F26" i="11"/>
  <c r="G26" i="11" s="1"/>
  <c r="F23" i="11"/>
  <c r="G23" i="11" s="1"/>
  <c r="F32" i="11"/>
  <c r="G32" i="11" s="1"/>
  <c r="F12" i="11"/>
  <c r="G12" i="11" s="1"/>
  <c r="F20" i="11"/>
  <c r="G20" i="11" s="1"/>
  <c r="F36" i="11"/>
  <c r="G36"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22" i="6"/>
  <c r="G22" i="6" s="1"/>
  <c r="F34" i="6"/>
  <c r="G34" i="6" s="1"/>
  <c r="F36" i="6"/>
  <c r="G36" i="6" s="1"/>
  <c r="F20" i="6"/>
  <c r="G20" i="6" s="1"/>
  <c r="F40" i="6"/>
  <c r="G40" i="6" s="1"/>
  <c r="F11" i="6"/>
  <c r="G11" i="6" s="1"/>
  <c r="F9" i="6"/>
  <c r="G9" i="6" s="1"/>
  <c r="F25" i="6"/>
  <c r="G25" i="6" s="1"/>
  <c r="F29" i="6"/>
  <c r="G29" i="6" s="1"/>
  <c r="F8" i="6"/>
  <c r="G8" i="6" s="1"/>
  <c r="F28" i="6"/>
  <c r="G28" i="6" s="1"/>
  <c r="F35" i="6"/>
  <c r="G35" i="6" s="1"/>
  <c r="F10" i="6"/>
  <c r="G10" i="6" s="1"/>
  <c r="F23" i="6"/>
  <c r="G23" i="6" s="1"/>
  <c r="F38" i="6"/>
  <c r="G38" i="6" s="1"/>
  <c r="F39" i="6"/>
  <c r="G39" i="6" s="1"/>
  <c r="F14" i="6"/>
  <c r="G14" i="6" s="1"/>
  <c r="F21" i="6"/>
  <c r="G21" i="6" s="1"/>
  <c r="F7" i="6"/>
  <c r="G7" i="6" s="1"/>
  <c r="F13" i="6"/>
  <c r="G13" i="6" s="1"/>
  <c r="F32" i="6"/>
  <c r="G32" i="6" s="1"/>
  <c r="F31" i="6"/>
  <c r="G31" i="6" s="1"/>
  <c r="F42" i="6"/>
  <c r="G42" i="6" s="1"/>
  <c r="F15" i="6"/>
  <c r="G15" i="6" s="1"/>
  <c r="F24" i="6"/>
  <c r="G24" i="6" s="1"/>
  <c r="F26" i="6"/>
  <c r="G26" i="6" s="1"/>
  <c r="F16" i="6"/>
  <c r="G16" i="6" s="1"/>
  <c r="F33" i="6"/>
  <c r="G33" i="6" s="1"/>
  <c r="F37" i="6"/>
  <c r="G37" i="6" s="1"/>
  <c r="F18" i="6"/>
  <c r="G18" i="6" s="1"/>
  <c r="F41" i="6"/>
  <c r="G41" i="6" s="1"/>
  <c r="F19" i="6"/>
  <c r="G19" i="6" s="1"/>
  <c r="F30" i="6"/>
  <c r="G30" i="6" s="1"/>
  <c r="H11" i="11"/>
  <c r="H18" i="11"/>
  <c r="H34" i="11"/>
  <c r="H10" i="11"/>
  <c r="H40" i="11"/>
  <c r="H37" i="11"/>
  <c r="H22" i="11"/>
  <c r="H7" i="11"/>
  <c r="H24" i="11"/>
  <c r="H20" i="11"/>
  <c r="H21" i="11"/>
  <c r="H30" i="11"/>
  <c r="H32" i="11"/>
  <c r="H25" i="11"/>
  <c r="H13" i="11"/>
  <c r="H8" i="11"/>
  <c r="H23" i="11"/>
  <c r="H41" i="11"/>
  <c r="H36" i="11"/>
  <c r="H9" i="11"/>
  <c r="H26" i="11"/>
  <c r="H35" i="11"/>
  <c r="H12" i="11"/>
  <c r="H17" i="11"/>
  <c r="H38" i="11"/>
  <c r="H33" i="11"/>
  <c r="H27" i="11"/>
  <c r="H19" i="11"/>
  <c r="H28" i="11"/>
  <c r="H14" i="11"/>
  <c r="H31" i="11"/>
  <c r="H39" i="11"/>
  <c r="H15" i="11"/>
  <c r="H29" i="11"/>
  <c r="H16"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16" i="6" l="1"/>
  <c r="H26" i="6"/>
  <c r="H8" i="6"/>
  <c r="H29" i="6"/>
  <c r="H25" i="6"/>
  <c r="H9" i="6"/>
  <c r="H38" i="6"/>
  <c r="H14" i="6"/>
  <c r="H23" i="6"/>
  <c r="H18" i="6"/>
  <c r="H11" i="6"/>
  <c r="H12" i="6"/>
  <c r="H15" i="6"/>
  <c r="H33" i="6"/>
  <c r="H19" i="6"/>
  <c r="H7" i="6"/>
  <c r="H34" i="6"/>
  <c r="H41" i="6"/>
  <c r="H31" i="6"/>
  <c r="H21" i="6"/>
  <c r="H10" i="6"/>
  <c r="H22" i="6"/>
  <c r="H30" i="6"/>
  <c r="H24" i="6"/>
  <c r="H28" i="6"/>
  <c r="H13" i="6"/>
  <c r="H35" i="6"/>
  <c r="H42" i="6"/>
  <c r="H40" i="6"/>
  <c r="H17" i="6"/>
  <c r="H36" i="6"/>
  <c r="H32" i="6"/>
  <c r="H20" i="6"/>
  <c r="H37" i="6"/>
  <c r="H39" i="6"/>
  <c r="H27"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92E5D19F-43C0-4E4B-BA6F-D7449578A767}" keepAlive="1" name="Consulta - acumulado_porcentaje SIN MAYO" description="Conexión a la consulta 'acumulado_porcentaje SIN MAYO' en el libro." type="5" refreshedVersion="8" background="1" saveData="1">
    <dbPr connection="Provider=Microsoft.Mashup.OleDb.1;Data Source=$Workbook$;Location=&quot;acumulado_porcentaje SIN MAYO&quot;;Extended Properties=&quot;&quot;" command="SELECT * FROM [acumulado_porcentaje SIN MAYO]"/>
  </connection>
  <connection id="4"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D2267005-596D-4ECB-A24D-B22744B4EC0A}" keepAlive="1" name="Consulta - apuestas_ago24" description="Conexión a la consulta 'apuestas_ago24' en el libro." type="5" refreshedVersion="8" background="1" saveData="1">
    <dbPr connection="Provider=Microsoft.Mashup.OleDb.1;Data Source=$Workbook$;Location=apuestas_ago24;Extended Properties=&quot;&quot;" command="SELECT * FROM [apuestas_ago24]"/>
  </connection>
  <connection id="7"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8"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9" xr16:uid="{5FB8FAFA-21BB-432A-94C8-5CD2A5885ABB}" keepAlive="1" name="Consulta - apuestas_juL24" description="Conexión a la consulta 'apuestas_juL24' en el libro." type="5" refreshedVersion="8" background="1" saveData="1">
    <dbPr connection="Provider=Microsoft.Mashup.OleDb.1;Data Source=$Workbook$;Location=apuestas_juL24;Extended Properties=&quot;&quot;" command="SELECT * FROM [apuestas_juL24]"/>
  </connection>
  <connection id="10"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11"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2"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3"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4"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5"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6"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7"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18" xr16:uid="{F89428E4-C8F9-4967-A534-FC84DCF075DA}" keepAlive="1" name="Consulta - omie_agosto" description="Conexión a la consulta 'omie_agosto' en el libro." type="5" refreshedVersion="8" background="1" saveData="1">
    <dbPr connection="Provider=Microsoft.Mashup.OleDb.1;Data Source=$Workbook$;Location=omie_agosto;Extended Properties=&quot;&quot;" command="SELECT * FROM [omie_agosto]"/>
  </connection>
  <connection id="19"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20"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21"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22"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3" xr16:uid="{623E6C5F-9677-4757-82DE-86839FC1DE31}" keepAlive="1" name="Consulta - omie_julio" description="Conexión a la consulta 'omie_julio' en el libro." type="5" refreshedVersion="8" background="1" saveData="1">
    <dbPr connection="Provider=Microsoft.Mashup.OleDb.1;Data Source=$Workbook$;Location=omie_julio;Extended Properties=&quot;&quot;" command="SELECT * FROM [omie_julio]"/>
  </connection>
  <connection id="24"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5"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6"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7"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28"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29"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30"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31"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32" xr16:uid="{97848B0A-E323-4EE2-BAA9-745A739CFB38}"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33"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4" xr16:uid="{23E7A540-4045-4B67-B24A-C06F6C27F6C3}" keepAlive="1" name="Consulta - resultados_ago" description="Conexión a la consulta 'resultados_ago' en el libro." type="5" refreshedVersion="0" background="1">
    <dbPr connection="Provider=Microsoft.Mashup.OleDb.1;Data Source=$Workbook$;Location=resultados_ago;Extended Properties=&quot;&quot;" command="SELECT * FROM [resultados_ago]"/>
  </connection>
  <connection id="35" xr16:uid="{39F5A884-C67B-466E-AEC7-4B8FBF99754D}" keepAlive="1" name="Consulta - resultados_ene" description="Conexión a la consulta 'resultados_ene' en el libro." type="5" refreshedVersion="8" background="1" saveData="1">
    <dbPr connection="Provider=Microsoft.Mashup.OleDb.1;Data Source=$Workbook$;Location=resultados_ene;Extended Properties=&quot;&quot;" command="SELECT * FROM [resultados_ene]"/>
  </connection>
  <connection id="36"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37" xr16:uid="{E50E7A3B-79C9-49D6-A7A1-2B8787317515}" keepAlive="1" name="Consulta - resultados_jul" description="Conexión a la consulta 'resultados_jul' en el libro." type="5" refreshedVersion="8" background="1" saveData="1">
    <dbPr connection="Provider=Microsoft.Mashup.OleDb.1;Data Source=$Workbook$;Location=resultados_jul;Extended Properties=&quot;&quot;" command="SELECT * FROM [resultados_jul]"/>
  </connection>
  <connection id="38"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39"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40"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41"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42"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43"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<sst xmlns="http://schemas.openxmlformats.org/spreadsheetml/2006/main" count="5474" uniqueCount="1049">
  <si>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</si>
  <si>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</si>
  <si>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</si>
  <si>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</si>
  <si>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</si>
  <si>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</si>
  <si>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</si>
  <si>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</si>
  <si>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</si>
  <si>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</si>
  <si>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</si>
  <si>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</si>
  <si>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</si>
  <si>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</si>
  <si>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</si>
  <si>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</si>
  <si>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</si>
  <si>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</si>
  <si>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</si>
  <si>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</si>
  <si>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</si>
  <si>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</si>
  <si>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</si>
  <si>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</si>
  <si>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</si>
  <si>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</si>
  <si>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</si>
  <si>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</si>
  <si>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</si>
  <si>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</si>
  <si>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</si>
  <si>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</si>
  <si>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</si>
  <si>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</si>
  <si>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</si>
  <si>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</si>
  <si>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</si>
  <si>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</si>
  <si>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</si>
  <si>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</si>
  <si>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</si>
  <si>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</si>
  <si>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</si>
  <si>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</si>
  <si>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</si>
  <si>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</si>
  <si>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</si>
  <si>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</si>
  <si>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</si>
  <si>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</si>
  <si>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</si>
  <si>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</si>
  <si>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</si>
  <si>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</si>
  <si>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</si>
  <si>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</si>
  <si>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</si>
  <si>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</si>
  <si>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</si>
  <si>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</si>
  <si>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</si>
  <si>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</si>
  <si>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</si>
  <si>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</si>
  <si>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</si>
  <si>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</si>
  <si>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</si>
  <si>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</si>
  <si>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</si>
  <si>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</si>
  <si>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</si>
  <si>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</si>
  <si>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</si>
  <si>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</si>
  <si>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</si>
  <si>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</si>
  <si>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</si>
  <si>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</si>
  <si>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</si>
  <si>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</si>
  <si>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</si>
  <si>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</si>
  <si>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</si>
  <si>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</si>
  <si>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</si>
  <si>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</si>
  <si>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</si>
  <si>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</si>
  <si>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</si>
  <si>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</si>
  <si>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</si>
  <si>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</si>
  <si>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</si>
  <si>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</si>
  <si>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</si>
  <si>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</si>
  <si>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</si>
  <si>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</si>
  <si>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</si>
  <si>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</si>
  <si>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</si>
  <si>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</si>
  <si>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</si>
  <si>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</si>
  <si>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</si>
  <si>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</si>
  <si>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</si>
  <si>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</si>
  <si>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</si>
  <si>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</si>
  <si>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</si>
  <si>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</si>
  <si>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</si>
  <si>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</si>
  <si>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</si>
  <si>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</si>
  <si>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</si>
  <si>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</si>
  <si>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</si>
  <si>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</si>
  <si>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</si>
  <si>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</si>
  <si>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</si>
  <si>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</si>
  <si>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</si>
  <si>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</si>
  <si>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</si>
  <si>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</si>
  <si>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</si>
  <si>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</si>
  <si>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</si>
  <si>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</si>
  <si>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</si>
  <si>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</si>
  <si>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</si>
  <si>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</si>
  <si>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</si>
  <si>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</si>
  <si>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</si>
  <si>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</si>
  <si>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</si>
  <si>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</si>
  <si>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</si>
  <si>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</si>
  <si>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</si>
  <si>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</si>
  <si>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</si>
  <si>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</si>
  <si>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</si>
  <si>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</si>
  <si>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</si>
  <si>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</si>
  <si>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</si>
  <si>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</si>
  <si>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</si>
  <si>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</si>
  <si>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</si>
  <si>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</si>
  <si>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</si>
  <si>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</si>
  <si>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</si>
  <si>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</si>
  <si>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</si>
  <si>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</si>
  <si>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</si>
  <si>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</si>
  <si>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</si>
  <si>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</si>
  <si>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</si>
  <si>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</si>
  <si>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</si>
  <si>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</si>
  <si>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</si>
  <si>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</si>
  <si>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</si>
  <si>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</si>
  <si>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</si>
  <si>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</si>
  <si>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</si>
  <si>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</si>
  <si>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</si>
  <si>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</si>
  <si>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</si>
  <si>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</si>
  <si>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</si>
  <si>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</si>
  <si>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</si>
  <si>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</si>
  <si>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</si>
  <si>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</si>
  <si>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</si>
  <si>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</si>
  <si>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</si>
  <si>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</si>
  <si>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</si>
  <si>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</si>
  <si>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</si>
  <si>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</si>
  <si>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</si>
  <si>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</si>
  <si>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</si>
  <si>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</si>
  <si>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</si>
  <si>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</si>
  <si>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</si>
  <si>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</si>
  <si>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</si>
  <si>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</si>
  <si>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</si>
  <si>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</si>
  <si>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</si>
  <si>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</si>
  <si>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</si>
  <si>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</si>
  <si>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</si>
  <si>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</si>
  <si>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</si>
  <si>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</si>
  <si>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</si>
  <si>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</si>
  <si>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</si>
  <si>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</si>
  <si>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</si>
  <si>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</si>
  <si>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</si>
  <si>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</si>
  <si>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</si>
  <si>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</si>
  <si>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</si>
  <si>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</si>
  <si>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</si>
  <si>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</si>
  <si>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</si>
  <si>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</si>
  <si>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</si>
  <si>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</si>
  <si>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</si>
  <si>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</si>
  <si>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</si>
  <si>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</si>
  <si>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</si>
  <si>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</si>
  <si>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</si>
  <si>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</si>
  <si>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</si>
  <si>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</si>
  <si>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</si>
  <si>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</si>
  <si>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</si>
  <si>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</si>
  <si>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</si>
  <si>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</si>
  <si>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</si>
  <si>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</si>
  <si>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</si>
  <si>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</si>
  <si>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</si>
  <si>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</si>
  <si>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</si>
  <si>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</si>
  <si>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</si>
  <si>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</si>
  <si>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</si>
  <si>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</si>
  <si>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</si>
  <si>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</si>
  <si>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</si>
  <si>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</si>
  <si>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</si>
  <si>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</si>
  <si>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</si>
  <si>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</si>
  <si>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</si>
  <si>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</si>
  <si>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</si>
  <si>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</si>
  <si>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</si>
  <si>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</si>
  <si>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</si>
  <si>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</si>
  <si>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</si>
  <si>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</si>
  <si>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</si>
  <si>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</si>
  <si>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</si>
  <si>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</si>
  <si>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</si>
  <si>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</si>
  <si>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</si>
  <si>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</si>
  <si>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</si>
  <si>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</si>
  <si>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</si>
  <si>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</si>
  <si>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</si>
  <si>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</si>
  <si>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</si>
  <si>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</si>
  <si>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</si>
  <si>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</si>
  <si>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</si>
  <si>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</si>
  <si>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</si>
  <si>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</si>
  <si>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</si>
  <si>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</si>
  <si>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</si>
  <si>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</si>
  <si>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</si>
  <si>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</si>
  <si>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</si>
  <si>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</si>
  <si>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</si>
  <si>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</si>
  <si>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</si>
  <si>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</si>
  <si>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</si>
  <si>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</si>
  <si>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</si>
  <si>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</si>
  <si>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</si>
  <si>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</si>
  <si>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</si>
  <si>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</si>
  <si>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</si>
  <si>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</si>
  <si>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</si>
  <si>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</si>
  <si>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</si>
  <si>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</si>
  <si>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</si>
  <si>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</si>
  <si>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</si>
  <si>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</si>
  <si>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</si>
  <si>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</si>
  <si>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</si>
  <si>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</si>
  <si>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</si>
  <si>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</si>
  <si>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</si>
  <si>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</si>
  <si>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</si>
  <si>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</si>
  <si>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</si>
  <si>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</si>
  <si>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</si>
  <si>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</si>
  <si>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</si>
  <si>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</si>
  <si>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</si>
  <si>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</si>
  <si>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</si>
  <si>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</si>
  <si>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</si>
  <si>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</si>
  <si>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</si>
  <si>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</si>
  <si>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</si>
  <si>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</si>
  <si>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</si>
  <si>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</si>
  <si>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</si>
  <si>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</si>
  <si>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</si>
  <si>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</si>
  <si>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</si>
  <si>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</si>
  <si>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</si>
  <si>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</si>
  <si>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</si>
  <si>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</si>
  <si>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</si>
  <si>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</si>
  <si>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</si>
  <si>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</si>
  <si>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</si>
  <si>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</si>
  <si>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</si>
  <si>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</si>
  <si>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</si>
  <si>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</si>
  <si>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</si>
  <si>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</si>
  <si>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</si>
  <si>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</si>
  <si>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</si>
  <si>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</si>
  <si>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</si>
  <si>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</si>
  <si>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</si>
  <si>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</si>
  <si>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</si>
  <si>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</si>
  <si>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</si>
  <si>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</si>
  <si>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</si>
  <si>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</si>
  <si>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</si>
  <si>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</si>
  <si>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</si>
  <si>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</si>
  <si>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</si>
  <si>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</si>
  <si>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</si>
  <si>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</si>
  <si>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</si>
  <si>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</si>
  <si>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</si>
  <si>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</si>
  <si>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</si>
  <si>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</si>
  <si>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</si>
  <si>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</si>
  <si>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</si>
  <si>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</si>
  <si>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</si>
  <si>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</si>
  <si>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</si>
  <si>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</si>
  <si>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</si>
  <si>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</si>
  <si>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</si>
  <si>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</si>
  <si>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</si>
  <si>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</si>
  <si>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</si>
  <si>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</si>
  <si>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</si>
  <si>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</si>
  <si>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</si>
  <si>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</si>
  <si>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</si>
  <si>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</si>
  <si>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</si>
  <si>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</si>
  <si>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</si>
  <si>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</si>
  <si>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</si>
  <si>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</si>
  <si>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</si>
  <si>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</si>
  <si>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</si>
  <si>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</si>
  <si>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</si>
  <si>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</si>
  <si>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</si>
  <si>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</si>
  <si>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</si>
  <si>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</si>
  <si>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</si>
  <si>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</si>
  <si>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</si>
  <si>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</si>
  <si>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</si>
  <si>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</si>
  <si>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</si>
  <si>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</si>
  <si>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</si>
  <si>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</si>
  <si>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</si>
  <si>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</si>
  <si>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</si>
  <si>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</si>
  <si>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</si>
  <si>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</si>
  <si>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</si>
  <si>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</si>
  <si>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</si>
  <si>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</si>
  <si>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</si>
  <si>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</si>
  <si>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</si>
  <si>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</si>
  <si>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</si>
  <si>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</si>
  <si>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</si>
  <si>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</si>
  <si>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</si>
  <si>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</si>
  <si>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</si>
  <si>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</si>
  <si>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</si>
  <si>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</si>
  <si>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</si>
  <si>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</si>
  <si>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</si>
  <si>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</si>
  <si>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</si>
  <si>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</si>
  <si>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</si>
  <si>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</si>
  <si>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</si>
  <si>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</si>
  <si>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</si>
  <si>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</si>
  <si>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</si>
  <si>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</si>
  <si>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</si>
  <si>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</si>
  <si>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</si>
  <si>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</si>
  <si>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</si>
  <si>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</si>
  <si>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</si>
  <si>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</si>
  <si>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</si>
  <si>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</si>
  <si>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</si>
  <si>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</si>
  <si>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</si>
  <si>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</si>
  <si>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</si>
  <si>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</si>
  <si>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</si>
  <si>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</si>
  <si>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</si>
  <si>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</si>
  <si>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</si>
  <si>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</si>
  <si>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</si>
  <si>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</si>
  <si>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</si>
  <si>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</si>
  <si>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</si>
  <si>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</si>
  <si>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</si>
  <si>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</si>
  <si>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</si>
  <si>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</si>
  <si>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</si>
  <si>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</si>
  <si>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</si>
  <si>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</si>
  <si>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</si>
  <si>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</si>
  <si>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</si>
  <si>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</si>
  <si>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</si>
  <si>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</si>
  <si>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</si>
  <si>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</si>
  <si>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</si>
  <si>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</si>
  <si>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</si>
  <si>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</si>
  <si>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</si>
  <si>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</si>
  <si>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</si>
  <si>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</si>
  <si>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</si>
  <si>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</si>
  <si>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</si>
  <si>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</si>
  <si>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</si>
  <si>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</si>
  <si>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</si>
  <si>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</si>
  <si>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</si>
  <si>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</si>
  <si>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</si>
  <si>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</si>
  <si>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</si>
  <si>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</si>
  <si>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</si>
  <si>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</si>
  <si>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</si>
  <si>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</si>
  <si>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</si>
  <si>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</si>
  <si>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</si>
  <si>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</si>
  <si>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</si>
  <si>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</si>
  <si>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</si>
  <si>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</si>
  <si>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</si>
  <si>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</si>
  <si>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</si>
  <si>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</si>
  <si>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</si>
  <si>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</si>
  <si>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</si>
  <si>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</si>
  <si>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</si>
  <si>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</si>
  <si>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</si>
  <si>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</si>
  <si>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</si>
  <si>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</si>
  <si>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</si>
  <si>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</si>
  <si>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</si>
  <si>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</si>
  <si>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</si>
  <si>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</si>
  <si>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</si>
  <si>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</si>
  <si>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</si>
  <si>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</si>
  <si>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</si>
  <si>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</si>
  <si>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</si>
  <si>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</si>
  <si>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</si>
  <si>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</si>
  <si>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</si>
  <si>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</si>
  <si>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</si>
  <si>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</si>
  <si>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</si>
  <si>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</si>
  <si>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</si>
  <si>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</si>
  <si>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</si>
  <si>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</si>
  <si>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</si>
  <si>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</si>
  <si>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</si>
  <si>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</si>
  <si>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</si>
  <si>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</si>
  <si>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</si>
  <si>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</si>
  <si>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</si>
  <si>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</si>
  <si>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</si>
  <si>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</si>
  <si>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</si>
  <si>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</si>
  <si>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</si>
  <si>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</si>
  <si>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</si>
  <si>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</si>
  <si>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</si>
  <si>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</si>
  <si>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</si>
  <si>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</si>
  <si>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</si>
  <si>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</si>
  <si>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</si>
  <si>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</si>
  <si>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</si>
  <si>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</si>
  <si>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</si>
  <si>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</si>
  <si>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</si>
  <si>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</si>
  <si>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</si>
  <si>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</si>
  <si>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</si>
  <si>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</si>
  <si>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</si>
  <si>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</si>
  <si>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</si>
  <si>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</si>
  <si>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</si>
  <si>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</si>
  <si>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</si>
  <si>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</si>
  <si>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</si>
  <si>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</si>
  <si>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</si>
  <si>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</si>
  <si>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</si>
  <si>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</si>
  <si>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</si>
  <si>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</si>
  <si>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</si>
  <si>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</si>
  <si>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</si>
  <si>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</si>
  <si>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suma resto</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</si>
  <si>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</si>
  <si>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</si>
  <si>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</si>
  <si>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</si>
  <si>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</si>
  <si>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</si>
  <si>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</si>
  <si>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</si>
  <si>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</si>
  <si>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</si>
  <si>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</si>
  <si>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</si>
  <si>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</si>
  <si>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</si>
  <si>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</si>
  <si>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</si>
  <si>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</si>
  <si>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</si>
  <si>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</si>
  <si>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</si>
  <si>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</si>
  <si>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</si>
  <si>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</si>
  <si>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</si>
  <si>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</si>
  <si>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</si>
  <si>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</si>
  <si>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</si>
  <si>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</si>
  <si>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</si>
  <si>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</si>
  <si>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</si>
  <si>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</si>
  <si>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</si>
  <si>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</si>
  <si>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</si>
  <si>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</si>
  <si>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</si>
  <si>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</si>
  <si>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</si>
  <si>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</si>
  <si>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</si>
  <si>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</si>
  <si>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</si>
  <si>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</si>
  <si>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</si>
  <si>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</si>
  <si>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</si>
  <si>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</si>
  <si>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</si>
  <si>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</si>
  <si>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</si>
  <si>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</si>
  <si>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</si>
  <si>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</si>
  <si>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</si>
  <si>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</si>
  <si>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</si>
  <si>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</si>
  <si>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</si>
  <si>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</si>
  <si>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</si>
  <si>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</si>
  <si>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</si>
  <si>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</si>
  <si>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</si>
  <si>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</si>
  <si>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</si>
  <si>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</si>
  <si>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</si>
  <si>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</si>
  <si>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</si>
  <si>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</si>
  <si>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</si>
  <si>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</si>
  <si>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</si>
  <si>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</si>
  <si>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</si>
  <si>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</si>
  <si>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</si>
  <si>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</si>
  <si>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</si>
  <si>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</si>
  <si>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</si>
  <si>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</si>
  <si>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</si>
  <si>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</si>
  <si>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</si>
  <si>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</si>
  <si>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</si>
  <si>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</si>
  <si>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</si>
  <si>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</si>
  <si>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</si>
  <si>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</si>
  <si>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</si>
  <si>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</si>
  <si>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55,32</t>
  </si>
  <si>
    <t>Nadie sabe nada</t>
  </si>
  <si>
    <t>Rich</t>
  </si>
  <si>
    <t>Paco Luis</t>
  </si>
  <si>
    <t>Pérez Zarco</t>
  </si>
  <si>
    <t>56,2</t>
  </si>
  <si>
    <t>Pacozarco</t>
  </si>
  <si>
    <t>59</t>
  </si>
  <si>
    <t>43,83</t>
  </si>
  <si>
    <t>55,3</t>
  </si>
  <si>
    <t>Javier Fernandez Maza</t>
  </si>
  <si>
    <t>Daniel Pérez Carrasco</t>
  </si>
  <si>
    <t>Roberto Cavero Garcia</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</si>
  <si>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</si>
  <si>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</si>
  <si>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</si>
  <si>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</si>
  <si>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</si>
  <si>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</si>
  <si>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</si>
  <si>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</si>
  <si>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</si>
  <si>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</si>
  <si>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</si>
  <si>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</si>
  <si>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</si>
  <si>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</si>
  <si>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</si>
  <si>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</si>
  <si>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</si>
  <si>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</si>
  <si>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</si>
  <si>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</si>
  <si>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Juan Luis Jarillo Gomez</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</si>
  <si>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</si>
  <si>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</si>
  <si>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</si>
  <si>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</si>
  <si>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</si>
  <si>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</si>
  <si>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</si>
  <si>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</si>
  <si>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</si>
  <si>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</si>
  <si>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</si>
  <si>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#N/A</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</si>
  <si>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</si>
  <si>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</si>
  <si>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</si>
  <si>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</si>
  <si>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</si>
  <si>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</si>
  <si>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</si>
  <si>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</si>
  <si>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</si>
  <si>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</si>
  <si>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</si>
  <si>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</si>
  <si>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</si>
  <si>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</si>
  <si>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</si>
  <si>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</si>
  <si>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</si>
  <si>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</si>
  <si>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</si>
  <si>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</si>
  <si>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</si>
  <si>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</si>
  <si>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</si>
  <si>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</si>
  <si>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</si>
  <si>
    <t>Jose carlos</t>
  </si>
  <si>
    <t>Perez</t>
  </si>
  <si>
    <t>Pepito</t>
  </si>
  <si>
    <t>Moisés</t>
  </si>
  <si>
    <t>Labarquilla</t>
  </si>
  <si>
    <t>MLC1970</t>
  </si>
  <si>
    <t>33,6</t>
  </si>
  <si>
    <t>Incremento del consumo y menos producción FV</t>
  </si>
  <si>
    <t>64,24</t>
  </si>
  <si>
    <t>Zona StarPower</t>
  </si>
  <si>
    <t>inferior</t>
  </si>
  <si>
    <t>superior</t>
  </si>
  <si>
    <t>70</t>
  </si>
  <si>
    <t>Número redondo</t>
  </si>
  <si>
    <t>Andrea</t>
  </si>
  <si>
    <t>Zarbano</t>
  </si>
  <si>
    <t>72,36</t>
  </si>
  <si>
    <t>Anzar</t>
  </si>
  <si>
    <t>76,87</t>
  </si>
  <si>
    <t>65,5</t>
  </si>
  <si>
    <t>Media cotizacion julio con ajuste de junio</t>
  </si>
  <si>
    <t>74.65</t>
  </si>
  <si>
    <t>65,57</t>
  </si>
  <si>
    <t>Me lo dijo la bruja lola....😂</t>
  </si>
  <si>
    <t xml:space="preserve">Jorge koneqta </t>
  </si>
  <si>
    <t>68,8</t>
  </si>
  <si>
    <t>soy Pierre Nodoyuna, a ver julio!!</t>
  </si>
  <si>
    <t>Juan José</t>
  </si>
  <si>
    <t>Cuervo Arias</t>
  </si>
  <si>
    <t>58,37</t>
  </si>
  <si>
    <t xml:space="preserve">Pura potra, a ver si hay suerte! </t>
  </si>
  <si>
    <t>Juanjo</t>
  </si>
  <si>
    <t>Gonzalo</t>
  </si>
  <si>
    <t>Cruz Ortega</t>
  </si>
  <si>
    <t>37,64</t>
  </si>
  <si>
    <t>73,94</t>
  </si>
  <si>
    <t>Los precios llevan una tendencia alcista, y la demanda sube en los meses de verano, ademas que bajan generaciones como eólica.</t>
  </si>
  <si>
    <t xml:space="preserve">Oscar </t>
  </si>
  <si>
    <t>OMIP</t>
  </si>
  <si>
    <t>28-06-2024</t>
  </si>
  <si>
    <t>Cotización de OMIP a cierre del 28-06-2024</t>
  </si>
  <si>
    <t>OMIP 28-06-2024</t>
  </si>
  <si>
    <t>73,8</t>
  </si>
  <si>
    <t>Mes de demanda elevada por aire acondicionado y turismo, ya con poca agua fluyente, y siempre poco viento, algo menos que en junio. Preveo cerca de 20% de horas con vertido, y 80% marcadas por un gas que vuelve a estar caro y no preveo que baje significativamente.  Los embalses siguen muy altos pero da igual porque no necesitan turbinar por miedo a desbordamientos. China está tirando mucho de GNL, y hay más motivos de subida que de bajada, pero OMIP este mes coincide mucho con mi apuesta, sólo ligeramente más baja en 73,8 frente a 75,9 de OMIP.  Por baja volatilidad meteo, preveo poco error respecto a OMIP.  Por tanto si todos han apostado cerca de OMIE, estaremos todos apiñados con muchos posibles ganadores y MPV diarios, y a todos los que se salgan de 70-77 les doy pocas probabilidades. A los que estén fuera de 66-81 no les doy ninguna :-). Peeero, ya sabéis que siempre puede haber tortugas rojas, o puede ser que el mercado falle..</t>
  </si>
  <si>
    <t>74,47</t>
  </si>
  <si>
    <t xml:space="preserve">Seguir la línea de futuros: OMIP, MEFF... Dejo las corazonadas y los juegos con porcentajes, no te niego que me entretiene pero últimamente voy escaso de tiempo. Desconozco si podré remontar lo perdido en junio... Saludos </t>
  </si>
  <si>
    <t>68,14</t>
  </si>
  <si>
    <t xml:space="preserve">Juan Pedro Conejo </t>
  </si>
  <si>
    <t>77,77</t>
  </si>
  <si>
    <t>78,65</t>
  </si>
  <si>
    <t>48,3</t>
  </si>
  <si>
    <t>73,37</t>
  </si>
  <si>
    <t>Más demanda, más miedo por el gas, menos viento...</t>
  </si>
  <si>
    <t>72,3</t>
  </si>
  <si>
    <t>47,3</t>
  </si>
  <si>
    <t>78,52</t>
  </si>
  <si>
    <t>Perez de Eulate</t>
  </si>
  <si>
    <t>64,67</t>
  </si>
  <si>
    <t>Xavi Perez de Eulate</t>
  </si>
  <si>
    <t>72,58</t>
  </si>
  <si>
    <t>68,67</t>
  </si>
  <si>
    <t>Rafael</t>
  </si>
  <si>
    <t>Tejada Bonilla</t>
  </si>
  <si>
    <t>78,89</t>
  </si>
  <si>
    <t>Siguiendo % de subida</t>
  </si>
  <si>
    <t>Rafael Tejada</t>
  </si>
  <si>
    <t>Redondo Ferrara</t>
  </si>
  <si>
    <t>68,17</t>
  </si>
  <si>
    <t>JRF</t>
  </si>
  <si>
    <t>67,89</t>
  </si>
  <si>
    <t>60</t>
  </si>
  <si>
    <t>Habrá menos hidraúalica y menos viento. Tendría que ser mayor que junio</t>
  </si>
  <si>
    <t>Lo tengo clarísimo 💪🤣</t>
  </si>
  <si>
    <t>69,68</t>
  </si>
  <si>
    <t>Numero bonito</t>
  </si>
  <si>
    <t>Lucia</t>
  </si>
  <si>
    <t>Garin</t>
  </si>
  <si>
    <t>50,03</t>
  </si>
  <si>
    <t>LuciaGarin</t>
  </si>
  <si>
    <t>66,5</t>
  </si>
  <si>
    <t>55,1</t>
  </si>
  <si>
    <t>pura potra</t>
  </si>
  <si>
    <t>pacozarco</t>
  </si>
  <si>
    <t>76,43</t>
  </si>
  <si>
    <t>66,66</t>
  </si>
  <si>
    <t>67,7</t>
  </si>
  <si>
    <t>71,8</t>
  </si>
  <si>
    <t>74,54</t>
  </si>
  <si>
    <t xml:space="preserve">Jose Manuel otero </t>
  </si>
  <si>
    <t>60,68</t>
  </si>
  <si>
    <t>79,41</t>
  </si>
  <si>
    <t>Me lo ha chivado un pajarito</t>
  </si>
  <si>
    <t>Es posible q el mercado incluso sea más bajo, Lis primeros días pueden ser precios bajos, y dependerá del calor, no me extrañaría q empezaran los primeros 10 días con precio por debajo de 55,</t>
  </si>
  <si>
    <t>José</t>
  </si>
  <si>
    <t>Valle</t>
  </si>
  <si>
    <t>63,91</t>
  </si>
  <si>
    <t>José Valle</t>
  </si>
  <si>
    <t>68,26</t>
  </si>
  <si>
    <t xml:space="preserve">Bola de cristal </t>
  </si>
  <si>
    <t>Rafa</t>
  </si>
  <si>
    <t>64,71</t>
  </si>
  <si>
    <t>el viento me sopló por ahí</t>
  </si>
  <si>
    <t>65,25</t>
  </si>
  <si>
    <t>Daditos,daditos</t>
  </si>
  <si>
    <t>JULIO</t>
  </si>
  <si>
    <t>JULIO 2024</t>
  </si>
  <si>
    <t>Rafael Tejada Bonilla</t>
  </si>
  <si>
    <t>Omip 28-06-2024</t>
  </si>
  <si>
    <t>Andrea Zarbano</t>
  </si>
  <si>
    <t>Rafael Leiva 番雷。</t>
  </si>
  <si>
    <t>Juan Redondo Ferrara</t>
  </si>
  <si>
    <t>Javier Perez De Eulate</t>
  </si>
  <si>
    <t>Jose Carlos Perez</t>
  </si>
  <si>
    <t>Juan José Cuervo Arias</t>
  </si>
  <si>
    <t>Lucia Garin</t>
  </si>
  <si>
    <t>Hugo Pimiento</t>
  </si>
  <si>
    <t>Gonzalo Cruz Ortega</t>
  </si>
  <si>
    <t>Moisés Labarquilla</t>
  </si>
  <si>
    <t>67,45</t>
  </si>
  <si>
    <t>69,55</t>
  </si>
  <si>
    <t>julio</t>
  </si>
  <si>
    <t>max diario 2024</t>
  </si>
  <si>
    <t>65,26</t>
  </si>
  <si>
    <t>66,67</t>
  </si>
  <si>
    <t>max</t>
  </si>
  <si>
    <t>limites powerrange</t>
  </si>
  <si>
    <t>Ago 2024</t>
  </si>
  <si>
    <t>78,99</t>
  </si>
  <si>
    <t xml:space="preserve">Juan Pedro </t>
  </si>
  <si>
    <t>75,04</t>
  </si>
  <si>
    <t>Y en unos días me desconecto, los dados me darán la victoria.</t>
  </si>
  <si>
    <t>76,4</t>
  </si>
  <si>
    <t>Mes parecido a julio, pero con tendencia opuesta, empezando muy altos en plena ola de calor, y terminando más bajos con todos en el chiringuito y la industria parada. Me sale un rango probable de 71 a 81€, con expectativa de 76,4€, y por tanto OMIP muy atinado sobreestimando unos 2 eurillos.  Rango extremo de 66 a 88, ante volatilidad de combustibles y viento alto/bajo. Será determinante cuánto dure esta ola de calor, y cuántas medallas ganemos en los olímpicos.  A hidratarse mucho.</t>
  </si>
  <si>
    <t>74,8</t>
  </si>
  <si>
    <t>74,77</t>
  </si>
  <si>
    <t>Herrero del Barrio</t>
  </si>
  <si>
    <t>87,85</t>
  </si>
  <si>
    <t>Sería potra</t>
  </si>
  <si>
    <t>Pablo HB</t>
  </si>
  <si>
    <t>Victor</t>
  </si>
  <si>
    <t>Baeschlin Sanchez</t>
  </si>
  <si>
    <t>80,65</t>
  </si>
  <si>
    <t>87,78</t>
  </si>
  <si>
    <t>76,22</t>
  </si>
  <si>
    <t>72,6</t>
  </si>
  <si>
    <t>82,28</t>
  </si>
  <si>
    <t>Eolos ayúdanos :'(</t>
  </si>
  <si>
    <t xml:space="preserve">Crystal Ball algorithm </t>
  </si>
  <si>
    <t>76,26</t>
  </si>
  <si>
    <t>En estos meses veraniegos estoy un poco desconectado, me viene justo echar las runas al aire y pedirle a Odín que me de suerte. Cuídate mucho, feliz verano!!!</t>
  </si>
  <si>
    <t>69,57</t>
  </si>
  <si>
    <t>Visto lo visto yo creo que estará un poco por debajo, por qué habrá inestabilidad en el tiempo, con lluvias y días no tan calurosos.</t>
  </si>
  <si>
    <t>81,6</t>
  </si>
  <si>
    <t>OMIP X-Mes + 6%</t>
  </si>
  <si>
    <t>79,99</t>
  </si>
  <si>
    <t>69,1</t>
  </si>
  <si>
    <t>78,61</t>
  </si>
  <si>
    <t>65,86</t>
  </si>
  <si>
    <t>73,35</t>
  </si>
  <si>
    <t>71,2</t>
  </si>
  <si>
    <t>CARLES</t>
  </si>
  <si>
    <t>70,7</t>
  </si>
  <si>
    <t>74,3</t>
  </si>
  <si>
    <t>73,33</t>
  </si>
  <si>
    <t xml:space="preserve"> Bea</t>
  </si>
  <si>
    <t>71,5</t>
  </si>
  <si>
    <t xml:space="preserve">Dani </t>
  </si>
  <si>
    <t>78</t>
  </si>
  <si>
    <t>He tirado dos veces un dado de dos caras, el primero ha salido 8 (unidades)y el segundo 7(decenas).</t>
  </si>
  <si>
    <t>Javi Perez</t>
  </si>
  <si>
    <t>Andres</t>
  </si>
  <si>
    <t>Canal</t>
  </si>
  <si>
    <t>70,45</t>
  </si>
  <si>
    <t>Mi Excel esta sin completar del todo, pero entre el y el dedo mágico. a ver si hay suerte</t>
  </si>
  <si>
    <t>Jayko</t>
  </si>
  <si>
    <t>Leiva</t>
  </si>
  <si>
    <t>86,91</t>
  </si>
  <si>
    <t>64,66</t>
  </si>
  <si>
    <t>CarloMG</t>
  </si>
  <si>
    <t>Tejada</t>
  </si>
  <si>
    <t>69.7</t>
  </si>
  <si>
    <t>Juan Jose</t>
  </si>
  <si>
    <t>69,37</t>
  </si>
  <si>
    <t>Potra, por algo soy el caballo de la suerte🫡</t>
  </si>
  <si>
    <t>Caballo de la suerte</t>
  </si>
  <si>
    <t>77.6</t>
  </si>
  <si>
    <t>Estévez Solís</t>
  </si>
  <si>
    <t>76,32</t>
  </si>
  <si>
    <t>69,99</t>
  </si>
  <si>
    <t>Dios del aire! Dios de la lluvia! En tu encomiendo mi predicción,sino hágase vuestra voluntad 🤣🤣</t>
  </si>
  <si>
    <t>65,43</t>
  </si>
  <si>
    <t>73,12</t>
  </si>
  <si>
    <t>70,5</t>
  </si>
  <si>
    <t>Repito lo de Julio a ver si hay suerte.</t>
  </si>
  <si>
    <t>Yorchx</t>
  </si>
  <si>
    <t>Pablo Herrero Del Barrio</t>
  </si>
  <si>
    <t>Rafael Leiva</t>
  </si>
  <si>
    <t>Victor Baeschlin Sanchez</t>
  </si>
  <si>
    <t>Ricardo Estévez Solís</t>
  </si>
  <si>
    <t>Andres Canal</t>
  </si>
  <si>
    <t>Juan Jose Cuervo Arias</t>
  </si>
  <si>
    <t>agosto</t>
  </si>
  <si>
    <t>AGOSTO</t>
  </si>
  <si>
    <t>AGOSTO 2024</t>
  </si>
  <si>
    <t>Media OMIE</t>
  </si>
  <si>
    <t>dif</t>
  </si>
  <si>
    <t>%</t>
  </si>
  <si>
    <t>74,81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</si>
</sst>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00"/>
    <numFmt numFmtId="167" formatCode="0.000000000"/>
  </numFmts>
  <fonts count="24"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0" tint="-0.14999847407452621"/>
        <bgColor theme="0" tint="-0.14999847407452621"/>
      </patternFill>
    </fill>
    <fill>
      <patternFill patternType="solid">
        <fgColor theme="7" tint="0.79998168889431442"/>
        <bgColor indexed="64"/>
      </patternFill>
    </fill>
  </fills>
  <borders count="29">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60">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2" fontId="0" fillId="15" borderId="20" xfId="0" applyNumberFormat="1" applyFill="1" applyBorder="1" applyAlignment="1">
      <alignment horizontal="center"/>
    </xf>
    <xf numFmtId="0" fontId="1" fillId="0" borderId="0" xfId="0" applyFon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right"/>
    </xf>
    <xf numFmtId="2" fontId="18" fillId="16" borderId="0" xfId="0" applyNumberFormat="1" applyFont="1" applyFill="1" applyAlignment="1">
      <alignment horizontal="center"/>
    </xf>
    <xf numFmtId="2" fontId="0" fillId="16" borderId="0" xfId="0" applyNumberFormat="1" applyFill="1" applyAlignment="1">
      <alignment horizontal="center"/>
    </xf>
    <xf numFmtId="0" fontId="22" fillId="0" borderId="0" xfId="0" applyFont="1" applyAlignment="1">
      <alignment vertical="center"/>
    </xf>
    <xf numFmtId="0" fontId="14" fillId="0" borderId="0" xfId="0" applyFont="1" applyAlignment="1">
      <alignment horizontal="center" vertical="center"/>
    </xf>
    <xf numFmtId="0" fontId="23"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0" borderId="28" xfId="0" applyNumberFormat="1" applyBorder="1" applyAlignment="1">
      <alignment horizontal="center"/>
    </xf>
    <xf numFmtId="0" fontId="6" fillId="0" borderId="0" xfId="0" applyFont="1" applyAlignment="1">
      <alignment horizontal="center" vertical="center"/>
    </xf>
    <xf numFmtId="2" fontId="5" fillId="0" borderId="0" xfId="0" applyNumberFormat="1" applyFont="1" applyAlignment="1">
      <alignment horizontal="center"/>
    </xf>
    <xf numFmtId="0" fontId="0" fillId="0" borderId="0" xfId="0" applyAlignment="1">
      <alignment vertical="center"/>
    </xf>
    <xf numFmtId="14" fontId="0" fillId="0" borderId="0" xfId="0" applyNumberFormat="1" applyAlignment="1">
      <alignment horizontal="center" vertical="center"/>
    </xf>
    <xf numFmtId="2" fontId="5" fillId="2" borderId="0" xfId="0" applyNumberFormat="1" applyFont="1" applyFill="1"/>
    <xf numFmtId="2" fontId="0" fillId="0" borderId="0" xfId="1" applyNumberFormat="1" applyFont="1" applyFill="1" applyAlignment="1">
      <alignment horizontal="center"/>
    </xf>
    <xf numFmtId="2" fontId="0" fillId="4" borderId="0" xfId="0" applyNumberFormat="1" applyFill="1" applyAlignment="1">
      <alignment horizontal="center"/>
    </xf>
    <xf numFmtId="0" fontId="0" fillId="17" borderId="0" xfId="0" applyFill="1"/>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center" vertical="center"/>
    </xf>
    <xf numFmtId="2" fontId="21" fillId="0" borderId="0" xfId="0" applyNumberFormat="1"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center" wrapText="1"/>
    </xf>
    <xf numFmtId="0" fontId="0" fillId="0" borderId="0" xfId="0" applyNumberFormat="1"/>
    <xf numFmtId="0" fontId="1" fillId="0" borderId="0" xfId="0" applyNumberFormat="1" applyFont="1"/>
    <xf numFmtId="2" fontId="5" fillId="0" borderId="0" xfId="0" applyNumberFormat="1" applyFont="1" applyFill="1" applyAlignment="1">
      <alignment horizontal="center"/>
    </xf>
    <xf numFmtId="1" fontId="0" fillId="0" borderId="0" xfId="0" applyNumberFormat="1" applyBorder="1" applyAlignment="1">
      <alignment horizontal="center"/>
    </xf>
    <xf numFmtId="2" fontId="0" fillId="0" borderId="0" xfId="0" applyNumberFormat="1" applyBorder="1" applyAlignment="1">
      <alignment horizontal="center"/>
    </xf>
    <xf numFmtId="2" fontId="18" fillId="0" borderId="0" xfId="0" applyNumberFormat="1" applyFont="1" applyBorder="1" applyAlignment="1">
      <alignment horizontal="center"/>
    </xf>
    <xf numFmtId="0" fontId="0" fillId="0" borderId="0" xfId="0" applyBorder="1"/>
    <xf numFmtId="0" fontId="0" fillId="0" borderId="0" xfId="0" applyBorder="1" applyAlignment="1">
      <alignment horizontal="center"/>
    </xf>
  </cellXfs>
  <cellStyles count="2">
    <cellStyle name="Normal" xfId="0" builtinId="0"/>
    <cellStyle name="Porcentaje" xfId="1" builtinId="5"/>
  </cellStyles>
  <dxfs count="240">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auto="1"/>
        <name val="Arial"/>
        <family val="2"/>
        <scheme val="none"/>
      </font>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006100"/>
      </font>
      <fill>
        <patternFill>
          <bgColor rgb="FFC6EFCE"/>
        </patternFill>
      </fill>
    </dxf>
    <dxf>
      <font>
        <b/>
        <i val="0"/>
        <color theme="0"/>
      </font>
      <fill>
        <patternFill>
          <bgColor rgb="FF00B050"/>
        </patternFill>
      </fill>
    </dxf>
    <dxf>
      <font>
        <color rgb="FF9C0006"/>
      </font>
      <fill>
        <patternFill>
          <bgColor rgb="FFFFC7CE"/>
        </patternFill>
      </fill>
    </dxf>
    <dxf>
      <font>
        <color rgb="FF006100"/>
      </font>
      <fill>
        <patternFill>
          <bgColor rgb="FFC6EFCE"/>
        </patternFill>
      </fill>
    </dxf>
    <dxf>
      <font>
        <b/>
        <i val="0"/>
        <color theme="0"/>
      </font>
      <fill>
        <patternFill>
          <bgColor rgb="FF00B050"/>
        </patternFill>
      </fill>
    </dxf>
    <dxf>
      <font>
        <color rgb="FFC00000"/>
      </font>
      <numFmt numFmtId="2" formatCode="0.00"/>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numFmt numFmtId="0" formatCode="General"/>
      <alignment horizontal="center"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alignment horizontal="general"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38.xml"/><Relationship Id="rId1" Type="http://schemas.microsoft.com/office/2011/relationships/chartStyle" Target="style38.xml"/></Relationships>
</file>

<file path=xl/charts/_rels/chart51.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6.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7.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8.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9.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5.xml"/><Relationship Id="rId1" Type="http://schemas.microsoft.com/office/2011/relationships/chartStyle" Target="style45.xml"/></Relationships>
</file>

<file path=xl/charts/_rels/chart60.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63.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64.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48.xml"/><Relationship Id="rId1" Type="http://schemas.microsoft.com/office/2011/relationships/chartStyle" Target="style48.xml"/></Relationships>
</file>

<file path=xl/charts/_rels/chart6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49.xml"/><Relationship Id="rId1" Type="http://schemas.microsoft.com/office/2011/relationships/chartStyle" Target="style49.xml"/></Relationships>
</file>

<file path=xl/charts/_rels/chart66.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51.xml"/><Relationship Id="rId1" Type="http://schemas.microsoft.com/office/2011/relationships/chartStyle" Target="style51.xml"/></Relationships>
</file>

<file path=xl/charts/_rels/chart67.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52.xml"/><Relationship Id="rId1" Type="http://schemas.microsoft.com/office/2011/relationships/chartStyle" Target="style52.xml"/></Relationships>
</file>

<file path=xl/charts/_rels/chartEx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37.479999999999997</c:v>
                </c:pt>
                <c:pt idx="1">
                  <c:v>37.479999999999997</c:v>
                </c:pt>
                <c:pt idx="2">
                  <c:v>37.479999999999997</c:v>
                </c:pt>
                <c:pt idx="3">
                  <c:v>37.479999999999997</c:v>
                </c:pt>
                <c:pt idx="4">
                  <c:v>37.479999999999997</c:v>
                </c:pt>
                <c:pt idx="5">
                  <c:v>37.479999999999997</c:v>
                </c:pt>
                <c:pt idx="6">
                  <c:v>37.479999999999997</c:v>
                </c:pt>
                <c:pt idx="7">
                  <c:v>37.479999999999997</c:v>
                </c:pt>
                <c:pt idx="8">
                  <c:v>37.479999999999997</c:v>
                </c:pt>
                <c:pt idx="9">
                  <c:v>37.479999999999997</c:v>
                </c:pt>
                <c:pt idx="10">
                  <c:v>37.479999999999997</c:v>
                </c:pt>
                <c:pt idx="11">
                  <c:v>37.479999999999997</c:v>
                </c:pt>
                <c:pt idx="12">
                  <c:v>37.479999999999997</c:v>
                </c:pt>
                <c:pt idx="13">
                  <c:v>37.479999999999997</c:v>
                </c:pt>
                <c:pt idx="14">
                  <c:v>37.479999999999997</c:v>
                </c:pt>
                <c:pt idx="15">
                  <c:v>37.479999999999997</c:v>
                </c:pt>
                <c:pt idx="16">
                  <c:v>37.479999999999997</c:v>
                </c:pt>
                <c:pt idx="17">
                  <c:v>37.479999999999997</c:v>
                </c:pt>
                <c:pt idx="18">
                  <c:v>37.479999999999997</c:v>
                </c:pt>
                <c:pt idx="19">
                  <c:v>37.479999999999997</c:v>
                </c:pt>
                <c:pt idx="20">
                  <c:v>37.479999999999997</c:v>
                </c:pt>
                <c:pt idx="21">
                  <c:v>37.479999999999997</c:v>
                </c:pt>
                <c:pt idx="22">
                  <c:v>37.479999999999997</c:v>
                </c:pt>
                <c:pt idx="23">
                  <c:v>37.479999999999997</c:v>
                </c:pt>
                <c:pt idx="24">
                  <c:v>37.479999999999997</c:v>
                </c:pt>
                <c:pt idx="25">
                  <c:v>37.479999999999997</c:v>
                </c:pt>
                <c:pt idx="26">
                  <c:v>37.479999999999997</c:v>
                </c:pt>
                <c:pt idx="27">
                  <c:v>37.479999999999997</c:v>
                </c:pt>
                <c:pt idx="28">
                  <c:v>37.479999999999997</c:v>
                </c:pt>
                <c:pt idx="29">
                  <c:v>37.479999999999997</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69.470000000000013</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69.569999999999993</c:v>
                </c:pt>
                <c:pt idx="1">
                  <c:v>69.569999999999993</c:v>
                </c:pt>
                <c:pt idx="2">
                  <c:v>69.569999999999993</c:v>
                </c:pt>
                <c:pt idx="3">
                  <c:v>69.569999999999993</c:v>
                </c:pt>
                <c:pt idx="4">
                  <c:v>69.569999999999993</c:v>
                </c:pt>
                <c:pt idx="5">
                  <c:v>69.569999999999993</c:v>
                </c:pt>
                <c:pt idx="6">
                  <c:v>69.569999999999993</c:v>
                </c:pt>
                <c:pt idx="7">
                  <c:v>69.569999999999993</c:v>
                </c:pt>
                <c:pt idx="8">
                  <c:v>69.569999999999993</c:v>
                </c:pt>
                <c:pt idx="9">
                  <c:v>69.569999999999993</c:v>
                </c:pt>
                <c:pt idx="10">
                  <c:v>69.569999999999993</c:v>
                </c:pt>
                <c:pt idx="11">
                  <c:v>69.569999999999993</c:v>
                </c:pt>
                <c:pt idx="12">
                  <c:v>69.569999999999993</c:v>
                </c:pt>
                <c:pt idx="13">
                  <c:v>69.569999999999993</c:v>
                </c:pt>
                <c:pt idx="14">
                  <c:v>69.569999999999993</c:v>
                </c:pt>
                <c:pt idx="15">
                  <c:v>69.569999999999993</c:v>
                </c:pt>
                <c:pt idx="16">
                  <c:v>69.569999999999993</c:v>
                </c:pt>
                <c:pt idx="17">
                  <c:v>69.569999999999993</c:v>
                </c:pt>
                <c:pt idx="18">
                  <c:v>69.569999999999993</c:v>
                </c:pt>
                <c:pt idx="19">
                  <c:v>69.569999999999993</c:v>
                </c:pt>
                <c:pt idx="20">
                  <c:v>69.569999999999993</c:v>
                </c:pt>
                <c:pt idx="21">
                  <c:v>69.569999999999993</c:v>
                </c:pt>
                <c:pt idx="22">
                  <c:v>69.569999999999993</c:v>
                </c:pt>
                <c:pt idx="23">
                  <c:v>69.569999999999993</c:v>
                </c:pt>
                <c:pt idx="24">
                  <c:v>69.569999999999993</c:v>
                </c:pt>
                <c:pt idx="25">
                  <c:v>69.569999999999993</c:v>
                </c:pt>
                <c:pt idx="26">
                  <c:v>69.569999999999993</c:v>
                </c:pt>
                <c:pt idx="27">
                  <c:v>69.569999999999993</c:v>
                </c:pt>
                <c:pt idx="28">
                  <c:v>69.569999999999993</c:v>
                </c:pt>
                <c:pt idx="29">
                  <c:v>69.569999999999993</c:v>
                </c:pt>
                <c:pt idx="30">
                  <c:v>69.569999999999993</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37.479999999999997</c:v>
                </c:pt>
                <c:pt idx="1">
                  <c:v>37.479999999999997</c:v>
                </c:pt>
                <c:pt idx="2">
                  <c:v>37.479999999999997</c:v>
                </c:pt>
                <c:pt idx="3">
                  <c:v>37.479999999999997</c:v>
                </c:pt>
                <c:pt idx="4">
                  <c:v>37.479999999999997</c:v>
                </c:pt>
                <c:pt idx="5">
                  <c:v>37.479999999999997</c:v>
                </c:pt>
                <c:pt idx="6">
                  <c:v>37.479999999999997</c:v>
                </c:pt>
                <c:pt idx="7">
                  <c:v>37.479999999999997</c:v>
                </c:pt>
                <c:pt idx="8">
                  <c:v>37.479999999999997</c:v>
                </c:pt>
                <c:pt idx="9">
                  <c:v>37.479999999999997</c:v>
                </c:pt>
                <c:pt idx="10">
                  <c:v>37.479999999999997</c:v>
                </c:pt>
                <c:pt idx="11">
                  <c:v>37.479999999999997</c:v>
                </c:pt>
                <c:pt idx="12">
                  <c:v>37.479999999999997</c:v>
                </c:pt>
                <c:pt idx="13">
                  <c:v>37.479999999999997</c:v>
                </c:pt>
                <c:pt idx="14">
                  <c:v>37.479999999999997</c:v>
                </c:pt>
                <c:pt idx="15">
                  <c:v>37.479999999999997</c:v>
                </c:pt>
                <c:pt idx="16">
                  <c:v>37.479999999999997</c:v>
                </c:pt>
                <c:pt idx="17">
                  <c:v>37.479999999999997</c:v>
                </c:pt>
                <c:pt idx="18">
                  <c:v>37.479999999999997</c:v>
                </c:pt>
                <c:pt idx="19">
                  <c:v>37.479999999999997</c:v>
                </c:pt>
                <c:pt idx="20">
                  <c:v>37.479999999999997</c:v>
                </c:pt>
                <c:pt idx="21">
                  <c:v>37.479999999999997</c:v>
                </c:pt>
                <c:pt idx="22">
                  <c:v>37.479999999999997</c:v>
                </c:pt>
                <c:pt idx="23">
                  <c:v>37.479999999999997</c:v>
                </c:pt>
                <c:pt idx="24">
                  <c:v>37.479999999999997</c:v>
                </c:pt>
                <c:pt idx="25">
                  <c:v>37.479999999999997</c:v>
                </c:pt>
                <c:pt idx="26">
                  <c:v>37.479999999999997</c:v>
                </c:pt>
                <c:pt idx="27">
                  <c:v>37.479999999999997</c:v>
                </c:pt>
                <c:pt idx="28">
                  <c:v>37.479999999999997</c:v>
                </c:pt>
                <c:pt idx="29">
                  <c:v>37.479999999999997</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69.470000000000013</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69.569999999999993</c:v>
                </c:pt>
                <c:pt idx="1">
                  <c:v>69.569999999999993</c:v>
                </c:pt>
                <c:pt idx="2">
                  <c:v>69.569999999999993</c:v>
                </c:pt>
                <c:pt idx="3">
                  <c:v>69.569999999999993</c:v>
                </c:pt>
                <c:pt idx="4">
                  <c:v>69.569999999999993</c:v>
                </c:pt>
                <c:pt idx="5">
                  <c:v>69.569999999999993</c:v>
                </c:pt>
                <c:pt idx="6">
                  <c:v>69.569999999999993</c:v>
                </c:pt>
                <c:pt idx="7">
                  <c:v>69.569999999999993</c:v>
                </c:pt>
                <c:pt idx="8">
                  <c:v>69.569999999999993</c:v>
                </c:pt>
                <c:pt idx="9">
                  <c:v>69.569999999999993</c:v>
                </c:pt>
                <c:pt idx="10">
                  <c:v>69.569999999999993</c:v>
                </c:pt>
                <c:pt idx="11">
                  <c:v>69.569999999999993</c:v>
                </c:pt>
                <c:pt idx="12">
                  <c:v>69.569999999999993</c:v>
                </c:pt>
                <c:pt idx="13">
                  <c:v>69.569999999999993</c:v>
                </c:pt>
                <c:pt idx="14">
                  <c:v>69.569999999999993</c:v>
                </c:pt>
                <c:pt idx="15">
                  <c:v>69.569999999999993</c:v>
                </c:pt>
                <c:pt idx="16">
                  <c:v>69.569999999999993</c:v>
                </c:pt>
                <c:pt idx="17">
                  <c:v>69.569999999999993</c:v>
                </c:pt>
                <c:pt idx="18">
                  <c:v>69.569999999999993</c:v>
                </c:pt>
                <c:pt idx="19">
                  <c:v>69.569999999999993</c:v>
                </c:pt>
                <c:pt idx="20">
                  <c:v>69.569999999999993</c:v>
                </c:pt>
                <c:pt idx="21">
                  <c:v>69.569999999999993</c:v>
                </c:pt>
                <c:pt idx="22">
                  <c:v>69.569999999999993</c:v>
                </c:pt>
                <c:pt idx="23">
                  <c:v>69.569999999999993</c:v>
                </c:pt>
                <c:pt idx="24">
                  <c:v>69.569999999999993</c:v>
                </c:pt>
                <c:pt idx="25">
                  <c:v>69.569999999999993</c:v>
                </c:pt>
                <c:pt idx="26">
                  <c:v>69.569999999999993</c:v>
                </c:pt>
                <c:pt idx="27">
                  <c:v>69.569999999999993</c:v>
                </c:pt>
                <c:pt idx="28">
                  <c:v>69.569999999999993</c:v>
                </c:pt>
                <c:pt idx="29">
                  <c:v>69.569999999999993</c:v>
                </c:pt>
                <c:pt idx="30">
                  <c:v>69.569999999999993</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0.33300000000000002</c:v>
                      </c:pt>
                      <c:pt idx="1">
                        <c:v>0.33300000000000002</c:v>
                      </c:pt>
                      <c:pt idx="2">
                        <c:v>0.33300000000000002</c:v>
                      </c:pt>
                      <c:pt idx="3">
                        <c:v>0.33300000000000002</c:v>
                      </c:pt>
                      <c:pt idx="4">
                        <c:v>0.33300000000000002</c:v>
                      </c:pt>
                      <c:pt idx="5">
                        <c:v>0.33300000000000002</c:v>
                      </c:pt>
                      <c:pt idx="6">
                        <c:v>0.33300000000000002</c:v>
                      </c:pt>
                      <c:pt idx="7">
                        <c:v>0.33300000000000002</c:v>
                      </c:pt>
                      <c:pt idx="8">
                        <c:v>0.33300000000000002</c:v>
                      </c:pt>
                      <c:pt idx="9">
                        <c:v>0.33300000000000002</c:v>
                      </c:pt>
                      <c:pt idx="10">
                        <c:v>0.33300000000000002</c:v>
                      </c:pt>
                      <c:pt idx="11">
                        <c:v>0.33300000000000002</c:v>
                      </c:pt>
                      <c:pt idx="12">
                        <c:v>0.33300000000000002</c:v>
                      </c:pt>
                      <c:pt idx="13">
                        <c:v>0.33300000000000002</c:v>
                      </c:pt>
                      <c:pt idx="14">
                        <c:v>0.33300000000000002</c:v>
                      </c:pt>
                      <c:pt idx="15">
                        <c:v>0.33300000000000002</c:v>
                      </c:pt>
                      <c:pt idx="16">
                        <c:v>0.33300000000000002</c:v>
                      </c:pt>
                      <c:pt idx="17">
                        <c:v>0.33300000000000002</c:v>
                      </c:pt>
                      <c:pt idx="18">
                        <c:v>0.33300000000000002</c:v>
                      </c:pt>
                      <c:pt idx="19">
                        <c:v>0.33300000000000002</c:v>
                      </c:pt>
                      <c:pt idx="20">
                        <c:v>0.33300000000000002</c:v>
                      </c:pt>
                      <c:pt idx="21">
                        <c:v>0.33300000000000002</c:v>
                      </c:pt>
                      <c:pt idx="22">
                        <c:v>0.33300000000000002</c:v>
                      </c:pt>
                      <c:pt idx="23">
                        <c:v>0.33300000000000002</c:v>
                      </c:pt>
                      <c:pt idx="24">
                        <c:v>0.33300000000000002</c:v>
                      </c:pt>
                      <c:pt idx="25">
                        <c:v>0.33300000000000002</c:v>
                      </c:pt>
                      <c:pt idx="26">
                        <c:v>0.33300000000000002</c:v>
                      </c:pt>
                      <c:pt idx="27">
                        <c:v>0.33300000000000002</c:v>
                      </c:pt>
                      <c:pt idx="28">
                        <c:v>0.33300000000000002</c:v>
                      </c:pt>
                      <c:pt idx="29">
                        <c:v>0.33300000000000002</c:v>
                      </c:pt>
                      <c:pt idx="30">
                        <c:v>0.33300000000000002</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92.751999999999995</c:v>
                </c:pt>
                <c:pt idx="1">
                  <c:v>92.751999999999995</c:v>
                </c:pt>
                <c:pt idx="2">
                  <c:v>92.751999999999995</c:v>
                </c:pt>
                <c:pt idx="3">
                  <c:v>92.751999999999995</c:v>
                </c:pt>
                <c:pt idx="4">
                  <c:v>92.751999999999995</c:v>
                </c:pt>
                <c:pt idx="5">
                  <c:v>92.751999999999995</c:v>
                </c:pt>
                <c:pt idx="6">
                  <c:v>92.751999999999995</c:v>
                </c:pt>
                <c:pt idx="7">
                  <c:v>92.751999999999995</c:v>
                </c:pt>
                <c:pt idx="8">
                  <c:v>92.751999999999995</c:v>
                </c:pt>
                <c:pt idx="9">
                  <c:v>92.751999999999995</c:v>
                </c:pt>
                <c:pt idx="10">
                  <c:v>92.751999999999995</c:v>
                </c:pt>
                <c:pt idx="11">
                  <c:v>92.751999999999995</c:v>
                </c:pt>
                <c:pt idx="12">
                  <c:v>92.751999999999995</c:v>
                </c:pt>
                <c:pt idx="13">
                  <c:v>92.751999999999995</c:v>
                </c:pt>
                <c:pt idx="14">
                  <c:v>92.751999999999995</c:v>
                </c:pt>
                <c:pt idx="15">
                  <c:v>92.751999999999995</c:v>
                </c:pt>
                <c:pt idx="16">
                  <c:v>92.751999999999995</c:v>
                </c:pt>
                <c:pt idx="17">
                  <c:v>92.751999999999995</c:v>
                </c:pt>
                <c:pt idx="18">
                  <c:v>92.751999999999995</c:v>
                </c:pt>
                <c:pt idx="19">
                  <c:v>92.751999999999995</c:v>
                </c:pt>
                <c:pt idx="20">
                  <c:v>92.751999999999995</c:v>
                </c:pt>
                <c:pt idx="21">
                  <c:v>92.751999999999995</c:v>
                </c:pt>
                <c:pt idx="22">
                  <c:v>92.751999999999995</c:v>
                </c:pt>
                <c:pt idx="23">
                  <c:v>92.751999999999995</c:v>
                </c:pt>
                <c:pt idx="24">
                  <c:v>92.751999999999995</c:v>
                </c:pt>
                <c:pt idx="25">
                  <c:v>92.751999999999995</c:v>
                </c:pt>
                <c:pt idx="26">
                  <c:v>92.751999999999995</c:v>
                </c:pt>
                <c:pt idx="27">
                  <c:v>92.751999999999995</c:v>
                </c:pt>
                <c:pt idx="28">
                  <c:v>92.751999999999995</c:v>
                </c:pt>
                <c:pt idx="29">
                  <c:v>92.751999999999995</c:v>
                </c:pt>
                <c:pt idx="30">
                  <c:v>92.751999999999995</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6.7000000000000004E-2</c:v>
                      </c:pt>
                      <c:pt idx="1">
                        <c:v>0.01</c:v>
                      </c:pt>
                      <c:pt idx="2">
                        <c:v>1.4E-2</c:v>
                      </c:pt>
                      <c:pt idx="3">
                        <c:v>2.1000000000000001E-2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0.53300000000000003</c:v>
                      </c:pt>
                      <c:pt idx="1">
                        <c:v>0.55200000000000005</c:v>
                      </c:pt>
                      <c:pt idx="2">
                        <c:v>0.52800000000000002</c:v>
                      </c:pt>
                      <c:pt idx="3">
                        <c:v>0.52100000000000002</c:v>
                      </c:pt>
                      <c:pt idx="4">
                        <c:v>0.58299999999999996</c:v>
                      </c:pt>
                      <c:pt idx="5">
                        <c:v>0.58299999999999996</c:v>
                      </c:pt>
                      <c:pt idx="6">
                        <c:v>0.58299999999999996</c:v>
                      </c:pt>
                      <c:pt idx="7">
                        <c:v>0.58299999999999996</c:v>
                      </c:pt>
                      <c:pt idx="8">
                        <c:v>0.58299999999999996</c:v>
                      </c:pt>
                      <c:pt idx="9">
                        <c:v>0.58299999999999996</c:v>
                      </c:pt>
                      <c:pt idx="10">
                        <c:v>0.58299999999999996</c:v>
                      </c:pt>
                      <c:pt idx="11">
                        <c:v>0.58299999999999996</c:v>
                      </c:pt>
                      <c:pt idx="12">
                        <c:v>0.58299999999999996</c:v>
                      </c:pt>
                      <c:pt idx="13">
                        <c:v>0.58299999999999996</c:v>
                      </c:pt>
                      <c:pt idx="14">
                        <c:v>0.58299999999999996</c:v>
                      </c:pt>
                      <c:pt idx="15">
                        <c:v>0.58299999999999996</c:v>
                      </c:pt>
                      <c:pt idx="16">
                        <c:v>0.58299999999999996</c:v>
                      </c:pt>
                      <c:pt idx="17">
                        <c:v>0.58299999999999996</c:v>
                      </c:pt>
                      <c:pt idx="18">
                        <c:v>0.58299999999999996</c:v>
                      </c:pt>
                      <c:pt idx="19">
                        <c:v>0.58299999999999996</c:v>
                      </c:pt>
                      <c:pt idx="20">
                        <c:v>0.58299999999999996</c:v>
                      </c:pt>
                      <c:pt idx="21">
                        <c:v>0.58299999999999996</c:v>
                      </c:pt>
                      <c:pt idx="22">
                        <c:v>0.58299999999999996</c:v>
                      </c:pt>
                      <c:pt idx="23">
                        <c:v>0.58299999999999996</c:v>
                      </c:pt>
                      <c:pt idx="24">
                        <c:v>0.58299999999999996</c:v>
                      </c:pt>
                      <c:pt idx="25">
                        <c:v>0.58299999999999996</c:v>
                      </c:pt>
                      <c:pt idx="26">
                        <c:v>0.58299999999999996</c:v>
                      </c:pt>
                      <c:pt idx="27">
                        <c:v>0.58299999999999996</c:v>
                      </c:pt>
                      <c:pt idx="28">
                        <c:v>0.58299999999999996</c:v>
                      </c:pt>
                      <c:pt idx="29">
                        <c:v>0.58299999999999996</c:v>
                      </c:pt>
                      <c:pt idx="30">
                        <c:v>0.58299999999999996</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-0.91269158740350276</c:v>
                </c:pt>
              </c:numCache>
            </c:numRef>
          </c:xVal>
          <c:yVal>
            <c:numRef>
              <c:f>[1]omie_dinamic_dia!$AC$20:$AC$21</c:f>
              <c:numCache>
                <c:formatCode>General</c:formatCode>
                <c:ptCount val="2"/>
                <c:pt idx="0">
                  <c:v>0</c:v>
                </c:pt>
                <c:pt idx="1">
                  <c:v>0.40864907473634904</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0.97858090432547218</c:v>
                </c:pt>
              </c:numCache>
            </c:numRef>
          </c:xVal>
          <c:yVal>
            <c:numRef>
              <c:f>[1]omie_dinamic_dia!$Y$37:$Y$38</c:f>
              <c:numCache>
                <c:formatCode>General</c:formatCode>
                <c:ptCount val="2"/>
                <c:pt idx="0">
                  <c:v>0</c:v>
                </c:pt>
                <c:pt idx="1">
                  <c:v>-0.20586260876988119</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37.479999999999997</c:v>
                </c:pt>
                <c:pt idx="1">
                  <c:v>37.479999999999997</c:v>
                </c:pt>
                <c:pt idx="2">
                  <c:v>37.479999999999997</c:v>
                </c:pt>
                <c:pt idx="3">
                  <c:v>37.479999999999997</c:v>
                </c:pt>
                <c:pt idx="4">
                  <c:v>37.479999999999997</c:v>
                </c:pt>
                <c:pt idx="5">
                  <c:v>37.479999999999997</c:v>
                </c:pt>
                <c:pt idx="6">
                  <c:v>37.479999999999997</c:v>
                </c:pt>
                <c:pt idx="7">
                  <c:v>37.479999999999997</c:v>
                </c:pt>
                <c:pt idx="8">
                  <c:v>37.479999999999997</c:v>
                </c:pt>
                <c:pt idx="9">
                  <c:v>37.479999999999997</c:v>
                </c:pt>
                <c:pt idx="10">
                  <c:v>37.479999999999997</c:v>
                </c:pt>
                <c:pt idx="11">
                  <c:v>37.479999999999997</c:v>
                </c:pt>
                <c:pt idx="12">
                  <c:v>37.479999999999997</c:v>
                </c:pt>
                <c:pt idx="13">
                  <c:v>37.479999999999997</c:v>
                </c:pt>
                <c:pt idx="14">
                  <c:v>37.479999999999997</c:v>
                </c:pt>
                <c:pt idx="15">
                  <c:v>37.479999999999997</c:v>
                </c:pt>
                <c:pt idx="16">
                  <c:v>37.479999999999997</c:v>
                </c:pt>
                <c:pt idx="17">
                  <c:v>37.479999999999997</c:v>
                </c:pt>
                <c:pt idx="18">
                  <c:v>37.479999999999997</c:v>
                </c:pt>
                <c:pt idx="19">
                  <c:v>37.479999999999997</c:v>
                </c:pt>
                <c:pt idx="20">
                  <c:v>37.479999999999997</c:v>
                </c:pt>
                <c:pt idx="21">
                  <c:v>37.479999999999997</c:v>
                </c:pt>
                <c:pt idx="22">
                  <c:v>37.479999999999997</c:v>
                </c:pt>
                <c:pt idx="23">
                  <c:v>37.479999999999997</c:v>
                </c:pt>
                <c:pt idx="24">
                  <c:v>37.479999999999997</c:v>
                </c:pt>
                <c:pt idx="25">
                  <c:v>37.479999999999997</c:v>
                </c:pt>
                <c:pt idx="26">
                  <c:v>37.479999999999997</c:v>
                </c:pt>
                <c:pt idx="27">
                  <c:v>37.479999999999997</c:v>
                </c:pt>
                <c:pt idx="28">
                  <c:v>37.479999999999997</c:v>
                </c:pt>
                <c:pt idx="29">
                  <c:v>37.479999999999997</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69.470000000000013</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69.569999999999993</c:v>
                </c:pt>
                <c:pt idx="1">
                  <c:v>69.569999999999993</c:v>
                </c:pt>
                <c:pt idx="2">
                  <c:v>69.569999999999993</c:v>
                </c:pt>
                <c:pt idx="3">
                  <c:v>69.569999999999993</c:v>
                </c:pt>
                <c:pt idx="4">
                  <c:v>69.569999999999993</c:v>
                </c:pt>
                <c:pt idx="5">
                  <c:v>69.569999999999993</c:v>
                </c:pt>
                <c:pt idx="6">
                  <c:v>69.569999999999993</c:v>
                </c:pt>
                <c:pt idx="7">
                  <c:v>69.569999999999993</c:v>
                </c:pt>
                <c:pt idx="8">
                  <c:v>69.569999999999993</c:v>
                </c:pt>
                <c:pt idx="9">
                  <c:v>69.569999999999993</c:v>
                </c:pt>
                <c:pt idx="10">
                  <c:v>69.569999999999993</c:v>
                </c:pt>
                <c:pt idx="11">
                  <c:v>69.569999999999993</c:v>
                </c:pt>
                <c:pt idx="12">
                  <c:v>69.569999999999993</c:v>
                </c:pt>
                <c:pt idx="13">
                  <c:v>69.569999999999993</c:v>
                </c:pt>
                <c:pt idx="14">
                  <c:v>69.569999999999993</c:v>
                </c:pt>
                <c:pt idx="15">
                  <c:v>69.569999999999993</c:v>
                </c:pt>
                <c:pt idx="16">
                  <c:v>69.569999999999993</c:v>
                </c:pt>
                <c:pt idx="17">
                  <c:v>69.569999999999993</c:v>
                </c:pt>
                <c:pt idx="18">
                  <c:v>69.569999999999993</c:v>
                </c:pt>
                <c:pt idx="19">
                  <c:v>69.569999999999993</c:v>
                </c:pt>
                <c:pt idx="20">
                  <c:v>69.569999999999993</c:v>
                </c:pt>
                <c:pt idx="21">
                  <c:v>69.569999999999993</c:v>
                </c:pt>
                <c:pt idx="22">
                  <c:v>69.569999999999993</c:v>
                </c:pt>
                <c:pt idx="23">
                  <c:v>69.569999999999993</c:v>
                </c:pt>
                <c:pt idx="24">
                  <c:v>69.569999999999993</c:v>
                </c:pt>
                <c:pt idx="25">
                  <c:v>69.569999999999993</c:v>
                </c:pt>
                <c:pt idx="26">
                  <c:v>69.569999999999993</c:v>
                </c:pt>
                <c:pt idx="27">
                  <c:v>69.569999999999993</c:v>
                </c:pt>
                <c:pt idx="28">
                  <c:v>69.569999999999993</c:v>
                </c:pt>
                <c:pt idx="29">
                  <c:v>69.569999999999993</c:v>
                </c:pt>
                <c:pt idx="30">
                  <c:v>69.569999999999993</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0.33300000000000002</c:v>
                      </c:pt>
                      <c:pt idx="1">
                        <c:v>0.33300000000000002</c:v>
                      </c:pt>
                      <c:pt idx="2">
                        <c:v>0.33300000000000002</c:v>
                      </c:pt>
                      <c:pt idx="3">
                        <c:v>0.33300000000000002</c:v>
                      </c:pt>
                      <c:pt idx="4">
                        <c:v>0.33300000000000002</c:v>
                      </c:pt>
                      <c:pt idx="5">
                        <c:v>0.33300000000000002</c:v>
                      </c:pt>
                      <c:pt idx="6">
                        <c:v>0.33300000000000002</c:v>
                      </c:pt>
                      <c:pt idx="7">
                        <c:v>0.33300000000000002</c:v>
                      </c:pt>
                      <c:pt idx="8">
                        <c:v>0.33300000000000002</c:v>
                      </c:pt>
                      <c:pt idx="9">
                        <c:v>0.33300000000000002</c:v>
                      </c:pt>
                      <c:pt idx="10">
                        <c:v>0.33300000000000002</c:v>
                      </c:pt>
                      <c:pt idx="11">
                        <c:v>0.33300000000000002</c:v>
                      </c:pt>
                      <c:pt idx="12">
                        <c:v>0.33300000000000002</c:v>
                      </c:pt>
                      <c:pt idx="13">
                        <c:v>0.33300000000000002</c:v>
                      </c:pt>
                      <c:pt idx="14">
                        <c:v>0.33300000000000002</c:v>
                      </c:pt>
                      <c:pt idx="15">
                        <c:v>0.33300000000000002</c:v>
                      </c:pt>
                      <c:pt idx="16">
                        <c:v>0.33300000000000002</c:v>
                      </c:pt>
                      <c:pt idx="17">
                        <c:v>0.33300000000000002</c:v>
                      </c:pt>
                      <c:pt idx="18">
                        <c:v>0.33300000000000002</c:v>
                      </c:pt>
                      <c:pt idx="19">
                        <c:v>0.33300000000000002</c:v>
                      </c:pt>
                      <c:pt idx="20">
                        <c:v>0.33300000000000002</c:v>
                      </c:pt>
                      <c:pt idx="21">
                        <c:v>0.33300000000000002</c:v>
                      </c:pt>
                      <c:pt idx="22">
                        <c:v>0.33300000000000002</c:v>
                      </c:pt>
                      <c:pt idx="23">
                        <c:v>0.33300000000000002</c:v>
                      </c:pt>
                      <c:pt idx="24">
                        <c:v>0.33300000000000002</c:v>
                      </c:pt>
                      <c:pt idx="25">
                        <c:v>0.33300000000000002</c:v>
                      </c:pt>
                      <c:pt idx="26">
                        <c:v>0.33300000000000002</c:v>
                      </c:pt>
                      <c:pt idx="27">
                        <c:v>0.33300000000000002</c:v>
                      </c:pt>
                      <c:pt idx="28">
                        <c:v>0.33300000000000002</c:v>
                      </c:pt>
                      <c:pt idx="29">
                        <c:v>0.33300000000000002</c:v>
                      </c:pt>
                      <c:pt idx="30">
                        <c:v>0.33300000000000002</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92.751999999999995</c:v>
                </c:pt>
                <c:pt idx="1">
                  <c:v>92.751999999999995</c:v>
                </c:pt>
                <c:pt idx="2">
                  <c:v>92.751999999999995</c:v>
                </c:pt>
                <c:pt idx="3">
                  <c:v>92.751999999999995</c:v>
                </c:pt>
                <c:pt idx="4">
                  <c:v>92.751999999999995</c:v>
                </c:pt>
                <c:pt idx="5">
                  <c:v>92.751999999999995</c:v>
                </c:pt>
                <c:pt idx="6">
                  <c:v>92.751999999999995</c:v>
                </c:pt>
                <c:pt idx="7">
                  <c:v>92.751999999999995</c:v>
                </c:pt>
                <c:pt idx="8">
                  <c:v>92.751999999999995</c:v>
                </c:pt>
                <c:pt idx="9">
                  <c:v>92.751999999999995</c:v>
                </c:pt>
                <c:pt idx="10">
                  <c:v>92.751999999999995</c:v>
                </c:pt>
                <c:pt idx="11">
                  <c:v>92.751999999999995</c:v>
                </c:pt>
                <c:pt idx="12">
                  <c:v>92.751999999999995</c:v>
                </c:pt>
                <c:pt idx="13">
                  <c:v>92.751999999999995</c:v>
                </c:pt>
                <c:pt idx="14">
                  <c:v>92.751999999999995</c:v>
                </c:pt>
                <c:pt idx="15">
                  <c:v>92.751999999999995</c:v>
                </c:pt>
                <c:pt idx="16">
                  <c:v>92.751999999999995</c:v>
                </c:pt>
                <c:pt idx="17">
                  <c:v>92.751999999999995</c:v>
                </c:pt>
                <c:pt idx="18">
                  <c:v>92.751999999999995</c:v>
                </c:pt>
                <c:pt idx="19">
                  <c:v>92.751999999999995</c:v>
                </c:pt>
                <c:pt idx="20">
                  <c:v>92.751999999999995</c:v>
                </c:pt>
                <c:pt idx="21">
                  <c:v>92.751999999999995</c:v>
                </c:pt>
                <c:pt idx="22">
                  <c:v>92.751999999999995</c:v>
                </c:pt>
                <c:pt idx="23">
                  <c:v>92.751999999999995</c:v>
                </c:pt>
                <c:pt idx="24">
                  <c:v>92.751999999999995</c:v>
                </c:pt>
                <c:pt idx="25">
                  <c:v>92.751999999999995</c:v>
                </c:pt>
                <c:pt idx="26">
                  <c:v>92.751999999999995</c:v>
                </c:pt>
                <c:pt idx="27">
                  <c:v>92.751999999999995</c:v>
                </c:pt>
                <c:pt idx="28">
                  <c:v>92.751999999999995</c:v>
                </c:pt>
                <c:pt idx="29">
                  <c:v>92.751999999999995</c:v>
                </c:pt>
                <c:pt idx="30">
                  <c:v>92.751999999999995</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6.7000000000000004E-2</c:v>
                      </c:pt>
                      <c:pt idx="1">
                        <c:v>0.01</c:v>
                      </c:pt>
                      <c:pt idx="2">
                        <c:v>1.4E-2</c:v>
                      </c:pt>
                      <c:pt idx="3">
                        <c:v>2.1000000000000001E-2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0.53300000000000003</c:v>
                      </c:pt>
                      <c:pt idx="1">
                        <c:v>0.55200000000000005</c:v>
                      </c:pt>
                      <c:pt idx="2">
                        <c:v>0.52800000000000002</c:v>
                      </c:pt>
                      <c:pt idx="3">
                        <c:v>0.52100000000000002</c:v>
                      </c:pt>
                      <c:pt idx="4">
                        <c:v>0.58299999999999996</c:v>
                      </c:pt>
                      <c:pt idx="5">
                        <c:v>0.58299999999999996</c:v>
                      </c:pt>
                      <c:pt idx="6">
                        <c:v>0.58299999999999996</c:v>
                      </c:pt>
                      <c:pt idx="7">
                        <c:v>0.58299999999999996</c:v>
                      </c:pt>
                      <c:pt idx="8">
                        <c:v>0.58299999999999996</c:v>
                      </c:pt>
                      <c:pt idx="9">
                        <c:v>0.58299999999999996</c:v>
                      </c:pt>
                      <c:pt idx="10">
                        <c:v>0.58299999999999996</c:v>
                      </c:pt>
                      <c:pt idx="11">
                        <c:v>0.58299999999999996</c:v>
                      </c:pt>
                      <c:pt idx="12">
                        <c:v>0.58299999999999996</c:v>
                      </c:pt>
                      <c:pt idx="13">
                        <c:v>0.58299999999999996</c:v>
                      </c:pt>
                      <c:pt idx="14">
                        <c:v>0.58299999999999996</c:v>
                      </c:pt>
                      <c:pt idx="15">
                        <c:v>0.58299999999999996</c:v>
                      </c:pt>
                      <c:pt idx="16">
                        <c:v>0.58299999999999996</c:v>
                      </c:pt>
                      <c:pt idx="17">
                        <c:v>0.58299999999999996</c:v>
                      </c:pt>
                      <c:pt idx="18">
                        <c:v>0.58299999999999996</c:v>
                      </c:pt>
                      <c:pt idx="19">
                        <c:v>0.58299999999999996</c:v>
                      </c:pt>
                      <c:pt idx="20">
                        <c:v>0.58299999999999996</c:v>
                      </c:pt>
                      <c:pt idx="21">
                        <c:v>0.58299999999999996</c:v>
                      </c:pt>
                      <c:pt idx="22">
                        <c:v>0.58299999999999996</c:v>
                      </c:pt>
                      <c:pt idx="23">
                        <c:v>0.58299999999999996</c:v>
                      </c:pt>
                      <c:pt idx="24">
                        <c:v>0.58299999999999996</c:v>
                      </c:pt>
                      <c:pt idx="25">
                        <c:v>0.58299999999999996</c:v>
                      </c:pt>
                      <c:pt idx="26">
                        <c:v>0.58299999999999996</c:v>
                      </c:pt>
                      <c:pt idx="27">
                        <c:v>0.58299999999999996</c:v>
                      </c:pt>
                      <c:pt idx="28">
                        <c:v>0.58299999999999996</c:v>
                      </c:pt>
                      <c:pt idx="29">
                        <c:v>0.58299999999999996</c:v>
                      </c:pt>
                      <c:pt idx="30">
                        <c:v>0.58299999999999996</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60.78</c:v>
                      </c:pt>
                      <c:pt idx="1">
                        <c:v>60.78</c:v>
                      </c:pt>
                      <c:pt idx="2">
                        <c:v>60.78</c:v>
                      </c:pt>
                      <c:pt idx="3">
                        <c:v>60.78</c:v>
                      </c:pt>
                      <c:pt idx="4">
                        <c:v>60.78</c:v>
                      </c:pt>
                      <c:pt idx="5">
                        <c:v>60.78</c:v>
                      </c:pt>
                      <c:pt idx="6">
                        <c:v>60.78</c:v>
                      </c:pt>
                      <c:pt idx="7">
                        <c:v>60.78</c:v>
                      </c:pt>
                      <c:pt idx="8">
                        <c:v>60.78</c:v>
                      </c:pt>
                      <c:pt idx="9">
                        <c:v>60.78</c:v>
                      </c:pt>
                      <c:pt idx="10">
                        <c:v>60.78</c:v>
                      </c:pt>
                      <c:pt idx="11">
                        <c:v>60.78</c:v>
                      </c:pt>
                      <c:pt idx="12">
                        <c:v>60.78</c:v>
                      </c:pt>
                      <c:pt idx="13">
                        <c:v>60.78</c:v>
                      </c:pt>
                      <c:pt idx="14">
                        <c:v>60.78</c:v>
                      </c:pt>
                      <c:pt idx="15">
                        <c:v>60.78</c:v>
                      </c:pt>
                      <c:pt idx="16">
                        <c:v>60.78</c:v>
                      </c:pt>
                      <c:pt idx="17">
                        <c:v>60.78</c:v>
                      </c:pt>
                      <c:pt idx="18">
                        <c:v>60.78</c:v>
                      </c:pt>
                      <c:pt idx="19">
                        <c:v>60.78</c:v>
                      </c:pt>
                      <c:pt idx="20">
                        <c:v>60.78</c:v>
                      </c:pt>
                      <c:pt idx="21">
                        <c:v>60.78</c:v>
                      </c:pt>
                      <c:pt idx="22">
                        <c:v>60.78</c:v>
                      </c:pt>
                      <c:pt idx="23">
                        <c:v>60.78</c:v>
                      </c:pt>
                      <c:pt idx="24">
                        <c:v>60.78</c:v>
                      </c:pt>
                      <c:pt idx="25">
                        <c:v>60.78</c:v>
                      </c:pt>
                      <c:pt idx="26">
                        <c:v>60.78</c:v>
                      </c:pt>
                      <c:pt idx="27">
                        <c:v>60.78</c:v>
                      </c:pt>
                      <c:pt idx="28">
                        <c:v>60.78</c:v>
                      </c:pt>
                      <c:pt idx="29">
                        <c:v>60.78</c:v>
                      </c:pt>
                      <c:pt idx="30">
                        <c:v>60.78</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42.991</c:v>
                      </c:pt>
                      <c:pt idx="1">
                        <c:v>42.991</c:v>
                      </c:pt>
                      <c:pt idx="2">
                        <c:v>42.991</c:v>
                      </c:pt>
                      <c:pt idx="3">
                        <c:v>42.991</c:v>
                      </c:pt>
                      <c:pt idx="4">
                        <c:v>42.991</c:v>
                      </c:pt>
                      <c:pt idx="5">
                        <c:v>42.991</c:v>
                      </c:pt>
                      <c:pt idx="6">
                        <c:v>42.991</c:v>
                      </c:pt>
                      <c:pt idx="7">
                        <c:v>42.991</c:v>
                      </c:pt>
                      <c:pt idx="8">
                        <c:v>42.991</c:v>
                      </c:pt>
                      <c:pt idx="9">
                        <c:v>42.991</c:v>
                      </c:pt>
                      <c:pt idx="10">
                        <c:v>42.991</c:v>
                      </c:pt>
                      <c:pt idx="11">
                        <c:v>42.991</c:v>
                      </c:pt>
                      <c:pt idx="12">
                        <c:v>42.991</c:v>
                      </c:pt>
                      <c:pt idx="13">
                        <c:v>42.991</c:v>
                      </c:pt>
                      <c:pt idx="14">
                        <c:v>42.991</c:v>
                      </c:pt>
                      <c:pt idx="15">
                        <c:v>42.991</c:v>
                      </c:pt>
                      <c:pt idx="16">
                        <c:v>42.991</c:v>
                      </c:pt>
                      <c:pt idx="17">
                        <c:v>42.991</c:v>
                      </c:pt>
                      <c:pt idx="18">
                        <c:v>42.991</c:v>
                      </c:pt>
                      <c:pt idx="19">
                        <c:v>42.991</c:v>
                      </c:pt>
                      <c:pt idx="20">
                        <c:v>42.991</c:v>
                      </c:pt>
                      <c:pt idx="21">
                        <c:v>42.991</c:v>
                      </c:pt>
                      <c:pt idx="22">
                        <c:v>42.991</c:v>
                      </c:pt>
                      <c:pt idx="23">
                        <c:v>42.991</c:v>
                      </c:pt>
                      <c:pt idx="24">
                        <c:v>42.991</c:v>
                      </c:pt>
                      <c:pt idx="25">
                        <c:v>42.991</c:v>
                      </c:pt>
                      <c:pt idx="26">
                        <c:v>42.991</c:v>
                      </c:pt>
                      <c:pt idx="27">
                        <c:v>42.991</c:v>
                      </c:pt>
                      <c:pt idx="28">
                        <c:v>42.991</c:v>
                      </c:pt>
                      <c:pt idx="29">
                        <c:v>42.991</c:v>
                      </c:pt>
                      <c:pt idx="30">
                        <c:v>42.991</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112.25</c:v>
                      </c:pt>
                      <c:pt idx="1">
                        <c:v>112.25</c:v>
                      </c:pt>
                      <c:pt idx="2">
                        <c:v>112.25</c:v>
                      </c:pt>
                      <c:pt idx="3">
                        <c:v>112.25</c:v>
                      </c:pt>
                      <c:pt idx="4">
                        <c:v>112.25</c:v>
                      </c:pt>
                      <c:pt idx="5">
                        <c:v>112.25</c:v>
                      </c:pt>
                      <c:pt idx="6">
                        <c:v>112.25</c:v>
                      </c:pt>
                      <c:pt idx="7">
                        <c:v>112.25</c:v>
                      </c:pt>
                      <c:pt idx="8">
                        <c:v>112.25</c:v>
                      </c:pt>
                      <c:pt idx="9">
                        <c:v>112.25</c:v>
                      </c:pt>
                      <c:pt idx="10">
                        <c:v>112.25</c:v>
                      </c:pt>
                      <c:pt idx="11">
                        <c:v>112.25</c:v>
                      </c:pt>
                      <c:pt idx="12">
                        <c:v>112.25</c:v>
                      </c:pt>
                      <c:pt idx="13">
                        <c:v>112.25</c:v>
                      </c:pt>
                      <c:pt idx="14">
                        <c:v>112.25</c:v>
                      </c:pt>
                      <c:pt idx="15">
                        <c:v>112.25</c:v>
                      </c:pt>
                      <c:pt idx="16">
                        <c:v>112.25</c:v>
                      </c:pt>
                      <c:pt idx="17">
                        <c:v>112.25</c:v>
                      </c:pt>
                      <c:pt idx="18">
                        <c:v>112.25</c:v>
                      </c:pt>
                      <c:pt idx="19">
                        <c:v>112.25</c:v>
                      </c:pt>
                      <c:pt idx="20">
                        <c:v>112.25</c:v>
                      </c:pt>
                      <c:pt idx="21">
                        <c:v>112.25</c:v>
                      </c:pt>
                      <c:pt idx="22">
                        <c:v>112.25</c:v>
                      </c:pt>
                      <c:pt idx="23">
                        <c:v>112.25</c:v>
                      </c:pt>
                      <c:pt idx="24">
                        <c:v>112.25</c:v>
                      </c:pt>
                      <c:pt idx="25">
                        <c:v>112.25</c:v>
                      </c:pt>
                      <c:pt idx="26">
                        <c:v>112.25</c:v>
                      </c:pt>
                      <c:pt idx="27">
                        <c:v>112.25</c:v>
                      </c:pt>
                      <c:pt idx="28">
                        <c:v>112.25</c:v>
                      </c:pt>
                      <c:pt idx="29">
                        <c:v>112.25</c:v>
                      </c:pt>
                      <c:pt idx="30">
                        <c:v>112.25</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0</c:v>
                      </c:pt>
                      <c:pt idx="5">
                        <c:v>553.79999999999995</c:v>
                      </c:pt>
                      <c:pt idx="6">
                        <c:v>553.79999999999995</c:v>
                      </c:pt>
                      <c:pt idx="7">
                        <c:v>553.79999999999995</c:v>
                      </c:pt>
                      <c:pt idx="8">
                        <c:v>553.79999999999995</c:v>
                      </c:pt>
                      <c:pt idx="9">
                        <c:v>553.79999999999995</c:v>
                      </c:pt>
                      <c:pt idx="10">
                        <c:v>553.79999999999995</c:v>
                      </c:pt>
                      <c:pt idx="11">
                        <c:v>553.79999999999995</c:v>
                      </c:pt>
                      <c:pt idx="12">
                        <c:v>553.79999999999995</c:v>
                      </c:pt>
                      <c:pt idx="13">
                        <c:v>553.79999999999995</c:v>
                      </c:pt>
                      <c:pt idx="14">
                        <c:v>553.79999999999995</c:v>
                      </c:pt>
                      <c:pt idx="15">
                        <c:v>553.79999999999995</c:v>
                      </c:pt>
                      <c:pt idx="16">
                        <c:v>553.79999999999995</c:v>
                      </c:pt>
                      <c:pt idx="17">
                        <c:v>553.79999999999995</c:v>
                      </c:pt>
                      <c:pt idx="18">
                        <c:v>553.79999999999995</c:v>
                      </c:pt>
                      <c:pt idx="19">
                        <c:v>553.79999999999995</c:v>
                      </c:pt>
                      <c:pt idx="20">
                        <c:v>553.79999999999995</c:v>
                      </c:pt>
                      <c:pt idx="21">
                        <c:v>553.79999999999995</c:v>
                      </c:pt>
                      <c:pt idx="22">
                        <c:v>553.79999999999995</c:v>
                      </c:pt>
                      <c:pt idx="23">
                        <c:v>553.79999999999995</c:v>
                      </c:pt>
                      <c:pt idx="24">
                        <c:v>553.79999999999995</c:v>
                      </c:pt>
                      <c:pt idx="25">
                        <c:v>553.79999999999995</c:v>
                      </c:pt>
                      <c:pt idx="26">
                        <c:v>553.79999999999995</c:v>
                      </c:pt>
                      <c:pt idx="27">
                        <c:v>553.79999999999995</c:v>
                      </c:pt>
                      <c:pt idx="28">
                        <c:v>553.79999999999995</c:v>
                      </c:pt>
                      <c:pt idx="29">
                        <c:v>553.79999999999995</c:v>
                      </c:pt>
                      <c:pt idx="30">
                        <c:v>553.79999999999995</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0.49818510533949073</c:v>
                </c:pt>
              </c:numCache>
            </c:numRef>
          </c:xVal>
          <c:yVal>
            <c:numRef>
              <c:f>[1]omie_dinamic_dia!$Y$11:$Y$12</c:f>
              <c:numCache>
                <c:formatCode>General</c:formatCode>
                <c:ptCount val="2"/>
                <c:pt idx="0">
                  <c:v>0</c:v>
                </c:pt>
                <c:pt idx="1">
                  <c:v>0.86707070116449014</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-0.91269158740350276</c:v>
                </c:pt>
              </c:numCache>
            </c:numRef>
          </c:xVal>
          <c:yVal>
            <c:numRef>
              <c:f>[1]omie_dinamic_dia!$AC$20:$AC$21</c:f>
              <c:numCache>
                <c:formatCode>General</c:formatCode>
                <c:ptCount val="2"/>
                <c:pt idx="0">
                  <c:v>0</c:v>
                </c:pt>
                <c:pt idx="1">
                  <c:v>0.40864907473634904</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0.97858090432547218</c:v>
                </c:pt>
              </c:numCache>
            </c:numRef>
          </c:xVal>
          <c:yVal>
            <c:numRef>
              <c:f>[1]omie_dinamic_dia!$Y$37:$Y$38</c:f>
              <c:numCache>
                <c:formatCode>General</c:formatCode>
                <c:ptCount val="2"/>
                <c:pt idx="0">
                  <c:v>0</c:v>
                </c:pt>
                <c:pt idx="1">
                  <c:v>-0.20586260876988119</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37.479999999999997</c:v>
                </c:pt>
                <c:pt idx="1">
                  <c:v>37.479999999999997</c:v>
                </c:pt>
                <c:pt idx="2">
                  <c:v>37.479999999999997</c:v>
                </c:pt>
                <c:pt idx="3">
                  <c:v>37.479999999999997</c:v>
                </c:pt>
                <c:pt idx="4">
                  <c:v>37.479999999999997</c:v>
                </c:pt>
                <c:pt idx="5">
                  <c:v>37.479999999999997</c:v>
                </c:pt>
                <c:pt idx="6">
                  <c:v>37.479999999999997</c:v>
                </c:pt>
                <c:pt idx="7">
                  <c:v>37.479999999999997</c:v>
                </c:pt>
                <c:pt idx="8">
                  <c:v>37.479999999999997</c:v>
                </c:pt>
                <c:pt idx="9">
                  <c:v>37.479999999999997</c:v>
                </c:pt>
                <c:pt idx="10">
                  <c:v>37.479999999999997</c:v>
                </c:pt>
                <c:pt idx="11">
                  <c:v>37.479999999999997</c:v>
                </c:pt>
                <c:pt idx="12">
                  <c:v>37.479999999999997</c:v>
                </c:pt>
                <c:pt idx="13">
                  <c:v>37.479999999999997</c:v>
                </c:pt>
                <c:pt idx="14">
                  <c:v>37.479999999999997</c:v>
                </c:pt>
                <c:pt idx="15">
                  <c:v>37.479999999999997</c:v>
                </c:pt>
                <c:pt idx="16">
                  <c:v>37.479999999999997</c:v>
                </c:pt>
                <c:pt idx="17">
                  <c:v>37.479999999999997</c:v>
                </c:pt>
                <c:pt idx="18">
                  <c:v>37.479999999999997</c:v>
                </c:pt>
                <c:pt idx="19">
                  <c:v>37.479999999999997</c:v>
                </c:pt>
                <c:pt idx="20">
                  <c:v>37.479999999999997</c:v>
                </c:pt>
                <c:pt idx="21">
                  <c:v>37.479999999999997</c:v>
                </c:pt>
                <c:pt idx="22">
                  <c:v>37.479999999999997</c:v>
                </c:pt>
                <c:pt idx="23">
                  <c:v>37.479999999999997</c:v>
                </c:pt>
                <c:pt idx="24">
                  <c:v>37.479999999999997</c:v>
                </c:pt>
                <c:pt idx="25">
                  <c:v>37.479999999999997</c:v>
                </c:pt>
                <c:pt idx="26">
                  <c:v>37.479999999999997</c:v>
                </c:pt>
                <c:pt idx="27">
                  <c:v>37.479999999999997</c:v>
                </c:pt>
                <c:pt idx="28">
                  <c:v>37.479999999999997</c:v>
                </c:pt>
                <c:pt idx="29">
                  <c:v>37.479999999999997</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69.470000000000013</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69.569999999999993</c:v>
                </c:pt>
                <c:pt idx="1">
                  <c:v>69.569999999999993</c:v>
                </c:pt>
                <c:pt idx="2">
                  <c:v>69.569999999999993</c:v>
                </c:pt>
                <c:pt idx="3">
                  <c:v>69.569999999999993</c:v>
                </c:pt>
                <c:pt idx="4">
                  <c:v>69.569999999999993</c:v>
                </c:pt>
                <c:pt idx="5">
                  <c:v>69.569999999999993</c:v>
                </c:pt>
                <c:pt idx="6">
                  <c:v>69.569999999999993</c:v>
                </c:pt>
                <c:pt idx="7">
                  <c:v>69.569999999999993</c:v>
                </c:pt>
                <c:pt idx="8">
                  <c:v>69.569999999999993</c:v>
                </c:pt>
                <c:pt idx="9">
                  <c:v>69.569999999999993</c:v>
                </c:pt>
                <c:pt idx="10">
                  <c:v>69.569999999999993</c:v>
                </c:pt>
                <c:pt idx="11">
                  <c:v>69.569999999999993</c:v>
                </c:pt>
                <c:pt idx="12">
                  <c:v>69.569999999999993</c:v>
                </c:pt>
                <c:pt idx="13">
                  <c:v>69.569999999999993</c:v>
                </c:pt>
                <c:pt idx="14">
                  <c:v>69.569999999999993</c:v>
                </c:pt>
                <c:pt idx="15">
                  <c:v>69.569999999999993</c:v>
                </c:pt>
                <c:pt idx="16">
                  <c:v>69.569999999999993</c:v>
                </c:pt>
                <c:pt idx="17">
                  <c:v>69.569999999999993</c:v>
                </c:pt>
                <c:pt idx="18">
                  <c:v>69.569999999999993</c:v>
                </c:pt>
                <c:pt idx="19">
                  <c:v>69.569999999999993</c:v>
                </c:pt>
                <c:pt idx="20">
                  <c:v>69.569999999999993</c:v>
                </c:pt>
                <c:pt idx="21">
                  <c:v>69.569999999999993</c:v>
                </c:pt>
                <c:pt idx="22">
                  <c:v>69.569999999999993</c:v>
                </c:pt>
                <c:pt idx="23">
                  <c:v>69.569999999999993</c:v>
                </c:pt>
                <c:pt idx="24">
                  <c:v>69.569999999999993</c:v>
                </c:pt>
                <c:pt idx="25">
                  <c:v>69.569999999999993</c:v>
                </c:pt>
                <c:pt idx="26">
                  <c:v>69.569999999999993</c:v>
                </c:pt>
                <c:pt idx="27">
                  <c:v>69.569999999999993</c:v>
                </c:pt>
                <c:pt idx="28">
                  <c:v>69.569999999999993</c:v>
                </c:pt>
                <c:pt idx="29">
                  <c:v>69.569999999999993</c:v>
                </c:pt>
                <c:pt idx="30">
                  <c:v>69.569999999999993</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0.33300000000000002</c:v>
                      </c:pt>
                      <c:pt idx="1">
                        <c:v>0.33300000000000002</c:v>
                      </c:pt>
                      <c:pt idx="2">
                        <c:v>0.33300000000000002</c:v>
                      </c:pt>
                      <c:pt idx="3">
                        <c:v>0.33300000000000002</c:v>
                      </c:pt>
                      <c:pt idx="4">
                        <c:v>0.33300000000000002</c:v>
                      </c:pt>
                      <c:pt idx="5">
                        <c:v>0.33300000000000002</c:v>
                      </c:pt>
                      <c:pt idx="6">
                        <c:v>0.33300000000000002</c:v>
                      </c:pt>
                      <c:pt idx="7">
                        <c:v>0.33300000000000002</c:v>
                      </c:pt>
                      <c:pt idx="8">
                        <c:v>0.33300000000000002</c:v>
                      </c:pt>
                      <c:pt idx="9">
                        <c:v>0.33300000000000002</c:v>
                      </c:pt>
                      <c:pt idx="10">
                        <c:v>0.33300000000000002</c:v>
                      </c:pt>
                      <c:pt idx="11">
                        <c:v>0.33300000000000002</c:v>
                      </c:pt>
                      <c:pt idx="12">
                        <c:v>0.33300000000000002</c:v>
                      </c:pt>
                      <c:pt idx="13">
                        <c:v>0.33300000000000002</c:v>
                      </c:pt>
                      <c:pt idx="14">
                        <c:v>0.33300000000000002</c:v>
                      </c:pt>
                      <c:pt idx="15">
                        <c:v>0.33300000000000002</c:v>
                      </c:pt>
                      <c:pt idx="16">
                        <c:v>0.33300000000000002</c:v>
                      </c:pt>
                      <c:pt idx="17">
                        <c:v>0.33300000000000002</c:v>
                      </c:pt>
                      <c:pt idx="18">
                        <c:v>0.33300000000000002</c:v>
                      </c:pt>
                      <c:pt idx="19">
                        <c:v>0.33300000000000002</c:v>
                      </c:pt>
                      <c:pt idx="20">
                        <c:v>0.33300000000000002</c:v>
                      </c:pt>
                      <c:pt idx="21">
                        <c:v>0.33300000000000002</c:v>
                      </c:pt>
                      <c:pt idx="22">
                        <c:v>0.33300000000000002</c:v>
                      </c:pt>
                      <c:pt idx="23">
                        <c:v>0.33300000000000002</c:v>
                      </c:pt>
                      <c:pt idx="24">
                        <c:v>0.33300000000000002</c:v>
                      </c:pt>
                      <c:pt idx="25">
                        <c:v>0.33300000000000002</c:v>
                      </c:pt>
                      <c:pt idx="26">
                        <c:v>0.33300000000000002</c:v>
                      </c:pt>
                      <c:pt idx="27">
                        <c:v>0.33300000000000002</c:v>
                      </c:pt>
                      <c:pt idx="28">
                        <c:v>0.33300000000000002</c:v>
                      </c:pt>
                      <c:pt idx="29">
                        <c:v>0.33300000000000002</c:v>
                      </c:pt>
                      <c:pt idx="30">
                        <c:v>0.33300000000000002</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92.751999999999995</c:v>
                </c:pt>
                <c:pt idx="1">
                  <c:v>92.751999999999995</c:v>
                </c:pt>
                <c:pt idx="2">
                  <c:v>92.751999999999995</c:v>
                </c:pt>
                <c:pt idx="3">
                  <c:v>92.751999999999995</c:v>
                </c:pt>
                <c:pt idx="4">
                  <c:v>92.751999999999995</c:v>
                </c:pt>
                <c:pt idx="5">
                  <c:v>92.751999999999995</c:v>
                </c:pt>
                <c:pt idx="6">
                  <c:v>92.751999999999995</c:v>
                </c:pt>
                <c:pt idx="7">
                  <c:v>92.751999999999995</c:v>
                </c:pt>
                <c:pt idx="8">
                  <c:v>92.751999999999995</c:v>
                </c:pt>
                <c:pt idx="9">
                  <c:v>92.751999999999995</c:v>
                </c:pt>
                <c:pt idx="10">
                  <c:v>92.751999999999995</c:v>
                </c:pt>
                <c:pt idx="11">
                  <c:v>92.751999999999995</c:v>
                </c:pt>
                <c:pt idx="12">
                  <c:v>92.751999999999995</c:v>
                </c:pt>
                <c:pt idx="13">
                  <c:v>92.751999999999995</c:v>
                </c:pt>
                <c:pt idx="14">
                  <c:v>92.751999999999995</c:v>
                </c:pt>
                <c:pt idx="15">
                  <c:v>92.751999999999995</c:v>
                </c:pt>
                <c:pt idx="16">
                  <c:v>92.751999999999995</c:v>
                </c:pt>
                <c:pt idx="17">
                  <c:v>92.751999999999995</c:v>
                </c:pt>
                <c:pt idx="18">
                  <c:v>92.751999999999995</c:v>
                </c:pt>
                <c:pt idx="19">
                  <c:v>92.751999999999995</c:v>
                </c:pt>
                <c:pt idx="20">
                  <c:v>92.751999999999995</c:v>
                </c:pt>
                <c:pt idx="21">
                  <c:v>92.751999999999995</c:v>
                </c:pt>
                <c:pt idx="22">
                  <c:v>92.751999999999995</c:v>
                </c:pt>
                <c:pt idx="23">
                  <c:v>92.751999999999995</c:v>
                </c:pt>
                <c:pt idx="24">
                  <c:v>92.751999999999995</c:v>
                </c:pt>
                <c:pt idx="25">
                  <c:v>92.751999999999995</c:v>
                </c:pt>
                <c:pt idx="26">
                  <c:v>92.751999999999995</c:v>
                </c:pt>
                <c:pt idx="27">
                  <c:v>92.751999999999995</c:v>
                </c:pt>
                <c:pt idx="28">
                  <c:v>92.751999999999995</c:v>
                </c:pt>
                <c:pt idx="29">
                  <c:v>92.751999999999995</c:v>
                </c:pt>
                <c:pt idx="30">
                  <c:v>92.751999999999995</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6.7000000000000004E-2</c:v>
                      </c:pt>
                      <c:pt idx="1">
                        <c:v>0.01</c:v>
                      </c:pt>
                      <c:pt idx="2">
                        <c:v>1.4E-2</c:v>
                      </c:pt>
                      <c:pt idx="3">
                        <c:v>2.1000000000000001E-2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0.53300000000000003</c:v>
                      </c:pt>
                      <c:pt idx="1">
                        <c:v>0.55200000000000005</c:v>
                      </c:pt>
                      <c:pt idx="2">
                        <c:v>0.52800000000000002</c:v>
                      </c:pt>
                      <c:pt idx="3">
                        <c:v>0.52100000000000002</c:v>
                      </c:pt>
                      <c:pt idx="4">
                        <c:v>0.58299999999999996</c:v>
                      </c:pt>
                      <c:pt idx="5">
                        <c:v>0.58299999999999996</c:v>
                      </c:pt>
                      <c:pt idx="6">
                        <c:v>0.58299999999999996</c:v>
                      </c:pt>
                      <c:pt idx="7">
                        <c:v>0.58299999999999996</c:v>
                      </c:pt>
                      <c:pt idx="8">
                        <c:v>0.58299999999999996</c:v>
                      </c:pt>
                      <c:pt idx="9">
                        <c:v>0.58299999999999996</c:v>
                      </c:pt>
                      <c:pt idx="10">
                        <c:v>0.58299999999999996</c:v>
                      </c:pt>
                      <c:pt idx="11">
                        <c:v>0.58299999999999996</c:v>
                      </c:pt>
                      <c:pt idx="12">
                        <c:v>0.58299999999999996</c:v>
                      </c:pt>
                      <c:pt idx="13">
                        <c:v>0.58299999999999996</c:v>
                      </c:pt>
                      <c:pt idx="14">
                        <c:v>0.58299999999999996</c:v>
                      </c:pt>
                      <c:pt idx="15">
                        <c:v>0.58299999999999996</c:v>
                      </c:pt>
                      <c:pt idx="16">
                        <c:v>0.58299999999999996</c:v>
                      </c:pt>
                      <c:pt idx="17">
                        <c:v>0.58299999999999996</c:v>
                      </c:pt>
                      <c:pt idx="18">
                        <c:v>0.58299999999999996</c:v>
                      </c:pt>
                      <c:pt idx="19">
                        <c:v>0.58299999999999996</c:v>
                      </c:pt>
                      <c:pt idx="20">
                        <c:v>0.58299999999999996</c:v>
                      </c:pt>
                      <c:pt idx="21">
                        <c:v>0.58299999999999996</c:v>
                      </c:pt>
                      <c:pt idx="22">
                        <c:v>0.58299999999999996</c:v>
                      </c:pt>
                      <c:pt idx="23">
                        <c:v>0.58299999999999996</c:v>
                      </c:pt>
                      <c:pt idx="24">
                        <c:v>0.58299999999999996</c:v>
                      </c:pt>
                      <c:pt idx="25">
                        <c:v>0.58299999999999996</c:v>
                      </c:pt>
                      <c:pt idx="26">
                        <c:v>0.58299999999999996</c:v>
                      </c:pt>
                      <c:pt idx="27">
                        <c:v>0.58299999999999996</c:v>
                      </c:pt>
                      <c:pt idx="28">
                        <c:v>0.58299999999999996</c:v>
                      </c:pt>
                      <c:pt idx="29">
                        <c:v>0.58299999999999996</c:v>
                      </c:pt>
                      <c:pt idx="30">
                        <c:v>0.58299999999999996</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60.78</c:v>
                      </c:pt>
                      <c:pt idx="1">
                        <c:v>60.78</c:v>
                      </c:pt>
                      <c:pt idx="2">
                        <c:v>60.78</c:v>
                      </c:pt>
                      <c:pt idx="3">
                        <c:v>60.78</c:v>
                      </c:pt>
                      <c:pt idx="4">
                        <c:v>60.78</c:v>
                      </c:pt>
                      <c:pt idx="5">
                        <c:v>60.78</c:v>
                      </c:pt>
                      <c:pt idx="6">
                        <c:v>60.78</c:v>
                      </c:pt>
                      <c:pt idx="7">
                        <c:v>60.78</c:v>
                      </c:pt>
                      <c:pt idx="8">
                        <c:v>60.78</c:v>
                      </c:pt>
                      <c:pt idx="9">
                        <c:v>60.78</c:v>
                      </c:pt>
                      <c:pt idx="10">
                        <c:v>60.78</c:v>
                      </c:pt>
                      <c:pt idx="11">
                        <c:v>60.78</c:v>
                      </c:pt>
                      <c:pt idx="12">
                        <c:v>60.78</c:v>
                      </c:pt>
                      <c:pt idx="13">
                        <c:v>60.78</c:v>
                      </c:pt>
                      <c:pt idx="14">
                        <c:v>60.78</c:v>
                      </c:pt>
                      <c:pt idx="15">
                        <c:v>60.78</c:v>
                      </c:pt>
                      <c:pt idx="16">
                        <c:v>60.78</c:v>
                      </c:pt>
                      <c:pt idx="17">
                        <c:v>60.78</c:v>
                      </c:pt>
                      <c:pt idx="18">
                        <c:v>60.78</c:v>
                      </c:pt>
                      <c:pt idx="19">
                        <c:v>60.78</c:v>
                      </c:pt>
                      <c:pt idx="20">
                        <c:v>60.78</c:v>
                      </c:pt>
                      <c:pt idx="21">
                        <c:v>60.78</c:v>
                      </c:pt>
                      <c:pt idx="22">
                        <c:v>60.78</c:v>
                      </c:pt>
                      <c:pt idx="23">
                        <c:v>60.78</c:v>
                      </c:pt>
                      <c:pt idx="24">
                        <c:v>60.78</c:v>
                      </c:pt>
                      <c:pt idx="25">
                        <c:v>60.78</c:v>
                      </c:pt>
                      <c:pt idx="26">
                        <c:v>60.78</c:v>
                      </c:pt>
                      <c:pt idx="27">
                        <c:v>60.78</c:v>
                      </c:pt>
                      <c:pt idx="28">
                        <c:v>60.78</c:v>
                      </c:pt>
                      <c:pt idx="29">
                        <c:v>60.78</c:v>
                      </c:pt>
                      <c:pt idx="30">
                        <c:v>60.78</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42.991</c:v>
                      </c:pt>
                      <c:pt idx="1">
                        <c:v>42.991</c:v>
                      </c:pt>
                      <c:pt idx="2">
                        <c:v>42.991</c:v>
                      </c:pt>
                      <c:pt idx="3">
                        <c:v>42.991</c:v>
                      </c:pt>
                      <c:pt idx="4">
                        <c:v>42.991</c:v>
                      </c:pt>
                      <c:pt idx="5">
                        <c:v>42.991</c:v>
                      </c:pt>
                      <c:pt idx="6">
                        <c:v>42.991</c:v>
                      </c:pt>
                      <c:pt idx="7">
                        <c:v>42.991</c:v>
                      </c:pt>
                      <c:pt idx="8">
                        <c:v>42.991</c:v>
                      </c:pt>
                      <c:pt idx="9">
                        <c:v>42.991</c:v>
                      </c:pt>
                      <c:pt idx="10">
                        <c:v>42.991</c:v>
                      </c:pt>
                      <c:pt idx="11">
                        <c:v>42.991</c:v>
                      </c:pt>
                      <c:pt idx="12">
                        <c:v>42.991</c:v>
                      </c:pt>
                      <c:pt idx="13">
                        <c:v>42.991</c:v>
                      </c:pt>
                      <c:pt idx="14">
                        <c:v>42.991</c:v>
                      </c:pt>
                      <c:pt idx="15">
                        <c:v>42.991</c:v>
                      </c:pt>
                      <c:pt idx="16">
                        <c:v>42.991</c:v>
                      </c:pt>
                      <c:pt idx="17">
                        <c:v>42.991</c:v>
                      </c:pt>
                      <c:pt idx="18">
                        <c:v>42.991</c:v>
                      </c:pt>
                      <c:pt idx="19">
                        <c:v>42.991</c:v>
                      </c:pt>
                      <c:pt idx="20">
                        <c:v>42.991</c:v>
                      </c:pt>
                      <c:pt idx="21">
                        <c:v>42.991</c:v>
                      </c:pt>
                      <c:pt idx="22">
                        <c:v>42.991</c:v>
                      </c:pt>
                      <c:pt idx="23">
                        <c:v>42.991</c:v>
                      </c:pt>
                      <c:pt idx="24">
                        <c:v>42.991</c:v>
                      </c:pt>
                      <c:pt idx="25">
                        <c:v>42.991</c:v>
                      </c:pt>
                      <c:pt idx="26">
                        <c:v>42.991</c:v>
                      </c:pt>
                      <c:pt idx="27">
                        <c:v>42.991</c:v>
                      </c:pt>
                      <c:pt idx="28">
                        <c:v>42.991</c:v>
                      </c:pt>
                      <c:pt idx="29">
                        <c:v>42.991</c:v>
                      </c:pt>
                      <c:pt idx="30">
                        <c:v>42.991</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112.25</c:v>
                      </c:pt>
                      <c:pt idx="1">
                        <c:v>112.25</c:v>
                      </c:pt>
                      <c:pt idx="2">
                        <c:v>112.25</c:v>
                      </c:pt>
                      <c:pt idx="3">
                        <c:v>112.25</c:v>
                      </c:pt>
                      <c:pt idx="4">
                        <c:v>112.25</c:v>
                      </c:pt>
                      <c:pt idx="5">
                        <c:v>112.25</c:v>
                      </c:pt>
                      <c:pt idx="6">
                        <c:v>112.25</c:v>
                      </c:pt>
                      <c:pt idx="7">
                        <c:v>112.25</c:v>
                      </c:pt>
                      <c:pt idx="8">
                        <c:v>112.25</c:v>
                      </c:pt>
                      <c:pt idx="9">
                        <c:v>112.25</c:v>
                      </c:pt>
                      <c:pt idx="10">
                        <c:v>112.25</c:v>
                      </c:pt>
                      <c:pt idx="11">
                        <c:v>112.25</c:v>
                      </c:pt>
                      <c:pt idx="12">
                        <c:v>112.25</c:v>
                      </c:pt>
                      <c:pt idx="13">
                        <c:v>112.25</c:v>
                      </c:pt>
                      <c:pt idx="14">
                        <c:v>112.25</c:v>
                      </c:pt>
                      <c:pt idx="15">
                        <c:v>112.25</c:v>
                      </c:pt>
                      <c:pt idx="16">
                        <c:v>112.25</c:v>
                      </c:pt>
                      <c:pt idx="17">
                        <c:v>112.25</c:v>
                      </c:pt>
                      <c:pt idx="18">
                        <c:v>112.25</c:v>
                      </c:pt>
                      <c:pt idx="19">
                        <c:v>112.25</c:v>
                      </c:pt>
                      <c:pt idx="20">
                        <c:v>112.25</c:v>
                      </c:pt>
                      <c:pt idx="21">
                        <c:v>112.25</c:v>
                      </c:pt>
                      <c:pt idx="22">
                        <c:v>112.25</c:v>
                      </c:pt>
                      <c:pt idx="23">
                        <c:v>112.25</c:v>
                      </c:pt>
                      <c:pt idx="24">
                        <c:v>112.25</c:v>
                      </c:pt>
                      <c:pt idx="25">
                        <c:v>112.25</c:v>
                      </c:pt>
                      <c:pt idx="26">
                        <c:v>112.25</c:v>
                      </c:pt>
                      <c:pt idx="27">
                        <c:v>112.25</c:v>
                      </c:pt>
                      <c:pt idx="28">
                        <c:v>112.25</c:v>
                      </c:pt>
                      <c:pt idx="29">
                        <c:v>112.25</c:v>
                      </c:pt>
                      <c:pt idx="30">
                        <c:v>112.25</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0</c:v>
                      </c:pt>
                      <c:pt idx="5">
                        <c:v>553.79999999999995</c:v>
                      </c:pt>
                      <c:pt idx="6">
                        <c:v>553.79999999999995</c:v>
                      </c:pt>
                      <c:pt idx="7">
                        <c:v>553.79999999999995</c:v>
                      </c:pt>
                      <c:pt idx="8">
                        <c:v>553.79999999999995</c:v>
                      </c:pt>
                      <c:pt idx="9">
                        <c:v>553.79999999999995</c:v>
                      </c:pt>
                      <c:pt idx="10">
                        <c:v>553.79999999999995</c:v>
                      </c:pt>
                      <c:pt idx="11">
                        <c:v>553.79999999999995</c:v>
                      </c:pt>
                      <c:pt idx="12">
                        <c:v>553.79999999999995</c:v>
                      </c:pt>
                      <c:pt idx="13">
                        <c:v>553.79999999999995</c:v>
                      </c:pt>
                      <c:pt idx="14">
                        <c:v>553.79999999999995</c:v>
                      </c:pt>
                      <c:pt idx="15">
                        <c:v>553.79999999999995</c:v>
                      </c:pt>
                      <c:pt idx="16">
                        <c:v>553.79999999999995</c:v>
                      </c:pt>
                      <c:pt idx="17">
                        <c:v>553.79999999999995</c:v>
                      </c:pt>
                      <c:pt idx="18">
                        <c:v>553.79999999999995</c:v>
                      </c:pt>
                      <c:pt idx="19">
                        <c:v>553.79999999999995</c:v>
                      </c:pt>
                      <c:pt idx="20">
                        <c:v>553.79999999999995</c:v>
                      </c:pt>
                      <c:pt idx="21">
                        <c:v>553.79999999999995</c:v>
                      </c:pt>
                      <c:pt idx="22">
                        <c:v>553.79999999999995</c:v>
                      </c:pt>
                      <c:pt idx="23">
                        <c:v>553.79999999999995</c:v>
                      </c:pt>
                      <c:pt idx="24">
                        <c:v>553.79999999999995</c:v>
                      </c:pt>
                      <c:pt idx="25">
                        <c:v>553.79999999999995</c:v>
                      </c:pt>
                      <c:pt idx="26">
                        <c:v>553.79999999999995</c:v>
                      </c:pt>
                      <c:pt idx="27">
                        <c:v>553.79999999999995</c:v>
                      </c:pt>
                      <c:pt idx="28">
                        <c:v>553.79999999999995</c:v>
                      </c:pt>
                      <c:pt idx="29">
                        <c:v>553.79999999999995</c:v>
                      </c:pt>
                      <c:pt idx="30">
                        <c:v>553.79999999999995</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0.49818510533949073</c:v>
                </c:pt>
              </c:numCache>
            </c:numRef>
          </c:xVal>
          <c:yVal>
            <c:numRef>
              <c:f>[1]omie_dinamic_dia!$Y$11:$Y$12</c:f>
              <c:numCache>
                <c:formatCode>General</c:formatCode>
                <c:ptCount val="2"/>
                <c:pt idx="0">
                  <c:v>0</c:v>
                </c:pt>
                <c:pt idx="1">
                  <c:v>0.86707070116449014</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-0.91269158740350276</c:v>
                </c:pt>
              </c:numCache>
            </c:numRef>
          </c:xVal>
          <c:yVal>
            <c:numRef>
              <c:f>[1]omie_dinamic_dia!$AC$20:$AC$21</c:f>
              <c:numCache>
                <c:formatCode>General</c:formatCode>
                <c:ptCount val="2"/>
                <c:pt idx="0">
                  <c:v>0</c:v>
                </c:pt>
                <c:pt idx="1">
                  <c:v>0.40864907473634904</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0.97858090432547218</c:v>
                </c:pt>
              </c:numCache>
            </c:numRef>
          </c:xVal>
          <c:yVal>
            <c:numRef>
              <c:f>[1]omie_dinamic_dia!$Y$37:$Y$38</c:f>
              <c:numCache>
                <c:formatCode>General</c:formatCode>
                <c:ptCount val="2"/>
                <c:pt idx="0">
                  <c:v>0</c:v>
                </c:pt>
                <c:pt idx="1">
                  <c:v>-0.20586260876988119</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37.479999999999997</c:v>
                </c:pt>
                <c:pt idx="1">
                  <c:v>37.479999999999997</c:v>
                </c:pt>
                <c:pt idx="2">
                  <c:v>37.479999999999997</c:v>
                </c:pt>
                <c:pt idx="3">
                  <c:v>37.479999999999997</c:v>
                </c:pt>
                <c:pt idx="4">
                  <c:v>37.479999999999997</c:v>
                </c:pt>
                <c:pt idx="5">
                  <c:v>37.479999999999997</c:v>
                </c:pt>
                <c:pt idx="6">
                  <c:v>37.479999999999997</c:v>
                </c:pt>
                <c:pt idx="7">
                  <c:v>37.479999999999997</c:v>
                </c:pt>
                <c:pt idx="8">
                  <c:v>37.479999999999997</c:v>
                </c:pt>
                <c:pt idx="9">
                  <c:v>37.479999999999997</c:v>
                </c:pt>
                <c:pt idx="10">
                  <c:v>37.479999999999997</c:v>
                </c:pt>
                <c:pt idx="11">
                  <c:v>37.479999999999997</c:v>
                </c:pt>
                <c:pt idx="12">
                  <c:v>37.479999999999997</c:v>
                </c:pt>
                <c:pt idx="13">
                  <c:v>37.479999999999997</c:v>
                </c:pt>
                <c:pt idx="14">
                  <c:v>37.479999999999997</c:v>
                </c:pt>
                <c:pt idx="15">
                  <c:v>37.479999999999997</c:v>
                </c:pt>
                <c:pt idx="16">
                  <c:v>37.479999999999997</c:v>
                </c:pt>
                <c:pt idx="17">
                  <c:v>37.479999999999997</c:v>
                </c:pt>
                <c:pt idx="18">
                  <c:v>37.479999999999997</c:v>
                </c:pt>
                <c:pt idx="19">
                  <c:v>37.479999999999997</c:v>
                </c:pt>
                <c:pt idx="20">
                  <c:v>37.479999999999997</c:v>
                </c:pt>
                <c:pt idx="21">
                  <c:v>37.479999999999997</c:v>
                </c:pt>
                <c:pt idx="22">
                  <c:v>37.479999999999997</c:v>
                </c:pt>
                <c:pt idx="23">
                  <c:v>37.479999999999997</c:v>
                </c:pt>
                <c:pt idx="24">
                  <c:v>37.479999999999997</c:v>
                </c:pt>
                <c:pt idx="25">
                  <c:v>37.479999999999997</c:v>
                </c:pt>
                <c:pt idx="26">
                  <c:v>37.479999999999997</c:v>
                </c:pt>
                <c:pt idx="27">
                  <c:v>37.479999999999997</c:v>
                </c:pt>
                <c:pt idx="28">
                  <c:v>37.479999999999997</c:v>
                </c:pt>
                <c:pt idx="29">
                  <c:v>37.479999999999997</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69.470000000000013</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69.569999999999993</c:v>
                </c:pt>
                <c:pt idx="1">
                  <c:v>69.569999999999993</c:v>
                </c:pt>
                <c:pt idx="2">
                  <c:v>69.569999999999993</c:v>
                </c:pt>
                <c:pt idx="3">
                  <c:v>69.569999999999993</c:v>
                </c:pt>
                <c:pt idx="4">
                  <c:v>69.569999999999993</c:v>
                </c:pt>
                <c:pt idx="5">
                  <c:v>69.569999999999993</c:v>
                </c:pt>
                <c:pt idx="6">
                  <c:v>69.569999999999993</c:v>
                </c:pt>
                <c:pt idx="7">
                  <c:v>69.569999999999993</c:v>
                </c:pt>
                <c:pt idx="8">
                  <c:v>69.569999999999993</c:v>
                </c:pt>
                <c:pt idx="9">
                  <c:v>69.569999999999993</c:v>
                </c:pt>
                <c:pt idx="10">
                  <c:v>69.569999999999993</c:v>
                </c:pt>
                <c:pt idx="11">
                  <c:v>69.569999999999993</c:v>
                </c:pt>
                <c:pt idx="12">
                  <c:v>69.569999999999993</c:v>
                </c:pt>
                <c:pt idx="13">
                  <c:v>69.569999999999993</c:v>
                </c:pt>
                <c:pt idx="14">
                  <c:v>69.569999999999993</c:v>
                </c:pt>
                <c:pt idx="15">
                  <c:v>69.569999999999993</c:v>
                </c:pt>
                <c:pt idx="16">
                  <c:v>69.569999999999993</c:v>
                </c:pt>
                <c:pt idx="17">
                  <c:v>69.569999999999993</c:v>
                </c:pt>
                <c:pt idx="18">
                  <c:v>69.569999999999993</c:v>
                </c:pt>
                <c:pt idx="19">
                  <c:v>69.569999999999993</c:v>
                </c:pt>
                <c:pt idx="20">
                  <c:v>69.569999999999993</c:v>
                </c:pt>
                <c:pt idx="21">
                  <c:v>69.569999999999993</c:v>
                </c:pt>
                <c:pt idx="22">
                  <c:v>69.569999999999993</c:v>
                </c:pt>
                <c:pt idx="23">
                  <c:v>69.569999999999993</c:v>
                </c:pt>
                <c:pt idx="24">
                  <c:v>69.569999999999993</c:v>
                </c:pt>
                <c:pt idx="25">
                  <c:v>69.569999999999993</c:v>
                </c:pt>
                <c:pt idx="26">
                  <c:v>69.569999999999993</c:v>
                </c:pt>
                <c:pt idx="27">
                  <c:v>69.569999999999993</c:v>
                </c:pt>
                <c:pt idx="28">
                  <c:v>69.569999999999993</c:v>
                </c:pt>
                <c:pt idx="29">
                  <c:v>69.569999999999993</c:v>
                </c:pt>
                <c:pt idx="30">
                  <c:v>69.569999999999993</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0.33300000000000002</c:v>
                      </c:pt>
                      <c:pt idx="1">
                        <c:v>0.33300000000000002</c:v>
                      </c:pt>
                      <c:pt idx="2">
                        <c:v>0.33300000000000002</c:v>
                      </c:pt>
                      <c:pt idx="3">
                        <c:v>0.33300000000000002</c:v>
                      </c:pt>
                      <c:pt idx="4">
                        <c:v>0.33300000000000002</c:v>
                      </c:pt>
                      <c:pt idx="5">
                        <c:v>0.33300000000000002</c:v>
                      </c:pt>
                      <c:pt idx="6">
                        <c:v>0.33300000000000002</c:v>
                      </c:pt>
                      <c:pt idx="7">
                        <c:v>0.33300000000000002</c:v>
                      </c:pt>
                      <c:pt idx="8">
                        <c:v>0.33300000000000002</c:v>
                      </c:pt>
                      <c:pt idx="9">
                        <c:v>0.33300000000000002</c:v>
                      </c:pt>
                      <c:pt idx="10">
                        <c:v>0.33300000000000002</c:v>
                      </c:pt>
                      <c:pt idx="11">
                        <c:v>0.33300000000000002</c:v>
                      </c:pt>
                      <c:pt idx="12">
                        <c:v>0.33300000000000002</c:v>
                      </c:pt>
                      <c:pt idx="13">
                        <c:v>0.33300000000000002</c:v>
                      </c:pt>
                      <c:pt idx="14">
                        <c:v>0.33300000000000002</c:v>
                      </c:pt>
                      <c:pt idx="15">
                        <c:v>0.33300000000000002</c:v>
                      </c:pt>
                      <c:pt idx="16">
                        <c:v>0.33300000000000002</c:v>
                      </c:pt>
                      <c:pt idx="17">
                        <c:v>0.33300000000000002</c:v>
                      </c:pt>
                      <c:pt idx="18">
                        <c:v>0.33300000000000002</c:v>
                      </c:pt>
                      <c:pt idx="19">
                        <c:v>0.33300000000000002</c:v>
                      </c:pt>
                      <c:pt idx="20">
                        <c:v>0.33300000000000002</c:v>
                      </c:pt>
                      <c:pt idx="21">
                        <c:v>0.33300000000000002</c:v>
                      </c:pt>
                      <c:pt idx="22">
                        <c:v>0.33300000000000002</c:v>
                      </c:pt>
                      <c:pt idx="23">
                        <c:v>0.33300000000000002</c:v>
                      </c:pt>
                      <c:pt idx="24">
                        <c:v>0.33300000000000002</c:v>
                      </c:pt>
                      <c:pt idx="25">
                        <c:v>0.33300000000000002</c:v>
                      </c:pt>
                      <c:pt idx="26">
                        <c:v>0.33300000000000002</c:v>
                      </c:pt>
                      <c:pt idx="27">
                        <c:v>0.33300000000000002</c:v>
                      </c:pt>
                      <c:pt idx="28">
                        <c:v>0.33300000000000002</c:v>
                      </c:pt>
                      <c:pt idx="29">
                        <c:v>0.33300000000000002</c:v>
                      </c:pt>
                      <c:pt idx="30">
                        <c:v>0.33300000000000002</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92.751999999999995</c:v>
                </c:pt>
                <c:pt idx="1">
                  <c:v>92.751999999999995</c:v>
                </c:pt>
                <c:pt idx="2">
                  <c:v>92.751999999999995</c:v>
                </c:pt>
                <c:pt idx="3">
                  <c:v>92.751999999999995</c:v>
                </c:pt>
                <c:pt idx="4">
                  <c:v>92.751999999999995</c:v>
                </c:pt>
                <c:pt idx="5">
                  <c:v>92.751999999999995</c:v>
                </c:pt>
                <c:pt idx="6">
                  <c:v>92.751999999999995</c:v>
                </c:pt>
                <c:pt idx="7">
                  <c:v>92.751999999999995</c:v>
                </c:pt>
                <c:pt idx="8">
                  <c:v>92.751999999999995</c:v>
                </c:pt>
                <c:pt idx="9">
                  <c:v>92.751999999999995</c:v>
                </c:pt>
                <c:pt idx="10">
                  <c:v>92.751999999999995</c:v>
                </c:pt>
                <c:pt idx="11">
                  <c:v>92.751999999999995</c:v>
                </c:pt>
                <c:pt idx="12">
                  <c:v>92.751999999999995</c:v>
                </c:pt>
                <c:pt idx="13">
                  <c:v>92.751999999999995</c:v>
                </c:pt>
                <c:pt idx="14">
                  <c:v>92.751999999999995</c:v>
                </c:pt>
                <c:pt idx="15">
                  <c:v>92.751999999999995</c:v>
                </c:pt>
                <c:pt idx="16">
                  <c:v>92.751999999999995</c:v>
                </c:pt>
                <c:pt idx="17">
                  <c:v>92.751999999999995</c:v>
                </c:pt>
                <c:pt idx="18">
                  <c:v>92.751999999999995</c:v>
                </c:pt>
                <c:pt idx="19">
                  <c:v>92.751999999999995</c:v>
                </c:pt>
                <c:pt idx="20">
                  <c:v>92.751999999999995</c:v>
                </c:pt>
                <c:pt idx="21">
                  <c:v>92.751999999999995</c:v>
                </c:pt>
                <c:pt idx="22">
                  <c:v>92.751999999999995</c:v>
                </c:pt>
                <c:pt idx="23">
                  <c:v>92.751999999999995</c:v>
                </c:pt>
                <c:pt idx="24">
                  <c:v>92.751999999999995</c:v>
                </c:pt>
                <c:pt idx="25">
                  <c:v>92.751999999999995</c:v>
                </c:pt>
                <c:pt idx="26">
                  <c:v>92.751999999999995</c:v>
                </c:pt>
                <c:pt idx="27">
                  <c:v>92.751999999999995</c:v>
                </c:pt>
                <c:pt idx="28">
                  <c:v>92.751999999999995</c:v>
                </c:pt>
                <c:pt idx="29">
                  <c:v>92.751999999999995</c:v>
                </c:pt>
                <c:pt idx="30">
                  <c:v>92.751999999999995</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6.7000000000000004E-2</c:v>
                      </c:pt>
                      <c:pt idx="1">
                        <c:v>0.01</c:v>
                      </c:pt>
                      <c:pt idx="2">
                        <c:v>1.4E-2</c:v>
                      </c:pt>
                      <c:pt idx="3">
                        <c:v>2.1000000000000001E-2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0.53300000000000003</c:v>
                      </c:pt>
                      <c:pt idx="1">
                        <c:v>0.55200000000000005</c:v>
                      </c:pt>
                      <c:pt idx="2">
                        <c:v>0.52800000000000002</c:v>
                      </c:pt>
                      <c:pt idx="3">
                        <c:v>0.52100000000000002</c:v>
                      </c:pt>
                      <c:pt idx="4">
                        <c:v>0.58299999999999996</c:v>
                      </c:pt>
                      <c:pt idx="5">
                        <c:v>0.58299999999999996</c:v>
                      </c:pt>
                      <c:pt idx="6">
                        <c:v>0.58299999999999996</c:v>
                      </c:pt>
                      <c:pt idx="7">
                        <c:v>0.58299999999999996</c:v>
                      </c:pt>
                      <c:pt idx="8">
                        <c:v>0.58299999999999996</c:v>
                      </c:pt>
                      <c:pt idx="9">
                        <c:v>0.58299999999999996</c:v>
                      </c:pt>
                      <c:pt idx="10">
                        <c:v>0.58299999999999996</c:v>
                      </c:pt>
                      <c:pt idx="11">
                        <c:v>0.58299999999999996</c:v>
                      </c:pt>
                      <c:pt idx="12">
                        <c:v>0.58299999999999996</c:v>
                      </c:pt>
                      <c:pt idx="13">
                        <c:v>0.58299999999999996</c:v>
                      </c:pt>
                      <c:pt idx="14">
                        <c:v>0.58299999999999996</c:v>
                      </c:pt>
                      <c:pt idx="15">
                        <c:v>0.58299999999999996</c:v>
                      </c:pt>
                      <c:pt idx="16">
                        <c:v>0.58299999999999996</c:v>
                      </c:pt>
                      <c:pt idx="17">
                        <c:v>0.58299999999999996</c:v>
                      </c:pt>
                      <c:pt idx="18">
                        <c:v>0.58299999999999996</c:v>
                      </c:pt>
                      <c:pt idx="19">
                        <c:v>0.58299999999999996</c:v>
                      </c:pt>
                      <c:pt idx="20">
                        <c:v>0.58299999999999996</c:v>
                      </c:pt>
                      <c:pt idx="21">
                        <c:v>0.58299999999999996</c:v>
                      </c:pt>
                      <c:pt idx="22">
                        <c:v>0.58299999999999996</c:v>
                      </c:pt>
                      <c:pt idx="23">
                        <c:v>0.58299999999999996</c:v>
                      </c:pt>
                      <c:pt idx="24">
                        <c:v>0.58299999999999996</c:v>
                      </c:pt>
                      <c:pt idx="25">
                        <c:v>0.58299999999999996</c:v>
                      </c:pt>
                      <c:pt idx="26">
                        <c:v>0.58299999999999996</c:v>
                      </c:pt>
                      <c:pt idx="27">
                        <c:v>0.58299999999999996</c:v>
                      </c:pt>
                      <c:pt idx="28">
                        <c:v>0.58299999999999996</c:v>
                      </c:pt>
                      <c:pt idx="29">
                        <c:v>0.58299999999999996</c:v>
                      </c:pt>
                      <c:pt idx="30">
                        <c:v>0.58299999999999996</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60.78</c:v>
                      </c:pt>
                      <c:pt idx="1">
                        <c:v>60.78</c:v>
                      </c:pt>
                      <c:pt idx="2">
                        <c:v>60.78</c:v>
                      </c:pt>
                      <c:pt idx="3">
                        <c:v>60.78</c:v>
                      </c:pt>
                      <c:pt idx="4">
                        <c:v>60.78</c:v>
                      </c:pt>
                      <c:pt idx="5">
                        <c:v>60.78</c:v>
                      </c:pt>
                      <c:pt idx="6">
                        <c:v>60.78</c:v>
                      </c:pt>
                      <c:pt idx="7">
                        <c:v>60.78</c:v>
                      </c:pt>
                      <c:pt idx="8">
                        <c:v>60.78</c:v>
                      </c:pt>
                      <c:pt idx="9">
                        <c:v>60.78</c:v>
                      </c:pt>
                      <c:pt idx="10">
                        <c:v>60.78</c:v>
                      </c:pt>
                      <c:pt idx="11">
                        <c:v>60.78</c:v>
                      </c:pt>
                      <c:pt idx="12">
                        <c:v>60.78</c:v>
                      </c:pt>
                      <c:pt idx="13">
                        <c:v>60.78</c:v>
                      </c:pt>
                      <c:pt idx="14">
                        <c:v>60.78</c:v>
                      </c:pt>
                      <c:pt idx="15">
                        <c:v>60.78</c:v>
                      </c:pt>
                      <c:pt idx="16">
                        <c:v>60.78</c:v>
                      </c:pt>
                      <c:pt idx="17">
                        <c:v>60.78</c:v>
                      </c:pt>
                      <c:pt idx="18">
                        <c:v>60.78</c:v>
                      </c:pt>
                      <c:pt idx="19">
                        <c:v>60.78</c:v>
                      </c:pt>
                      <c:pt idx="20">
                        <c:v>60.78</c:v>
                      </c:pt>
                      <c:pt idx="21">
                        <c:v>60.78</c:v>
                      </c:pt>
                      <c:pt idx="22">
                        <c:v>60.78</c:v>
                      </c:pt>
                      <c:pt idx="23">
                        <c:v>60.78</c:v>
                      </c:pt>
                      <c:pt idx="24">
                        <c:v>60.78</c:v>
                      </c:pt>
                      <c:pt idx="25">
                        <c:v>60.78</c:v>
                      </c:pt>
                      <c:pt idx="26">
                        <c:v>60.78</c:v>
                      </c:pt>
                      <c:pt idx="27">
                        <c:v>60.78</c:v>
                      </c:pt>
                      <c:pt idx="28">
                        <c:v>60.78</c:v>
                      </c:pt>
                      <c:pt idx="29">
                        <c:v>60.78</c:v>
                      </c:pt>
                      <c:pt idx="30">
                        <c:v>60.78</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42.991</c:v>
                      </c:pt>
                      <c:pt idx="1">
                        <c:v>42.991</c:v>
                      </c:pt>
                      <c:pt idx="2">
                        <c:v>42.991</c:v>
                      </c:pt>
                      <c:pt idx="3">
                        <c:v>42.991</c:v>
                      </c:pt>
                      <c:pt idx="4">
                        <c:v>42.991</c:v>
                      </c:pt>
                      <c:pt idx="5">
                        <c:v>42.991</c:v>
                      </c:pt>
                      <c:pt idx="6">
                        <c:v>42.991</c:v>
                      </c:pt>
                      <c:pt idx="7">
                        <c:v>42.991</c:v>
                      </c:pt>
                      <c:pt idx="8">
                        <c:v>42.991</c:v>
                      </c:pt>
                      <c:pt idx="9">
                        <c:v>42.991</c:v>
                      </c:pt>
                      <c:pt idx="10">
                        <c:v>42.991</c:v>
                      </c:pt>
                      <c:pt idx="11">
                        <c:v>42.991</c:v>
                      </c:pt>
                      <c:pt idx="12">
                        <c:v>42.991</c:v>
                      </c:pt>
                      <c:pt idx="13">
                        <c:v>42.991</c:v>
                      </c:pt>
                      <c:pt idx="14">
                        <c:v>42.991</c:v>
                      </c:pt>
                      <c:pt idx="15">
                        <c:v>42.991</c:v>
                      </c:pt>
                      <c:pt idx="16">
                        <c:v>42.991</c:v>
                      </c:pt>
                      <c:pt idx="17">
                        <c:v>42.991</c:v>
                      </c:pt>
                      <c:pt idx="18">
                        <c:v>42.991</c:v>
                      </c:pt>
                      <c:pt idx="19">
                        <c:v>42.991</c:v>
                      </c:pt>
                      <c:pt idx="20">
                        <c:v>42.991</c:v>
                      </c:pt>
                      <c:pt idx="21">
                        <c:v>42.991</c:v>
                      </c:pt>
                      <c:pt idx="22">
                        <c:v>42.991</c:v>
                      </c:pt>
                      <c:pt idx="23">
                        <c:v>42.991</c:v>
                      </c:pt>
                      <c:pt idx="24">
                        <c:v>42.991</c:v>
                      </c:pt>
                      <c:pt idx="25">
                        <c:v>42.991</c:v>
                      </c:pt>
                      <c:pt idx="26">
                        <c:v>42.991</c:v>
                      </c:pt>
                      <c:pt idx="27">
                        <c:v>42.991</c:v>
                      </c:pt>
                      <c:pt idx="28">
                        <c:v>42.991</c:v>
                      </c:pt>
                      <c:pt idx="29">
                        <c:v>42.991</c:v>
                      </c:pt>
                      <c:pt idx="30">
                        <c:v>42.991</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112.25</c:v>
                      </c:pt>
                      <c:pt idx="1">
                        <c:v>112.25</c:v>
                      </c:pt>
                      <c:pt idx="2">
                        <c:v>112.25</c:v>
                      </c:pt>
                      <c:pt idx="3">
                        <c:v>112.25</c:v>
                      </c:pt>
                      <c:pt idx="4">
                        <c:v>112.25</c:v>
                      </c:pt>
                      <c:pt idx="5">
                        <c:v>112.25</c:v>
                      </c:pt>
                      <c:pt idx="6">
                        <c:v>112.25</c:v>
                      </c:pt>
                      <c:pt idx="7">
                        <c:v>112.25</c:v>
                      </c:pt>
                      <c:pt idx="8">
                        <c:v>112.25</c:v>
                      </c:pt>
                      <c:pt idx="9">
                        <c:v>112.25</c:v>
                      </c:pt>
                      <c:pt idx="10">
                        <c:v>112.25</c:v>
                      </c:pt>
                      <c:pt idx="11">
                        <c:v>112.25</c:v>
                      </c:pt>
                      <c:pt idx="12">
                        <c:v>112.25</c:v>
                      </c:pt>
                      <c:pt idx="13">
                        <c:v>112.25</c:v>
                      </c:pt>
                      <c:pt idx="14">
                        <c:v>112.25</c:v>
                      </c:pt>
                      <c:pt idx="15">
                        <c:v>112.25</c:v>
                      </c:pt>
                      <c:pt idx="16">
                        <c:v>112.25</c:v>
                      </c:pt>
                      <c:pt idx="17">
                        <c:v>112.25</c:v>
                      </c:pt>
                      <c:pt idx="18">
                        <c:v>112.25</c:v>
                      </c:pt>
                      <c:pt idx="19">
                        <c:v>112.25</c:v>
                      </c:pt>
                      <c:pt idx="20">
                        <c:v>112.25</c:v>
                      </c:pt>
                      <c:pt idx="21">
                        <c:v>112.25</c:v>
                      </c:pt>
                      <c:pt idx="22">
                        <c:v>112.25</c:v>
                      </c:pt>
                      <c:pt idx="23">
                        <c:v>112.25</c:v>
                      </c:pt>
                      <c:pt idx="24">
                        <c:v>112.25</c:v>
                      </c:pt>
                      <c:pt idx="25">
                        <c:v>112.25</c:v>
                      </c:pt>
                      <c:pt idx="26">
                        <c:v>112.25</c:v>
                      </c:pt>
                      <c:pt idx="27">
                        <c:v>112.25</c:v>
                      </c:pt>
                      <c:pt idx="28">
                        <c:v>112.25</c:v>
                      </c:pt>
                      <c:pt idx="29">
                        <c:v>112.25</c:v>
                      </c:pt>
                      <c:pt idx="30">
                        <c:v>112.25</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0</c:v>
                      </c:pt>
                      <c:pt idx="5">
                        <c:v>553.79999999999995</c:v>
                      </c:pt>
                      <c:pt idx="6">
                        <c:v>553.79999999999995</c:v>
                      </c:pt>
                      <c:pt idx="7">
                        <c:v>553.79999999999995</c:v>
                      </c:pt>
                      <c:pt idx="8">
                        <c:v>553.79999999999995</c:v>
                      </c:pt>
                      <c:pt idx="9">
                        <c:v>553.79999999999995</c:v>
                      </c:pt>
                      <c:pt idx="10">
                        <c:v>553.79999999999995</c:v>
                      </c:pt>
                      <c:pt idx="11">
                        <c:v>553.79999999999995</c:v>
                      </c:pt>
                      <c:pt idx="12">
                        <c:v>553.79999999999995</c:v>
                      </c:pt>
                      <c:pt idx="13">
                        <c:v>553.79999999999995</c:v>
                      </c:pt>
                      <c:pt idx="14">
                        <c:v>553.79999999999995</c:v>
                      </c:pt>
                      <c:pt idx="15">
                        <c:v>553.79999999999995</c:v>
                      </c:pt>
                      <c:pt idx="16">
                        <c:v>553.79999999999995</c:v>
                      </c:pt>
                      <c:pt idx="17">
                        <c:v>553.79999999999995</c:v>
                      </c:pt>
                      <c:pt idx="18">
                        <c:v>553.79999999999995</c:v>
                      </c:pt>
                      <c:pt idx="19">
                        <c:v>553.79999999999995</c:v>
                      </c:pt>
                      <c:pt idx="20">
                        <c:v>553.79999999999995</c:v>
                      </c:pt>
                      <c:pt idx="21">
                        <c:v>553.79999999999995</c:v>
                      </c:pt>
                      <c:pt idx="22">
                        <c:v>553.79999999999995</c:v>
                      </c:pt>
                      <c:pt idx="23">
                        <c:v>553.79999999999995</c:v>
                      </c:pt>
                      <c:pt idx="24">
                        <c:v>553.79999999999995</c:v>
                      </c:pt>
                      <c:pt idx="25">
                        <c:v>553.79999999999995</c:v>
                      </c:pt>
                      <c:pt idx="26">
                        <c:v>553.79999999999995</c:v>
                      </c:pt>
                      <c:pt idx="27">
                        <c:v>553.79999999999995</c:v>
                      </c:pt>
                      <c:pt idx="28">
                        <c:v>553.79999999999995</c:v>
                      </c:pt>
                      <c:pt idx="29">
                        <c:v>553.79999999999995</c:v>
                      </c:pt>
                      <c:pt idx="30">
                        <c:v>553.79999999999995</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0.49818510533949073</c:v>
                </c:pt>
              </c:numCache>
            </c:numRef>
          </c:xVal>
          <c:yVal>
            <c:numRef>
              <c:f>[1]omie_dinamic_dia!$Y$11:$Y$12</c:f>
              <c:numCache>
                <c:formatCode>General</c:formatCode>
                <c:ptCount val="2"/>
                <c:pt idx="0">
                  <c:v>0</c:v>
                </c:pt>
                <c:pt idx="1">
                  <c:v>0.86707070116449014</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-0.91269158740350276</c:v>
                </c:pt>
              </c:numCache>
            </c:numRef>
          </c:xVal>
          <c:yVal>
            <c:numRef>
              <c:f>[1]omie_dinamic_dia!$AC$20:$AC$21</c:f>
              <c:numCache>
                <c:formatCode>General</c:formatCode>
                <c:ptCount val="2"/>
                <c:pt idx="0">
                  <c:v>0</c:v>
                </c:pt>
                <c:pt idx="1">
                  <c:v>0.40864907473634904</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0.97858090432547218</c:v>
                </c:pt>
              </c:numCache>
            </c:numRef>
          </c:xVal>
          <c:yVal>
            <c:numRef>
              <c:f>[1]omie_dinamic_dia!$Y$37:$Y$38</c:f>
              <c:numCache>
                <c:formatCode>General</c:formatCode>
                <c:ptCount val="2"/>
                <c:pt idx="0">
                  <c:v>0</c:v>
                </c:pt>
                <c:pt idx="1">
                  <c:v>-0.20586260876988119</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37.479999999999997</c:v>
                </c:pt>
                <c:pt idx="1">
                  <c:v>37.479999999999997</c:v>
                </c:pt>
                <c:pt idx="2">
                  <c:v>37.479999999999997</c:v>
                </c:pt>
                <c:pt idx="3">
                  <c:v>37.479999999999997</c:v>
                </c:pt>
                <c:pt idx="4">
                  <c:v>37.479999999999997</c:v>
                </c:pt>
                <c:pt idx="5">
                  <c:v>37.479999999999997</c:v>
                </c:pt>
                <c:pt idx="6">
                  <c:v>37.479999999999997</c:v>
                </c:pt>
                <c:pt idx="7">
                  <c:v>37.479999999999997</c:v>
                </c:pt>
                <c:pt idx="8">
                  <c:v>37.479999999999997</c:v>
                </c:pt>
                <c:pt idx="9">
                  <c:v>37.479999999999997</c:v>
                </c:pt>
                <c:pt idx="10">
                  <c:v>37.479999999999997</c:v>
                </c:pt>
                <c:pt idx="11">
                  <c:v>37.479999999999997</c:v>
                </c:pt>
                <c:pt idx="12">
                  <c:v>37.479999999999997</c:v>
                </c:pt>
                <c:pt idx="13">
                  <c:v>37.479999999999997</c:v>
                </c:pt>
                <c:pt idx="14">
                  <c:v>37.479999999999997</c:v>
                </c:pt>
                <c:pt idx="15">
                  <c:v>37.479999999999997</c:v>
                </c:pt>
                <c:pt idx="16">
                  <c:v>37.479999999999997</c:v>
                </c:pt>
                <c:pt idx="17">
                  <c:v>37.479999999999997</c:v>
                </c:pt>
                <c:pt idx="18">
                  <c:v>37.479999999999997</c:v>
                </c:pt>
                <c:pt idx="19">
                  <c:v>37.479999999999997</c:v>
                </c:pt>
                <c:pt idx="20">
                  <c:v>37.479999999999997</c:v>
                </c:pt>
                <c:pt idx="21">
                  <c:v>37.479999999999997</c:v>
                </c:pt>
                <c:pt idx="22">
                  <c:v>37.479999999999997</c:v>
                </c:pt>
                <c:pt idx="23">
                  <c:v>37.479999999999997</c:v>
                </c:pt>
                <c:pt idx="24">
                  <c:v>37.479999999999997</c:v>
                </c:pt>
                <c:pt idx="25">
                  <c:v>37.479999999999997</c:v>
                </c:pt>
                <c:pt idx="26">
                  <c:v>37.479999999999997</c:v>
                </c:pt>
                <c:pt idx="27">
                  <c:v>37.479999999999997</c:v>
                </c:pt>
                <c:pt idx="28">
                  <c:v>37.479999999999997</c:v>
                </c:pt>
                <c:pt idx="29">
                  <c:v>37.479999999999997</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69.470000000000013</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69.569999999999993</c:v>
                </c:pt>
                <c:pt idx="1">
                  <c:v>69.569999999999993</c:v>
                </c:pt>
                <c:pt idx="2">
                  <c:v>69.569999999999993</c:v>
                </c:pt>
                <c:pt idx="3">
                  <c:v>69.569999999999993</c:v>
                </c:pt>
                <c:pt idx="4">
                  <c:v>69.569999999999993</c:v>
                </c:pt>
                <c:pt idx="5">
                  <c:v>69.569999999999993</c:v>
                </c:pt>
                <c:pt idx="6">
                  <c:v>69.569999999999993</c:v>
                </c:pt>
                <c:pt idx="7">
                  <c:v>69.569999999999993</c:v>
                </c:pt>
                <c:pt idx="8">
                  <c:v>69.569999999999993</c:v>
                </c:pt>
                <c:pt idx="9">
                  <c:v>69.569999999999993</c:v>
                </c:pt>
                <c:pt idx="10">
                  <c:v>69.569999999999993</c:v>
                </c:pt>
                <c:pt idx="11">
                  <c:v>69.569999999999993</c:v>
                </c:pt>
                <c:pt idx="12">
                  <c:v>69.569999999999993</c:v>
                </c:pt>
                <c:pt idx="13">
                  <c:v>69.569999999999993</c:v>
                </c:pt>
                <c:pt idx="14">
                  <c:v>69.569999999999993</c:v>
                </c:pt>
                <c:pt idx="15">
                  <c:v>69.569999999999993</c:v>
                </c:pt>
                <c:pt idx="16">
                  <c:v>69.569999999999993</c:v>
                </c:pt>
                <c:pt idx="17">
                  <c:v>69.569999999999993</c:v>
                </c:pt>
                <c:pt idx="18">
                  <c:v>69.569999999999993</c:v>
                </c:pt>
                <c:pt idx="19">
                  <c:v>69.569999999999993</c:v>
                </c:pt>
                <c:pt idx="20">
                  <c:v>69.569999999999993</c:v>
                </c:pt>
                <c:pt idx="21">
                  <c:v>69.569999999999993</c:v>
                </c:pt>
                <c:pt idx="22">
                  <c:v>69.569999999999993</c:v>
                </c:pt>
                <c:pt idx="23">
                  <c:v>69.569999999999993</c:v>
                </c:pt>
                <c:pt idx="24">
                  <c:v>69.569999999999993</c:v>
                </c:pt>
                <c:pt idx="25">
                  <c:v>69.569999999999993</c:v>
                </c:pt>
                <c:pt idx="26">
                  <c:v>69.569999999999993</c:v>
                </c:pt>
                <c:pt idx="27">
                  <c:v>69.569999999999993</c:v>
                </c:pt>
                <c:pt idx="28">
                  <c:v>69.569999999999993</c:v>
                </c:pt>
                <c:pt idx="29">
                  <c:v>69.569999999999993</c:v>
                </c:pt>
                <c:pt idx="30">
                  <c:v>69.569999999999993</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0.33300000000000002</c:v>
                      </c:pt>
                      <c:pt idx="1">
                        <c:v>0.33300000000000002</c:v>
                      </c:pt>
                      <c:pt idx="2">
                        <c:v>0.33300000000000002</c:v>
                      </c:pt>
                      <c:pt idx="3">
                        <c:v>0.33300000000000002</c:v>
                      </c:pt>
                      <c:pt idx="4">
                        <c:v>0.33300000000000002</c:v>
                      </c:pt>
                      <c:pt idx="5">
                        <c:v>0.33300000000000002</c:v>
                      </c:pt>
                      <c:pt idx="6">
                        <c:v>0.33300000000000002</c:v>
                      </c:pt>
                      <c:pt idx="7">
                        <c:v>0.33300000000000002</c:v>
                      </c:pt>
                      <c:pt idx="8">
                        <c:v>0.33300000000000002</c:v>
                      </c:pt>
                      <c:pt idx="9">
                        <c:v>0.33300000000000002</c:v>
                      </c:pt>
                      <c:pt idx="10">
                        <c:v>0.33300000000000002</c:v>
                      </c:pt>
                      <c:pt idx="11">
                        <c:v>0.33300000000000002</c:v>
                      </c:pt>
                      <c:pt idx="12">
                        <c:v>0.33300000000000002</c:v>
                      </c:pt>
                      <c:pt idx="13">
                        <c:v>0.33300000000000002</c:v>
                      </c:pt>
                      <c:pt idx="14">
                        <c:v>0.33300000000000002</c:v>
                      </c:pt>
                      <c:pt idx="15">
                        <c:v>0.33300000000000002</c:v>
                      </c:pt>
                      <c:pt idx="16">
                        <c:v>0.33300000000000002</c:v>
                      </c:pt>
                      <c:pt idx="17">
                        <c:v>0.33300000000000002</c:v>
                      </c:pt>
                      <c:pt idx="18">
                        <c:v>0.33300000000000002</c:v>
                      </c:pt>
                      <c:pt idx="19">
                        <c:v>0.33300000000000002</c:v>
                      </c:pt>
                      <c:pt idx="20">
                        <c:v>0.33300000000000002</c:v>
                      </c:pt>
                      <c:pt idx="21">
                        <c:v>0.33300000000000002</c:v>
                      </c:pt>
                      <c:pt idx="22">
                        <c:v>0.33300000000000002</c:v>
                      </c:pt>
                      <c:pt idx="23">
                        <c:v>0.33300000000000002</c:v>
                      </c:pt>
                      <c:pt idx="24">
                        <c:v>0.33300000000000002</c:v>
                      </c:pt>
                      <c:pt idx="25">
                        <c:v>0.33300000000000002</c:v>
                      </c:pt>
                      <c:pt idx="26">
                        <c:v>0.33300000000000002</c:v>
                      </c:pt>
                      <c:pt idx="27">
                        <c:v>0.33300000000000002</c:v>
                      </c:pt>
                      <c:pt idx="28">
                        <c:v>0.33300000000000002</c:v>
                      </c:pt>
                      <c:pt idx="29">
                        <c:v>0.33300000000000002</c:v>
                      </c:pt>
                      <c:pt idx="30">
                        <c:v>0.33300000000000002</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92.751999999999995</c:v>
                </c:pt>
                <c:pt idx="1">
                  <c:v>92.751999999999995</c:v>
                </c:pt>
                <c:pt idx="2">
                  <c:v>92.751999999999995</c:v>
                </c:pt>
                <c:pt idx="3">
                  <c:v>92.751999999999995</c:v>
                </c:pt>
                <c:pt idx="4">
                  <c:v>92.751999999999995</c:v>
                </c:pt>
                <c:pt idx="5">
                  <c:v>92.751999999999995</c:v>
                </c:pt>
                <c:pt idx="6">
                  <c:v>92.751999999999995</c:v>
                </c:pt>
                <c:pt idx="7">
                  <c:v>92.751999999999995</c:v>
                </c:pt>
                <c:pt idx="8">
                  <c:v>92.751999999999995</c:v>
                </c:pt>
                <c:pt idx="9">
                  <c:v>92.751999999999995</c:v>
                </c:pt>
                <c:pt idx="10">
                  <c:v>92.751999999999995</c:v>
                </c:pt>
                <c:pt idx="11">
                  <c:v>92.751999999999995</c:v>
                </c:pt>
                <c:pt idx="12">
                  <c:v>92.751999999999995</c:v>
                </c:pt>
                <c:pt idx="13">
                  <c:v>92.751999999999995</c:v>
                </c:pt>
                <c:pt idx="14">
                  <c:v>92.751999999999995</c:v>
                </c:pt>
                <c:pt idx="15">
                  <c:v>92.751999999999995</c:v>
                </c:pt>
                <c:pt idx="16">
                  <c:v>92.751999999999995</c:v>
                </c:pt>
                <c:pt idx="17">
                  <c:v>92.751999999999995</c:v>
                </c:pt>
                <c:pt idx="18">
                  <c:v>92.751999999999995</c:v>
                </c:pt>
                <c:pt idx="19">
                  <c:v>92.751999999999995</c:v>
                </c:pt>
                <c:pt idx="20">
                  <c:v>92.751999999999995</c:v>
                </c:pt>
                <c:pt idx="21">
                  <c:v>92.751999999999995</c:v>
                </c:pt>
                <c:pt idx="22">
                  <c:v>92.751999999999995</c:v>
                </c:pt>
                <c:pt idx="23">
                  <c:v>92.751999999999995</c:v>
                </c:pt>
                <c:pt idx="24">
                  <c:v>92.751999999999995</c:v>
                </c:pt>
                <c:pt idx="25">
                  <c:v>92.751999999999995</c:v>
                </c:pt>
                <c:pt idx="26">
                  <c:v>92.751999999999995</c:v>
                </c:pt>
                <c:pt idx="27">
                  <c:v>92.751999999999995</c:v>
                </c:pt>
                <c:pt idx="28">
                  <c:v>92.751999999999995</c:v>
                </c:pt>
                <c:pt idx="29">
                  <c:v>92.751999999999995</c:v>
                </c:pt>
                <c:pt idx="30">
                  <c:v>92.751999999999995</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6.7000000000000004E-2</c:v>
                      </c:pt>
                      <c:pt idx="1">
                        <c:v>0.01</c:v>
                      </c:pt>
                      <c:pt idx="2">
                        <c:v>1.4E-2</c:v>
                      </c:pt>
                      <c:pt idx="3">
                        <c:v>2.1000000000000001E-2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0.53300000000000003</c:v>
                      </c:pt>
                      <c:pt idx="1">
                        <c:v>0.55200000000000005</c:v>
                      </c:pt>
                      <c:pt idx="2">
                        <c:v>0.52800000000000002</c:v>
                      </c:pt>
                      <c:pt idx="3">
                        <c:v>0.52100000000000002</c:v>
                      </c:pt>
                      <c:pt idx="4">
                        <c:v>0.58299999999999996</c:v>
                      </c:pt>
                      <c:pt idx="5">
                        <c:v>0.58299999999999996</c:v>
                      </c:pt>
                      <c:pt idx="6">
                        <c:v>0.58299999999999996</c:v>
                      </c:pt>
                      <c:pt idx="7">
                        <c:v>0.58299999999999996</c:v>
                      </c:pt>
                      <c:pt idx="8">
                        <c:v>0.58299999999999996</c:v>
                      </c:pt>
                      <c:pt idx="9">
                        <c:v>0.58299999999999996</c:v>
                      </c:pt>
                      <c:pt idx="10">
                        <c:v>0.58299999999999996</c:v>
                      </c:pt>
                      <c:pt idx="11">
                        <c:v>0.58299999999999996</c:v>
                      </c:pt>
                      <c:pt idx="12">
                        <c:v>0.58299999999999996</c:v>
                      </c:pt>
                      <c:pt idx="13">
                        <c:v>0.58299999999999996</c:v>
                      </c:pt>
                      <c:pt idx="14">
                        <c:v>0.58299999999999996</c:v>
                      </c:pt>
                      <c:pt idx="15">
                        <c:v>0.58299999999999996</c:v>
                      </c:pt>
                      <c:pt idx="16">
                        <c:v>0.58299999999999996</c:v>
                      </c:pt>
                      <c:pt idx="17">
                        <c:v>0.58299999999999996</c:v>
                      </c:pt>
                      <c:pt idx="18">
                        <c:v>0.58299999999999996</c:v>
                      </c:pt>
                      <c:pt idx="19">
                        <c:v>0.58299999999999996</c:v>
                      </c:pt>
                      <c:pt idx="20">
                        <c:v>0.58299999999999996</c:v>
                      </c:pt>
                      <c:pt idx="21">
                        <c:v>0.58299999999999996</c:v>
                      </c:pt>
                      <c:pt idx="22">
                        <c:v>0.58299999999999996</c:v>
                      </c:pt>
                      <c:pt idx="23">
                        <c:v>0.58299999999999996</c:v>
                      </c:pt>
                      <c:pt idx="24">
                        <c:v>0.58299999999999996</c:v>
                      </c:pt>
                      <c:pt idx="25">
                        <c:v>0.58299999999999996</c:v>
                      </c:pt>
                      <c:pt idx="26">
                        <c:v>0.58299999999999996</c:v>
                      </c:pt>
                      <c:pt idx="27">
                        <c:v>0.58299999999999996</c:v>
                      </c:pt>
                      <c:pt idx="28">
                        <c:v>0.58299999999999996</c:v>
                      </c:pt>
                      <c:pt idx="29">
                        <c:v>0.58299999999999996</c:v>
                      </c:pt>
                      <c:pt idx="30">
                        <c:v>0.58299999999999996</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60.78</c:v>
                      </c:pt>
                      <c:pt idx="1">
                        <c:v>60.78</c:v>
                      </c:pt>
                      <c:pt idx="2">
                        <c:v>60.78</c:v>
                      </c:pt>
                      <c:pt idx="3">
                        <c:v>60.78</c:v>
                      </c:pt>
                      <c:pt idx="4">
                        <c:v>60.78</c:v>
                      </c:pt>
                      <c:pt idx="5">
                        <c:v>60.78</c:v>
                      </c:pt>
                      <c:pt idx="6">
                        <c:v>60.78</c:v>
                      </c:pt>
                      <c:pt idx="7">
                        <c:v>60.78</c:v>
                      </c:pt>
                      <c:pt idx="8">
                        <c:v>60.78</c:v>
                      </c:pt>
                      <c:pt idx="9">
                        <c:v>60.78</c:v>
                      </c:pt>
                      <c:pt idx="10">
                        <c:v>60.78</c:v>
                      </c:pt>
                      <c:pt idx="11">
                        <c:v>60.78</c:v>
                      </c:pt>
                      <c:pt idx="12">
                        <c:v>60.78</c:v>
                      </c:pt>
                      <c:pt idx="13">
                        <c:v>60.78</c:v>
                      </c:pt>
                      <c:pt idx="14">
                        <c:v>60.78</c:v>
                      </c:pt>
                      <c:pt idx="15">
                        <c:v>60.78</c:v>
                      </c:pt>
                      <c:pt idx="16">
                        <c:v>60.78</c:v>
                      </c:pt>
                      <c:pt idx="17">
                        <c:v>60.78</c:v>
                      </c:pt>
                      <c:pt idx="18">
                        <c:v>60.78</c:v>
                      </c:pt>
                      <c:pt idx="19">
                        <c:v>60.78</c:v>
                      </c:pt>
                      <c:pt idx="20">
                        <c:v>60.78</c:v>
                      </c:pt>
                      <c:pt idx="21">
                        <c:v>60.78</c:v>
                      </c:pt>
                      <c:pt idx="22">
                        <c:v>60.78</c:v>
                      </c:pt>
                      <c:pt idx="23">
                        <c:v>60.78</c:v>
                      </c:pt>
                      <c:pt idx="24">
                        <c:v>60.78</c:v>
                      </c:pt>
                      <c:pt idx="25">
                        <c:v>60.78</c:v>
                      </c:pt>
                      <c:pt idx="26">
                        <c:v>60.78</c:v>
                      </c:pt>
                      <c:pt idx="27">
                        <c:v>60.78</c:v>
                      </c:pt>
                      <c:pt idx="28">
                        <c:v>60.78</c:v>
                      </c:pt>
                      <c:pt idx="29">
                        <c:v>60.78</c:v>
                      </c:pt>
                      <c:pt idx="30">
                        <c:v>60.78</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42.991</c:v>
                      </c:pt>
                      <c:pt idx="1">
                        <c:v>42.991</c:v>
                      </c:pt>
                      <c:pt idx="2">
                        <c:v>42.991</c:v>
                      </c:pt>
                      <c:pt idx="3">
                        <c:v>42.991</c:v>
                      </c:pt>
                      <c:pt idx="4">
                        <c:v>42.991</c:v>
                      </c:pt>
                      <c:pt idx="5">
                        <c:v>42.991</c:v>
                      </c:pt>
                      <c:pt idx="6">
                        <c:v>42.991</c:v>
                      </c:pt>
                      <c:pt idx="7">
                        <c:v>42.991</c:v>
                      </c:pt>
                      <c:pt idx="8">
                        <c:v>42.991</c:v>
                      </c:pt>
                      <c:pt idx="9">
                        <c:v>42.991</c:v>
                      </c:pt>
                      <c:pt idx="10">
                        <c:v>42.991</c:v>
                      </c:pt>
                      <c:pt idx="11">
                        <c:v>42.991</c:v>
                      </c:pt>
                      <c:pt idx="12">
                        <c:v>42.991</c:v>
                      </c:pt>
                      <c:pt idx="13">
                        <c:v>42.991</c:v>
                      </c:pt>
                      <c:pt idx="14">
                        <c:v>42.991</c:v>
                      </c:pt>
                      <c:pt idx="15">
                        <c:v>42.991</c:v>
                      </c:pt>
                      <c:pt idx="16">
                        <c:v>42.991</c:v>
                      </c:pt>
                      <c:pt idx="17">
                        <c:v>42.991</c:v>
                      </c:pt>
                      <c:pt idx="18">
                        <c:v>42.991</c:v>
                      </c:pt>
                      <c:pt idx="19">
                        <c:v>42.991</c:v>
                      </c:pt>
                      <c:pt idx="20">
                        <c:v>42.991</c:v>
                      </c:pt>
                      <c:pt idx="21">
                        <c:v>42.991</c:v>
                      </c:pt>
                      <c:pt idx="22">
                        <c:v>42.991</c:v>
                      </c:pt>
                      <c:pt idx="23">
                        <c:v>42.991</c:v>
                      </c:pt>
                      <c:pt idx="24">
                        <c:v>42.991</c:v>
                      </c:pt>
                      <c:pt idx="25">
                        <c:v>42.991</c:v>
                      </c:pt>
                      <c:pt idx="26">
                        <c:v>42.991</c:v>
                      </c:pt>
                      <c:pt idx="27">
                        <c:v>42.991</c:v>
                      </c:pt>
                      <c:pt idx="28">
                        <c:v>42.991</c:v>
                      </c:pt>
                      <c:pt idx="29">
                        <c:v>42.991</c:v>
                      </c:pt>
                      <c:pt idx="30">
                        <c:v>42.991</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112.25</c:v>
                      </c:pt>
                      <c:pt idx="1">
                        <c:v>112.25</c:v>
                      </c:pt>
                      <c:pt idx="2">
                        <c:v>112.25</c:v>
                      </c:pt>
                      <c:pt idx="3">
                        <c:v>112.25</c:v>
                      </c:pt>
                      <c:pt idx="4">
                        <c:v>112.25</c:v>
                      </c:pt>
                      <c:pt idx="5">
                        <c:v>112.25</c:v>
                      </c:pt>
                      <c:pt idx="6">
                        <c:v>112.25</c:v>
                      </c:pt>
                      <c:pt idx="7">
                        <c:v>112.25</c:v>
                      </c:pt>
                      <c:pt idx="8">
                        <c:v>112.25</c:v>
                      </c:pt>
                      <c:pt idx="9">
                        <c:v>112.25</c:v>
                      </c:pt>
                      <c:pt idx="10">
                        <c:v>112.25</c:v>
                      </c:pt>
                      <c:pt idx="11">
                        <c:v>112.25</c:v>
                      </c:pt>
                      <c:pt idx="12">
                        <c:v>112.25</c:v>
                      </c:pt>
                      <c:pt idx="13">
                        <c:v>112.25</c:v>
                      </c:pt>
                      <c:pt idx="14">
                        <c:v>112.25</c:v>
                      </c:pt>
                      <c:pt idx="15">
                        <c:v>112.25</c:v>
                      </c:pt>
                      <c:pt idx="16">
                        <c:v>112.25</c:v>
                      </c:pt>
                      <c:pt idx="17">
                        <c:v>112.25</c:v>
                      </c:pt>
                      <c:pt idx="18">
                        <c:v>112.25</c:v>
                      </c:pt>
                      <c:pt idx="19">
                        <c:v>112.25</c:v>
                      </c:pt>
                      <c:pt idx="20">
                        <c:v>112.25</c:v>
                      </c:pt>
                      <c:pt idx="21">
                        <c:v>112.25</c:v>
                      </c:pt>
                      <c:pt idx="22">
                        <c:v>112.25</c:v>
                      </c:pt>
                      <c:pt idx="23">
                        <c:v>112.25</c:v>
                      </c:pt>
                      <c:pt idx="24">
                        <c:v>112.25</c:v>
                      </c:pt>
                      <c:pt idx="25">
                        <c:v>112.25</c:v>
                      </c:pt>
                      <c:pt idx="26">
                        <c:v>112.25</c:v>
                      </c:pt>
                      <c:pt idx="27">
                        <c:v>112.25</c:v>
                      </c:pt>
                      <c:pt idx="28">
                        <c:v>112.25</c:v>
                      </c:pt>
                      <c:pt idx="29">
                        <c:v>112.25</c:v>
                      </c:pt>
                      <c:pt idx="30">
                        <c:v>112.25</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0</c:v>
                      </c:pt>
                      <c:pt idx="5">
                        <c:v>553.79999999999995</c:v>
                      </c:pt>
                      <c:pt idx="6">
                        <c:v>553.79999999999995</c:v>
                      </c:pt>
                      <c:pt idx="7">
                        <c:v>553.79999999999995</c:v>
                      </c:pt>
                      <c:pt idx="8">
                        <c:v>553.79999999999995</c:v>
                      </c:pt>
                      <c:pt idx="9">
                        <c:v>553.79999999999995</c:v>
                      </c:pt>
                      <c:pt idx="10">
                        <c:v>553.79999999999995</c:v>
                      </c:pt>
                      <c:pt idx="11">
                        <c:v>553.79999999999995</c:v>
                      </c:pt>
                      <c:pt idx="12">
                        <c:v>553.79999999999995</c:v>
                      </c:pt>
                      <c:pt idx="13">
                        <c:v>553.79999999999995</c:v>
                      </c:pt>
                      <c:pt idx="14">
                        <c:v>553.79999999999995</c:v>
                      </c:pt>
                      <c:pt idx="15">
                        <c:v>553.79999999999995</c:v>
                      </c:pt>
                      <c:pt idx="16">
                        <c:v>553.79999999999995</c:v>
                      </c:pt>
                      <c:pt idx="17">
                        <c:v>553.79999999999995</c:v>
                      </c:pt>
                      <c:pt idx="18">
                        <c:v>553.79999999999995</c:v>
                      </c:pt>
                      <c:pt idx="19">
                        <c:v>553.79999999999995</c:v>
                      </c:pt>
                      <c:pt idx="20">
                        <c:v>553.79999999999995</c:v>
                      </c:pt>
                      <c:pt idx="21">
                        <c:v>553.79999999999995</c:v>
                      </c:pt>
                      <c:pt idx="22">
                        <c:v>553.79999999999995</c:v>
                      </c:pt>
                      <c:pt idx="23">
                        <c:v>553.79999999999995</c:v>
                      </c:pt>
                      <c:pt idx="24">
                        <c:v>553.79999999999995</c:v>
                      </c:pt>
                      <c:pt idx="25">
                        <c:v>553.79999999999995</c:v>
                      </c:pt>
                      <c:pt idx="26">
                        <c:v>553.79999999999995</c:v>
                      </c:pt>
                      <c:pt idx="27">
                        <c:v>553.79999999999995</c:v>
                      </c:pt>
                      <c:pt idx="28">
                        <c:v>553.79999999999995</c:v>
                      </c:pt>
                      <c:pt idx="29">
                        <c:v>553.79999999999995</c:v>
                      </c:pt>
                      <c:pt idx="30">
                        <c:v>553.79999999999995</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0.49818510533949073</c:v>
                </c:pt>
              </c:numCache>
            </c:numRef>
          </c:xVal>
          <c:yVal>
            <c:numRef>
              <c:f>[1]omie_dinamic_dia!$Y$11:$Y$12</c:f>
              <c:numCache>
                <c:formatCode>General</c:formatCode>
                <c:ptCount val="2"/>
                <c:pt idx="0">
                  <c:v>0</c:v>
                </c:pt>
                <c:pt idx="1">
                  <c:v>0.86707070116449014</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-0.91269158740350276</c:v>
                </c:pt>
              </c:numCache>
            </c:numRef>
          </c:xVal>
          <c:yVal>
            <c:numRef>
              <c:f>[1]omie_dinamic_dia!$AC$20:$AC$21</c:f>
              <c:numCache>
                <c:formatCode>General</c:formatCode>
                <c:ptCount val="2"/>
                <c:pt idx="0">
                  <c:v>0</c:v>
                </c:pt>
                <c:pt idx="1">
                  <c:v>0.40864907473634904</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0.97858090432547218</c:v>
                </c:pt>
              </c:numCache>
            </c:numRef>
          </c:xVal>
          <c:yVal>
            <c:numRef>
              <c:f>[1]omie_dinamic_dia!$Y$37:$Y$38</c:f>
              <c:numCache>
                <c:formatCode>General</c:formatCode>
                <c:ptCount val="2"/>
                <c:pt idx="0">
                  <c:v>0</c:v>
                </c:pt>
                <c:pt idx="1">
                  <c:v>-0.20586260876988119</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gauss!$C$3:$C$55</c:f>
              <c:numCache>
                <c:formatCode>General</c:formatCode>
                <c:ptCount val="53"/>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92.75</c:v>
                </c:pt>
                <c:pt idx="1">
                  <c:v>92.75</c:v>
                </c:pt>
              </c:numCache>
            </c:numRef>
          </c:xVal>
          <c:yVal>
            <c:numRef>
              <c:f>gauss!$M$49:$M$50</c:f>
              <c:numCache>
                <c:formatCode>General</c:formatCode>
                <c:ptCount val="2"/>
                <c:pt idx="0">
                  <c:v>0</c:v>
                </c:pt>
                <c:pt idx="1">
                  <c:v>#N/A</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68.17</c:v>
                      </c:pt>
                      <c:pt idx="1">
                        <c:v>68.17</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4.4414090339804951E-2</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numCache>
            </c:numRef>
          </c:val>
          <c:smooth val="0"/>
          <c:extLst>
            <c:ext xmlns:c16="http://schemas.microsoft.com/office/drawing/2014/chart" uri="{C3380CC4-5D6E-409C-BE32-E72D297353CC}">
              <c16:uniqueId val="{00000000-00C7-4C14-ABA5-5D2F9018AC39}"/>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37.479999999999997</c:v>
                </c:pt>
                <c:pt idx="1">
                  <c:v>37.479999999999997</c:v>
                </c:pt>
                <c:pt idx="2">
                  <c:v>37.479999999999997</c:v>
                </c:pt>
                <c:pt idx="3">
                  <c:v>37.479999999999997</c:v>
                </c:pt>
                <c:pt idx="4">
                  <c:v>37.479999999999997</c:v>
                </c:pt>
                <c:pt idx="5">
                  <c:v>37.479999999999997</c:v>
                </c:pt>
                <c:pt idx="6">
                  <c:v>37.479999999999997</c:v>
                </c:pt>
                <c:pt idx="7">
                  <c:v>37.479999999999997</c:v>
                </c:pt>
                <c:pt idx="8">
                  <c:v>37.479999999999997</c:v>
                </c:pt>
                <c:pt idx="9">
                  <c:v>37.479999999999997</c:v>
                </c:pt>
                <c:pt idx="10">
                  <c:v>37.479999999999997</c:v>
                </c:pt>
                <c:pt idx="11">
                  <c:v>37.479999999999997</c:v>
                </c:pt>
                <c:pt idx="12">
                  <c:v>37.479999999999997</c:v>
                </c:pt>
                <c:pt idx="13">
                  <c:v>37.479999999999997</c:v>
                </c:pt>
                <c:pt idx="14">
                  <c:v>37.479999999999997</c:v>
                </c:pt>
                <c:pt idx="15">
                  <c:v>37.479999999999997</c:v>
                </c:pt>
                <c:pt idx="16">
                  <c:v>37.479999999999997</c:v>
                </c:pt>
                <c:pt idx="17">
                  <c:v>37.479999999999997</c:v>
                </c:pt>
                <c:pt idx="18">
                  <c:v>37.479999999999997</c:v>
                </c:pt>
                <c:pt idx="19">
                  <c:v>37.479999999999997</c:v>
                </c:pt>
                <c:pt idx="20">
                  <c:v>37.479999999999997</c:v>
                </c:pt>
                <c:pt idx="21">
                  <c:v>37.479999999999997</c:v>
                </c:pt>
                <c:pt idx="22">
                  <c:v>37.479999999999997</c:v>
                </c:pt>
                <c:pt idx="23">
                  <c:v>37.479999999999997</c:v>
                </c:pt>
                <c:pt idx="24">
                  <c:v>37.479999999999997</c:v>
                </c:pt>
                <c:pt idx="25">
                  <c:v>37.479999999999997</c:v>
                </c:pt>
                <c:pt idx="26">
                  <c:v>37.479999999999997</c:v>
                </c:pt>
                <c:pt idx="27">
                  <c:v>37.479999999999997</c:v>
                </c:pt>
                <c:pt idx="28">
                  <c:v>37.479999999999997</c:v>
                </c:pt>
                <c:pt idx="29">
                  <c:v>37.479999999999997</c:v>
                </c:pt>
              </c:numCache>
            </c:numRef>
          </c:val>
          <c:smooth val="0"/>
          <c:extLst>
            <c:ext xmlns:c16="http://schemas.microsoft.com/office/drawing/2014/chart" uri="{C3380CC4-5D6E-409C-BE32-E72D297353CC}">
              <c16:uniqueId val="{00000001-00C7-4C14-ABA5-5D2F9018AC39}"/>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0C7-4C14-ABA5-5D2F9018AC39}"/>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BDFA-4CD9-B1FC-20681EBCB941}"/>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2-BDFA-4CD9-B1FC-20681EBCB941}"/>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4-BDFA-4CD9-B1FC-20681EBCB941}"/>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6-BDFA-4CD9-B1FC-20681EBCB941}"/>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69.470000000000013</c:v>
                </c:pt>
              </c:numCache>
            </c:numRef>
          </c:val>
          <c:smooth val="0"/>
          <c:extLst>
            <c:ext xmlns:c16="http://schemas.microsoft.com/office/drawing/2014/chart" uri="{C3380CC4-5D6E-409C-BE32-E72D297353CC}">
              <c16:uniqueId val="{00000000-3435-4962-B288-E3D94AA56103}"/>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69.569999999999993</c:v>
                </c:pt>
                <c:pt idx="1">
                  <c:v>69.569999999999993</c:v>
                </c:pt>
                <c:pt idx="2">
                  <c:v>69.569999999999993</c:v>
                </c:pt>
                <c:pt idx="3">
                  <c:v>69.569999999999993</c:v>
                </c:pt>
                <c:pt idx="4">
                  <c:v>69.569999999999993</c:v>
                </c:pt>
                <c:pt idx="5">
                  <c:v>69.569999999999993</c:v>
                </c:pt>
                <c:pt idx="6">
                  <c:v>69.569999999999993</c:v>
                </c:pt>
                <c:pt idx="7">
                  <c:v>69.569999999999993</c:v>
                </c:pt>
                <c:pt idx="8">
                  <c:v>69.569999999999993</c:v>
                </c:pt>
                <c:pt idx="9">
                  <c:v>69.569999999999993</c:v>
                </c:pt>
                <c:pt idx="10">
                  <c:v>69.569999999999993</c:v>
                </c:pt>
                <c:pt idx="11">
                  <c:v>69.569999999999993</c:v>
                </c:pt>
                <c:pt idx="12">
                  <c:v>69.569999999999993</c:v>
                </c:pt>
                <c:pt idx="13">
                  <c:v>69.569999999999993</c:v>
                </c:pt>
                <c:pt idx="14">
                  <c:v>69.569999999999993</c:v>
                </c:pt>
                <c:pt idx="15">
                  <c:v>69.569999999999993</c:v>
                </c:pt>
                <c:pt idx="16">
                  <c:v>69.569999999999993</c:v>
                </c:pt>
                <c:pt idx="17">
                  <c:v>69.569999999999993</c:v>
                </c:pt>
                <c:pt idx="18">
                  <c:v>69.569999999999993</c:v>
                </c:pt>
                <c:pt idx="19">
                  <c:v>69.569999999999993</c:v>
                </c:pt>
                <c:pt idx="20">
                  <c:v>69.569999999999993</c:v>
                </c:pt>
                <c:pt idx="21">
                  <c:v>69.569999999999993</c:v>
                </c:pt>
                <c:pt idx="22">
                  <c:v>69.569999999999993</c:v>
                </c:pt>
                <c:pt idx="23">
                  <c:v>69.569999999999993</c:v>
                </c:pt>
                <c:pt idx="24">
                  <c:v>69.569999999999993</c:v>
                </c:pt>
                <c:pt idx="25">
                  <c:v>69.569999999999993</c:v>
                </c:pt>
                <c:pt idx="26">
                  <c:v>69.569999999999993</c:v>
                </c:pt>
                <c:pt idx="27">
                  <c:v>69.569999999999993</c:v>
                </c:pt>
                <c:pt idx="28">
                  <c:v>69.569999999999993</c:v>
                </c:pt>
                <c:pt idx="29">
                  <c:v>69.569999999999993</c:v>
                </c:pt>
                <c:pt idx="30">
                  <c:v>69.569999999999993</c:v>
                </c:pt>
              </c:numCache>
            </c:numRef>
          </c:val>
          <c:smooth val="0"/>
          <c:extLst>
            <c:ext xmlns:c16="http://schemas.microsoft.com/office/drawing/2014/chart" uri="{C3380CC4-5D6E-409C-BE32-E72D297353CC}">
              <c16:uniqueId val="{00000001-3435-4962-B288-E3D94AA56103}"/>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35-4962-B288-E3D94AA56103}"/>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70824765487362906"/>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0.33300000000000002</c:v>
                      </c:pt>
                      <c:pt idx="1">
                        <c:v>0.33300000000000002</c:v>
                      </c:pt>
                      <c:pt idx="2">
                        <c:v>0.33300000000000002</c:v>
                      </c:pt>
                      <c:pt idx="3">
                        <c:v>0.33300000000000002</c:v>
                      </c:pt>
                      <c:pt idx="4">
                        <c:v>0.33300000000000002</c:v>
                      </c:pt>
                      <c:pt idx="5">
                        <c:v>0.33300000000000002</c:v>
                      </c:pt>
                      <c:pt idx="6">
                        <c:v>0.33300000000000002</c:v>
                      </c:pt>
                      <c:pt idx="7">
                        <c:v>0.33300000000000002</c:v>
                      </c:pt>
                      <c:pt idx="8">
                        <c:v>0.33300000000000002</c:v>
                      </c:pt>
                      <c:pt idx="9">
                        <c:v>0.33300000000000002</c:v>
                      </c:pt>
                      <c:pt idx="10">
                        <c:v>0.33300000000000002</c:v>
                      </c:pt>
                      <c:pt idx="11">
                        <c:v>0.33300000000000002</c:v>
                      </c:pt>
                      <c:pt idx="12">
                        <c:v>0.33300000000000002</c:v>
                      </c:pt>
                      <c:pt idx="13">
                        <c:v>0.33300000000000002</c:v>
                      </c:pt>
                      <c:pt idx="14">
                        <c:v>0.33300000000000002</c:v>
                      </c:pt>
                      <c:pt idx="15">
                        <c:v>0.33300000000000002</c:v>
                      </c:pt>
                      <c:pt idx="16">
                        <c:v>0.33300000000000002</c:v>
                      </c:pt>
                      <c:pt idx="17">
                        <c:v>0.33300000000000002</c:v>
                      </c:pt>
                      <c:pt idx="18">
                        <c:v>0.33300000000000002</c:v>
                      </c:pt>
                      <c:pt idx="19">
                        <c:v>0.33300000000000002</c:v>
                      </c:pt>
                      <c:pt idx="20">
                        <c:v>0.33300000000000002</c:v>
                      </c:pt>
                      <c:pt idx="21">
                        <c:v>0.33300000000000002</c:v>
                      </c:pt>
                      <c:pt idx="22">
                        <c:v>0.33300000000000002</c:v>
                      </c:pt>
                      <c:pt idx="23">
                        <c:v>0.33300000000000002</c:v>
                      </c:pt>
                      <c:pt idx="24">
                        <c:v>0.33300000000000002</c:v>
                      </c:pt>
                      <c:pt idx="25">
                        <c:v>0.33300000000000002</c:v>
                      </c:pt>
                      <c:pt idx="26">
                        <c:v>0.33300000000000002</c:v>
                      </c:pt>
                      <c:pt idx="27">
                        <c:v>0.33300000000000002</c:v>
                      </c:pt>
                      <c:pt idx="28">
                        <c:v>0.33300000000000002</c:v>
                      </c:pt>
                      <c:pt idx="29">
                        <c:v>0.33300000000000002</c:v>
                      </c:pt>
                      <c:pt idx="30">
                        <c:v>0.33300000000000002</c:v>
                      </c:pt>
                    </c:numCache>
                  </c:numRef>
                </c:val>
                <c:extLst>
                  <c:ext xmlns:c16="http://schemas.microsoft.com/office/drawing/2014/chart" uri="{C3380CC4-5D6E-409C-BE32-E72D297353CC}">
                    <c16:uniqueId val="{00000006-FCE7-49B1-9829-B87DA0BCDF4E}"/>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numCache>
            </c:numRef>
          </c:val>
          <c:extLst>
            <c:ext xmlns:c16="http://schemas.microsoft.com/office/drawing/2014/chart" uri="{C3380CC4-5D6E-409C-BE32-E72D297353CC}">
              <c16:uniqueId val="{00000000-FCE7-49B1-9829-B87DA0BCDF4E}"/>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numCache>
            </c:numRef>
          </c:val>
          <c:extLst>
            <c:ext xmlns:c16="http://schemas.microsoft.com/office/drawing/2014/chart" uri="{C3380CC4-5D6E-409C-BE32-E72D297353CC}">
              <c16:uniqueId val="{00000001-FCE7-49B1-9829-B87DA0BCDF4E}"/>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numCache>
            </c:numRef>
          </c:val>
          <c:extLst>
            <c:ext xmlns:c16="http://schemas.microsoft.com/office/drawing/2014/chart" uri="{C3380CC4-5D6E-409C-BE32-E72D297353CC}">
              <c16:uniqueId val="{00000002-FCE7-49B1-9829-B87DA0BCDF4E}"/>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CE7-49B1-9829-B87DA0BCDF4E}"/>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92.751999999999995</c:v>
                </c:pt>
                <c:pt idx="1">
                  <c:v>92.751999999999995</c:v>
                </c:pt>
                <c:pt idx="2">
                  <c:v>92.751999999999995</c:v>
                </c:pt>
                <c:pt idx="3">
                  <c:v>92.751999999999995</c:v>
                </c:pt>
                <c:pt idx="4">
                  <c:v>92.751999999999995</c:v>
                </c:pt>
                <c:pt idx="5">
                  <c:v>92.751999999999995</c:v>
                </c:pt>
                <c:pt idx="6">
                  <c:v>92.751999999999995</c:v>
                </c:pt>
                <c:pt idx="7">
                  <c:v>92.751999999999995</c:v>
                </c:pt>
                <c:pt idx="8">
                  <c:v>92.751999999999995</c:v>
                </c:pt>
                <c:pt idx="9">
                  <c:v>92.751999999999995</c:v>
                </c:pt>
                <c:pt idx="10">
                  <c:v>92.751999999999995</c:v>
                </c:pt>
                <c:pt idx="11">
                  <c:v>92.751999999999995</c:v>
                </c:pt>
                <c:pt idx="12">
                  <c:v>92.751999999999995</c:v>
                </c:pt>
                <c:pt idx="13">
                  <c:v>92.751999999999995</c:v>
                </c:pt>
                <c:pt idx="14">
                  <c:v>92.751999999999995</c:v>
                </c:pt>
                <c:pt idx="15">
                  <c:v>92.751999999999995</c:v>
                </c:pt>
                <c:pt idx="16">
                  <c:v>92.751999999999995</c:v>
                </c:pt>
                <c:pt idx="17">
                  <c:v>92.751999999999995</c:v>
                </c:pt>
                <c:pt idx="18">
                  <c:v>92.751999999999995</c:v>
                </c:pt>
                <c:pt idx="19">
                  <c:v>92.751999999999995</c:v>
                </c:pt>
                <c:pt idx="20">
                  <c:v>92.751999999999995</c:v>
                </c:pt>
                <c:pt idx="21">
                  <c:v>92.751999999999995</c:v>
                </c:pt>
                <c:pt idx="22">
                  <c:v>92.751999999999995</c:v>
                </c:pt>
                <c:pt idx="23">
                  <c:v>92.751999999999995</c:v>
                </c:pt>
                <c:pt idx="24">
                  <c:v>92.751999999999995</c:v>
                </c:pt>
                <c:pt idx="25">
                  <c:v>92.751999999999995</c:v>
                </c:pt>
                <c:pt idx="26">
                  <c:v>92.751999999999995</c:v>
                </c:pt>
                <c:pt idx="27">
                  <c:v>92.751999999999995</c:v>
                </c:pt>
                <c:pt idx="28">
                  <c:v>92.751999999999995</c:v>
                </c:pt>
                <c:pt idx="29">
                  <c:v>92.751999999999995</c:v>
                </c:pt>
                <c:pt idx="30">
                  <c:v>92.751999999999995</c:v>
                </c:pt>
              </c:numCache>
            </c:numRef>
          </c:val>
          <c:smooth val="0"/>
          <c:extLst>
            <c:ext xmlns:c16="http://schemas.microsoft.com/office/drawing/2014/chart" uri="{C3380CC4-5D6E-409C-BE32-E72D297353CC}">
              <c16:uniqueId val="{00000003-FCE7-49B1-9829-B87DA0BCDF4E}"/>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numCache>
            </c:numRef>
          </c:val>
          <c:smooth val="0"/>
          <c:extLst>
            <c:ext xmlns:c16="http://schemas.microsoft.com/office/drawing/2014/chart" uri="{C3380CC4-5D6E-409C-BE32-E72D297353CC}">
              <c16:uniqueId val="{00000004-FCE7-49B1-9829-B87DA0BCDF4E}"/>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6.7000000000000004E-2</c:v>
                      </c:pt>
                      <c:pt idx="1">
                        <c:v>0.01</c:v>
                      </c:pt>
                      <c:pt idx="2">
                        <c:v>1.4E-2</c:v>
                      </c:pt>
                      <c:pt idx="3">
                        <c:v>2.1000000000000001E-2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FCE7-49B1-9829-B87DA0BCDF4E}"/>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0.53300000000000003</c:v>
                      </c:pt>
                      <c:pt idx="1">
                        <c:v>0.55200000000000005</c:v>
                      </c:pt>
                      <c:pt idx="2">
                        <c:v>0.52800000000000002</c:v>
                      </c:pt>
                      <c:pt idx="3">
                        <c:v>0.52100000000000002</c:v>
                      </c:pt>
                      <c:pt idx="4">
                        <c:v>0.58299999999999996</c:v>
                      </c:pt>
                      <c:pt idx="5">
                        <c:v>0.58299999999999996</c:v>
                      </c:pt>
                      <c:pt idx="6">
                        <c:v>0.58299999999999996</c:v>
                      </c:pt>
                      <c:pt idx="7">
                        <c:v>0.58299999999999996</c:v>
                      </c:pt>
                      <c:pt idx="8">
                        <c:v>0.58299999999999996</c:v>
                      </c:pt>
                      <c:pt idx="9">
                        <c:v>0.58299999999999996</c:v>
                      </c:pt>
                      <c:pt idx="10">
                        <c:v>0.58299999999999996</c:v>
                      </c:pt>
                      <c:pt idx="11">
                        <c:v>0.58299999999999996</c:v>
                      </c:pt>
                      <c:pt idx="12">
                        <c:v>0.58299999999999996</c:v>
                      </c:pt>
                      <c:pt idx="13">
                        <c:v>0.58299999999999996</c:v>
                      </c:pt>
                      <c:pt idx="14">
                        <c:v>0.58299999999999996</c:v>
                      </c:pt>
                      <c:pt idx="15">
                        <c:v>0.58299999999999996</c:v>
                      </c:pt>
                      <c:pt idx="16">
                        <c:v>0.58299999999999996</c:v>
                      </c:pt>
                      <c:pt idx="17">
                        <c:v>0.58299999999999996</c:v>
                      </c:pt>
                      <c:pt idx="18">
                        <c:v>0.58299999999999996</c:v>
                      </c:pt>
                      <c:pt idx="19">
                        <c:v>0.58299999999999996</c:v>
                      </c:pt>
                      <c:pt idx="20">
                        <c:v>0.58299999999999996</c:v>
                      </c:pt>
                      <c:pt idx="21">
                        <c:v>0.58299999999999996</c:v>
                      </c:pt>
                      <c:pt idx="22">
                        <c:v>0.58299999999999996</c:v>
                      </c:pt>
                      <c:pt idx="23">
                        <c:v>0.58299999999999996</c:v>
                      </c:pt>
                      <c:pt idx="24">
                        <c:v>0.58299999999999996</c:v>
                      </c:pt>
                      <c:pt idx="25">
                        <c:v>0.58299999999999996</c:v>
                      </c:pt>
                      <c:pt idx="26">
                        <c:v>0.58299999999999996</c:v>
                      </c:pt>
                      <c:pt idx="27">
                        <c:v>0.58299999999999996</c:v>
                      </c:pt>
                      <c:pt idx="28">
                        <c:v>0.58299999999999996</c:v>
                      </c:pt>
                      <c:pt idx="29">
                        <c:v>0.58299999999999996</c:v>
                      </c:pt>
                      <c:pt idx="30">
                        <c:v>0.58299999999999996</c:v>
                      </c:pt>
                    </c:numCache>
                  </c:numRef>
                </c:val>
                <c:smooth val="0"/>
                <c:extLst xmlns:c15="http://schemas.microsoft.com/office/drawing/2012/chart">
                  <c:ext xmlns:c16="http://schemas.microsoft.com/office/drawing/2014/chart" uri="{C3380CC4-5D6E-409C-BE32-E72D297353CC}">
                    <c16:uniqueId val="{00000008-FCE7-49B1-9829-B87DA0BCDF4E}"/>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0</c:v>
                      </c:pt>
                    </c:numCache>
                  </c:numRef>
                </c:val>
                <c:smooth val="0"/>
                <c:extLst xmlns:c15="http://schemas.microsoft.com/office/drawing/2012/chart">
                  <c:ext xmlns:c16="http://schemas.microsoft.com/office/drawing/2014/chart" uri="{C3380CC4-5D6E-409C-BE32-E72D297353CC}">
                    <c16:uniqueId val="{00000009-FCE7-49B1-9829-B87DA0BCDF4E}"/>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CE7-49B1-9829-B87DA0BCDF4E}"/>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60.78</c:v>
                      </c:pt>
                      <c:pt idx="1">
                        <c:v>60.78</c:v>
                      </c:pt>
                      <c:pt idx="2">
                        <c:v>60.78</c:v>
                      </c:pt>
                      <c:pt idx="3">
                        <c:v>60.78</c:v>
                      </c:pt>
                      <c:pt idx="4">
                        <c:v>60.78</c:v>
                      </c:pt>
                      <c:pt idx="5">
                        <c:v>60.78</c:v>
                      </c:pt>
                      <c:pt idx="6">
                        <c:v>60.78</c:v>
                      </c:pt>
                      <c:pt idx="7">
                        <c:v>60.78</c:v>
                      </c:pt>
                      <c:pt idx="8">
                        <c:v>60.78</c:v>
                      </c:pt>
                      <c:pt idx="9">
                        <c:v>60.78</c:v>
                      </c:pt>
                      <c:pt idx="10">
                        <c:v>60.78</c:v>
                      </c:pt>
                      <c:pt idx="11">
                        <c:v>60.78</c:v>
                      </c:pt>
                      <c:pt idx="12">
                        <c:v>60.78</c:v>
                      </c:pt>
                      <c:pt idx="13">
                        <c:v>60.78</c:v>
                      </c:pt>
                      <c:pt idx="14">
                        <c:v>60.78</c:v>
                      </c:pt>
                      <c:pt idx="15">
                        <c:v>60.78</c:v>
                      </c:pt>
                      <c:pt idx="16">
                        <c:v>60.78</c:v>
                      </c:pt>
                      <c:pt idx="17">
                        <c:v>60.78</c:v>
                      </c:pt>
                      <c:pt idx="18">
                        <c:v>60.78</c:v>
                      </c:pt>
                      <c:pt idx="19">
                        <c:v>60.78</c:v>
                      </c:pt>
                      <c:pt idx="20">
                        <c:v>60.78</c:v>
                      </c:pt>
                      <c:pt idx="21">
                        <c:v>60.78</c:v>
                      </c:pt>
                      <c:pt idx="22">
                        <c:v>60.78</c:v>
                      </c:pt>
                      <c:pt idx="23">
                        <c:v>60.78</c:v>
                      </c:pt>
                      <c:pt idx="24">
                        <c:v>60.78</c:v>
                      </c:pt>
                      <c:pt idx="25">
                        <c:v>60.78</c:v>
                      </c:pt>
                      <c:pt idx="26">
                        <c:v>60.78</c:v>
                      </c:pt>
                      <c:pt idx="27">
                        <c:v>60.78</c:v>
                      </c:pt>
                      <c:pt idx="28">
                        <c:v>60.78</c:v>
                      </c:pt>
                      <c:pt idx="29">
                        <c:v>60.78</c:v>
                      </c:pt>
                      <c:pt idx="30">
                        <c:v>60.78</c:v>
                      </c:pt>
                    </c:numCache>
                  </c:numRef>
                </c:val>
                <c:smooth val="0"/>
                <c:extLst xmlns:c15="http://schemas.microsoft.com/office/drawing/2012/chart">
                  <c:ext xmlns:c16="http://schemas.microsoft.com/office/drawing/2014/chart" uri="{C3380CC4-5D6E-409C-BE32-E72D297353CC}">
                    <c16:uniqueId val="{0000000B-FCE7-49B1-9829-B87DA0BCDF4E}"/>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CE7-49B1-9829-B87DA0BCDF4E}"/>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42.991</c:v>
                      </c:pt>
                      <c:pt idx="1">
                        <c:v>42.991</c:v>
                      </c:pt>
                      <c:pt idx="2">
                        <c:v>42.991</c:v>
                      </c:pt>
                      <c:pt idx="3">
                        <c:v>42.991</c:v>
                      </c:pt>
                      <c:pt idx="4">
                        <c:v>42.991</c:v>
                      </c:pt>
                      <c:pt idx="5">
                        <c:v>42.991</c:v>
                      </c:pt>
                      <c:pt idx="6">
                        <c:v>42.991</c:v>
                      </c:pt>
                      <c:pt idx="7">
                        <c:v>42.991</c:v>
                      </c:pt>
                      <c:pt idx="8">
                        <c:v>42.991</c:v>
                      </c:pt>
                      <c:pt idx="9">
                        <c:v>42.991</c:v>
                      </c:pt>
                      <c:pt idx="10">
                        <c:v>42.991</c:v>
                      </c:pt>
                      <c:pt idx="11">
                        <c:v>42.991</c:v>
                      </c:pt>
                      <c:pt idx="12">
                        <c:v>42.991</c:v>
                      </c:pt>
                      <c:pt idx="13">
                        <c:v>42.991</c:v>
                      </c:pt>
                      <c:pt idx="14">
                        <c:v>42.991</c:v>
                      </c:pt>
                      <c:pt idx="15">
                        <c:v>42.991</c:v>
                      </c:pt>
                      <c:pt idx="16">
                        <c:v>42.991</c:v>
                      </c:pt>
                      <c:pt idx="17">
                        <c:v>42.991</c:v>
                      </c:pt>
                      <c:pt idx="18">
                        <c:v>42.991</c:v>
                      </c:pt>
                      <c:pt idx="19">
                        <c:v>42.991</c:v>
                      </c:pt>
                      <c:pt idx="20">
                        <c:v>42.991</c:v>
                      </c:pt>
                      <c:pt idx="21">
                        <c:v>42.991</c:v>
                      </c:pt>
                      <c:pt idx="22">
                        <c:v>42.991</c:v>
                      </c:pt>
                      <c:pt idx="23">
                        <c:v>42.991</c:v>
                      </c:pt>
                      <c:pt idx="24">
                        <c:v>42.991</c:v>
                      </c:pt>
                      <c:pt idx="25">
                        <c:v>42.991</c:v>
                      </c:pt>
                      <c:pt idx="26">
                        <c:v>42.991</c:v>
                      </c:pt>
                      <c:pt idx="27">
                        <c:v>42.991</c:v>
                      </c:pt>
                      <c:pt idx="28">
                        <c:v>42.991</c:v>
                      </c:pt>
                      <c:pt idx="29">
                        <c:v>42.991</c:v>
                      </c:pt>
                      <c:pt idx="30">
                        <c:v>42.991</c:v>
                      </c:pt>
                    </c:numCache>
                  </c:numRef>
                </c:val>
                <c:smooth val="0"/>
                <c:extLst xmlns:c15="http://schemas.microsoft.com/office/drawing/2012/chart">
                  <c:ext xmlns:c16="http://schemas.microsoft.com/office/drawing/2014/chart" uri="{C3380CC4-5D6E-409C-BE32-E72D297353CC}">
                    <c16:uniqueId val="{0000000D-FCE7-49B1-9829-B87DA0BCDF4E}"/>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CE7-49B1-9829-B87DA0BCDF4E}"/>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112.25</c:v>
                      </c:pt>
                      <c:pt idx="1">
                        <c:v>112.25</c:v>
                      </c:pt>
                      <c:pt idx="2">
                        <c:v>112.25</c:v>
                      </c:pt>
                      <c:pt idx="3">
                        <c:v>112.25</c:v>
                      </c:pt>
                      <c:pt idx="4">
                        <c:v>112.25</c:v>
                      </c:pt>
                      <c:pt idx="5">
                        <c:v>112.25</c:v>
                      </c:pt>
                      <c:pt idx="6">
                        <c:v>112.25</c:v>
                      </c:pt>
                      <c:pt idx="7">
                        <c:v>112.25</c:v>
                      </c:pt>
                      <c:pt idx="8">
                        <c:v>112.25</c:v>
                      </c:pt>
                      <c:pt idx="9">
                        <c:v>112.25</c:v>
                      </c:pt>
                      <c:pt idx="10">
                        <c:v>112.25</c:v>
                      </c:pt>
                      <c:pt idx="11">
                        <c:v>112.25</c:v>
                      </c:pt>
                      <c:pt idx="12">
                        <c:v>112.25</c:v>
                      </c:pt>
                      <c:pt idx="13">
                        <c:v>112.25</c:v>
                      </c:pt>
                      <c:pt idx="14">
                        <c:v>112.25</c:v>
                      </c:pt>
                      <c:pt idx="15">
                        <c:v>112.25</c:v>
                      </c:pt>
                      <c:pt idx="16">
                        <c:v>112.25</c:v>
                      </c:pt>
                      <c:pt idx="17">
                        <c:v>112.25</c:v>
                      </c:pt>
                      <c:pt idx="18">
                        <c:v>112.25</c:v>
                      </c:pt>
                      <c:pt idx="19">
                        <c:v>112.25</c:v>
                      </c:pt>
                      <c:pt idx="20">
                        <c:v>112.25</c:v>
                      </c:pt>
                      <c:pt idx="21">
                        <c:v>112.25</c:v>
                      </c:pt>
                      <c:pt idx="22">
                        <c:v>112.25</c:v>
                      </c:pt>
                      <c:pt idx="23">
                        <c:v>112.25</c:v>
                      </c:pt>
                      <c:pt idx="24">
                        <c:v>112.25</c:v>
                      </c:pt>
                      <c:pt idx="25">
                        <c:v>112.25</c:v>
                      </c:pt>
                      <c:pt idx="26">
                        <c:v>112.25</c:v>
                      </c:pt>
                      <c:pt idx="27">
                        <c:v>112.25</c:v>
                      </c:pt>
                      <c:pt idx="28">
                        <c:v>112.25</c:v>
                      </c:pt>
                      <c:pt idx="29">
                        <c:v>112.25</c:v>
                      </c:pt>
                      <c:pt idx="30">
                        <c:v>112.25</c:v>
                      </c:pt>
                    </c:numCache>
                  </c:numRef>
                </c:val>
                <c:smooth val="0"/>
                <c:extLst xmlns:c15="http://schemas.microsoft.com/office/drawing/2012/chart">
                  <c:ext xmlns:c16="http://schemas.microsoft.com/office/drawing/2014/chart" uri="{C3380CC4-5D6E-409C-BE32-E72D297353CC}">
                    <c16:uniqueId val="{0000000F-FCE7-49B1-9829-B87DA0BCDF4E}"/>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0</c:v>
                      </c:pt>
                      <c:pt idx="5">
                        <c:v>553.79999999999995</c:v>
                      </c:pt>
                      <c:pt idx="6">
                        <c:v>553.79999999999995</c:v>
                      </c:pt>
                      <c:pt idx="7">
                        <c:v>553.79999999999995</c:v>
                      </c:pt>
                      <c:pt idx="8">
                        <c:v>553.79999999999995</c:v>
                      </c:pt>
                      <c:pt idx="9">
                        <c:v>553.79999999999995</c:v>
                      </c:pt>
                      <c:pt idx="10">
                        <c:v>553.79999999999995</c:v>
                      </c:pt>
                      <c:pt idx="11">
                        <c:v>553.79999999999995</c:v>
                      </c:pt>
                      <c:pt idx="12">
                        <c:v>553.79999999999995</c:v>
                      </c:pt>
                      <c:pt idx="13">
                        <c:v>553.79999999999995</c:v>
                      </c:pt>
                      <c:pt idx="14">
                        <c:v>553.79999999999995</c:v>
                      </c:pt>
                      <c:pt idx="15">
                        <c:v>553.79999999999995</c:v>
                      </c:pt>
                      <c:pt idx="16">
                        <c:v>553.79999999999995</c:v>
                      </c:pt>
                      <c:pt idx="17">
                        <c:v>553.79999999999995</c:v>
                      </c:pt>
                      <c:pt idx="18">
                        <c:v>553.79999999999995</c:v>
                      </c:pt>
                      <c:pt idx="19">
                        <c:v>553.79999999999995</c:v>
                      </c:pt>
                      <c:pt idx="20">
                        <c:v>553.79999999999995</c:v>
                      </c:pt>
                      <c:pt idx="21">
                        <c:v>553.79999999999995</c:v>
                      </c:pt>
                      <c:pt idx="22">
                        <c:v>553.79999999999995</c:v>
                      </c:pt>
                      <c:pt idx="23">
                        <c:v>553.79999999999995</c:v>
                      </c:pt>
                      <c:pt idx="24">
                        <c:v>553.79999999999995</c:v>
                      </c:pt>
                      <c:pt idx="25">
                        <c:v>553.79999999999995</c:v>
                      </c:pt>
                      <c:pt idx="26">
                        <c:v>553.79999999999995</c:v>
                      </c:pt>
                      <c:pt idx="27">
                        <c:v>553.79999999999995</c:v>
                      </c:pt>
                      <c:pt idx="28">
                        <c:v>553.79999999999995</c:v>
                      </c:pt>
                      <c:pt idx="29">
                        <c:v>553.79999999999995</c:v>
                      </c:pt>
                      <c:pt idx="30">
                        <c:v>553.79999999999995</c:v>
                      </c:pt>
                    </c:numCache>
                  </c:numRef>
                </c:val>
                <c:smooth val="0"/>
                <c:extLst xmlns:c15="http://schemas.microsoft.com/office/drawing/2012/chart">
                  <c:ext xmlns:c16="http://schemas.microsoft.com/office/drawing/2014/chart" uri="{C3380CC4-5D6E-409C-BE32-E72D297353CC}">
                    <c16:uniqueId val="{00000010-FCE7-49B1-9829-B87DA0BCDF4E}"/>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5FDD-4CBB-8327-F2316DA9C4E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5FDD-4CBB-8327-F2316DA9C4E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5FDD-4CBB-8327-F2316DA9C4E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5FDD-4CBB-8327-F2316DA9C4E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5FDD-4CBB-8327-F2316DA9C4E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5FDD-4CBB-8327-F2316DA9C4E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5FDD-4CBB-8327-F2316DA9C4E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5FDD-4CBB-8327-F2316DA9C4E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5FDD-4CBB-8327-F2316DA9C4EA}"/>
              </c:ext>
            </c:extLst>
          </c:dPt>
          <c:dPt>
            <c:idx val="9"/>
            <c:bubble3D val="0"/>
            <c:spPr>
              <a:noFill/>
              <a:ln w="19050">
                <a:noFill/>
              </a:ln>
              <a:effectLst/>
            </c:spPr>
            <c:extLst>
              <c:ext xmlns:c16="http://schemas.microsoft.com/office/drawing/2014/chart" uri="{C3380CC4-5D6E-409C-BE32-E72D297353CC}">
                <c16:uniqueId val="{00000013-5FDD-4CBB-8327-F2316DA9C4E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5FDD-4CBB-8327-F2316DA9C4E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5FDD-4CBB-8327-F2316DA9C4EA}"/>
              </c:ext>
            </c:extLst>
          </c:dPt>
          <c:xVal>
            <c:numRef>
              <c:f>[1]omie_dinamic_dia!$X$11:$X$12</c:f>
              <c:numCache>
                <c:formatCode>General</c:formatCode>
                <c:ptCount val="2"/>
                <c:pt idx="0">
                  <c:v>0</c:v>
                </c:pt>
                <c:pt idx="1">
                  <c:v>0.49818510533949073</c:v>
                </c:pt>
              </c:numCache>
            </c:numRef>
          </c:xVal>
          <c:yVal>
            <c:numRef>
              <c:f>[1]omie_dinamic_dia!$Y$11:$Y$12</c:f>
              <c:numCache>
                <c:formatCode>General</c:formatCode>
                <c:ptCount val="2"/>
                <c:pt idx="0">
                  <c:v>0</c:v>
                </c:pt>
                <c:pt idx="1">
                  <c:v>0.86707070116449014</c:v>
                </c:pt>
              </c:numCache>
            </c:numRef>
          </c:yVal>
          <c:smooth val="1"/>
          <c:extLst>
            <c:ext xmlns:c16="http://schemas.microsoft.com/office/drawing/2014/chart" uri="{C3380CC4-5D6E-409C-BE32-E72D297353CC}">
              <c16:uniqueId val="{00000017-5FDD-4CBB-8327-F2316DA9C4E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962-4864-9B11-D5470D018800}"/>
              </c:ext>
            </c:extLst>
          </c:dPt>
          <c:dPt>
            <c:idx val="1"/>
            <c:bubble3D val="0"/>
            <c:spPr>
              <a:solidFill>
                <a:schemeClr val="accent2">
                  <a:lumMod val="20000"/>
                  <a:lumOff val="80000"/>
                </a:schemeClr>
              </a:solidFill>
            </c:spPr>
            <c:extLst>
              <c:ext xmlns:c16="http://schemas.microsoft.com/office/drawing/2014/chart" uri="{C3380CC4-5D6E-409C-BE32-E72D297353CC}">
                <c16:uniqueId val="{00000003-4962-4864-9B11-D5470D018800}"/>
              </c:ext>
            </c:extLst>
          </c:dPt>
          <c:dPt>
            <c:idx val="2"/>
            <c:bubble3D val="0"/>
            <c:spPr>
              <a:solidFill>
                <a:schemeClr val="accent2">
                  <a:lumMod val="40000"/>
                  <a:lumOff val="60000"/>
                </a:schemeClr>
              </a:solidFill>
            </c:spPr>
            <c:extLst>
              <c:ext xmlns:c16="http://schemas.microsoft.com/office/drawing/2014/chart" uri="{C3380CC4-5D6E-409C-BE32-E72D297353CC}">
                <c16:uniqueId val="{00000005-4962-4864-9B11-D5470D018800}"/>
              </c:ext>
            </c:extLst>
          </c:dPt>
          <c:dPt>
            <c:idx val="3"/>
            <c:bubble3D val="0"/>
            <c:spPr>
              <a:solidFill>
                <a:schemeClr val="accent2">
                  <a:lumMod val="40000"/>
                  <a:lumOff val="60000"/>
                </a:schemeClr>
              </a:solidFill>
            </c:spPr>
            <c:extLst>
              <c:ext xmlns:c16="http://schemas.microsoft.com/office/drawing/2014/chart" uri="{C3380CC4-5D6E-409C-BE32-E72D297353CC}">
                <c16:uniqueId val="{00000007-4962-4864-9B11-D5470D018800}"/>
              </c:ext>
            </c:extLst>
          </c:dPt>
          <c:dPt>
            <c:idx val="4"/>
            <c:bubble3D val="0"/>
            <c:spPr>
              <a:solidFill>
                <a:schemeClr val="accent2">
                  <a:lumMod val="60000"/>
                  <a:lumOff val="40000"/>
                </a:schemeClr>
              </a:solidFill>
            </c:spPr>
            <c:extLst>
              <c:ext xmlns:c16="http://schemas.microsoft.com/office/drawing/2014/chart" uri="{C3380CC4-5D6E-409C-BE32-E72D297353CC}">
                <c16:uniqueId val="{00000009-4962-4864-9B11-D5470D018800}"/>
              </c:ext>
            </c:extLst>
          </c:dPt>
          <c:dPt>
            <c:idx val="5"/>
            <c:bubble3D val="0"/>
            <c:spPr>
              <a:solidFill>
                <a:schemeClr val="accent2">
                  <a:lumMod val="60000"/>
                  <a:lumOff val="40000"/>
                </a:schemeClr>
              </a:solidFill>
            </c:spPr>
            <c:extLst>
              <c:ext xmlns:c16="http://schemas.microsoft.com/office/drawing/2014/chart" uri="{C3380CC4-5D6E-409C-BE32-E72D297353CC}">
                <c16:uniqueId val="{0000000B-4962-4864-9B11-D5470D018800}"/>
              </c:ext>
            </c:extLst>
          </c:dPt>
          <c:dPt>
            <c:idx val="6"/>
            <c:bubble3D val="0"/>
            <c:spPr>
              <a:solidFill>
                <a:schemeClr val="accent2">
                  <a:lumMod val="75000"/>
                </a:schemeClr>
              </a:solidFill>
            </c:spPr>
            <c:extLst>
              <c:ext xmlns:c16="http://schemas.microsoft.com/office/drawing/2014/chart" uri="{C3380CC4-5D6E-409C-BE32-E72D297353CC}">
                <c16:uniqueId val="{0000000D-4962-4864-9B11-D5470D018800}"/>
              </c:ext>
            </c:extLst>
          </c:dPt>
          <c:dPt>
            <c:idx val="7"/>
            <c:bubble3D val="0"/>
            <c:spPr>
              <a:solidFill>
                <a:schemeClr val="accent2">
                  <a:lumMod val="75000"/>
                </a:schemeClr>
              </a:solidFill>
            </c:spPr>
            <c:extLst>
              <c:ext xmlns:c16="http://schemas.microsoft.com/office/drawing/2014/chart" uri="{C3380CC4-5D6E-409C-BE32-E72D297353CC}">
                <c16:uniqueId val="{0000000F-4962-4864-9B11-D5470D018800}"/>
              </c:ext>
            </c:extLst>
          </c:dPt>
          <c:dPt>
            <c:idx val="8"/>
            <c:bubble3D val="0"/>
            <c:spPr>
              <a:solidFill>
                <a:schemeClr val="accent2">
                  <a:lumMod val="50000"/>
                </a:schemeClr>
              </a:solidFill>
            </c:spPr>
            <c:extLst>
              <c:ext xmlns:c16="http://schemas.microsoft.com/office/drawing/2014/chart" uri="{C3380CC4-5D6E-409C-BE32-E72D297353CC}">
                <c16:uniqueId val="{00000011-4962-4864-9B11-D5470D018800}"/>
              </c:ext>
            </c:extLst>
          </c:dPt>
          <c:dPt>
            <c:idx val="9"/>
            <c:bubble3D val="0"/>
            <c:spPr>
              <a:noFill/>
            </c:spPr>
            <c:extLst>
              <c:ext xmlns:c16="http://schemas.microsoft.com/office/drawing/2014/chart" uri="{C3380CC4-5D6E-409C-BE32-E72D297353CC}">
                <c16:uniqueId val="{00000013-4962-4864-9B11-D5470D01880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962-4864-9B11-D5470D01880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-0.91269158740350276</c:v>
                </c:pt>
              </c:numCache>
            </c:numRef>
          </c:xVal>
          <c:yVal>
            <c:numRef>
              <c:f>[1]omie_dinamic_dia!$AC$20:$AC$21</c:f>
              <c:numCache>
                <c:formatCode>General</c:formatCode>
                <c:ptCount val="2"/>
                <c:pt idx="0">
                  <c:v>0</c:v>
                </c:pt>
                <c:pt idx="1">
                  <c:v>0.40864907473634904</c:v>
                </c:pt>
              </c:numCache>
            </c:numRef>
          </c:yVal>
          <c:smooth val="1"/>
          <c:extLst>
            <c:ext xmlns:c16="http://schemas.microsoft.com/office/drawing/2014/chart" uri="{C3380CC4-5D6E-409C-BE32-E72D297353CC}">
              <c16:uniqueId val="{00000015-4962-4864-9B11-D5470D01880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7031-4A76-AC9E-54ECF5CDAD98}"/>
              </c:ext>
            </c:extLst>
          </c:dPt>
          <c:dPt>
            <c:idx val="1"/>
            <c:bubble3D val="0"/>
            <c:spPr>
              <a:solidFill>
                <a:schemeClr val="accent1">
                  <a:lumMod val="20000"/>
                  <a:lumOff val="80000"/>
                </a:schemeClr>
              </a:solidFill>
            </c:spPr>
            <c:extLst>
              <c:ext xmlns:c16="http://schemas.microsoft.com/office/drawing/2014/chart" uri="{C3380CC4-5D6E-409C-BE32-E72D297353CC}">
                <c16:uniqueId val="{00000003-7031-4A76-AC9E-54ECF5CDAD98}"/>
              </c:ext>
            </c:extLst>
          </c:dPt>
          <c:dPt>
            <c:idx val="2"/>
            <c:bubble3D val="0"/>
            <c:spPr>
              <a:solidFill>
                <a:schemeClr val="accent1">
                  <a:lumMod val="40000"/>
                  <a:lumOff val="60000"/>
                </a:schemeClr>
              </a:solidFill>
            </c:spPr>
            <c:extLst>
              <c:ext xmlns:c16="http://schemas.microsoft.com/office/drawing/2014/chart" uri="{C3380CC4-5D6E-409C-BE32-E72D297353CC}">
                <c16:uniqueId val="{00000005-7031-4A76-AC9E-54ECF5CDAD98}"/>
              </c:ext>
            </c:extLst>
          </c:dPt>
          <c:dPt>
            <c:idx val="3"/>
            <c:bubble3D val="0"/>
            <c:spPr>
              <a:solidFill>
                <a:schemeClr val="accent1">
                  <a:lumMod val="40000"/>
                  <a:lumOff val="60000"/>
                </a:schemeClr>
              </a:solidFill>
            </c:spPr>
            <c:extLst>
              <c:ext xmlns:c16="http://schemas.microsoft.com/office/drawing/2014/chart" uri="{C3380CC4-5D6E-409C-BE32-E72D297353CC}">
                <c16:uniqueId val="{00000007-7031-4A76-AC9E-54ECF5CDAD98}"/>
              </c:ext>
            </c:extLst>
          </c:dPt>
          <c:dPt>
            <c:idx val="4"/>
            <c:bubble3D val="0"/>
            <c:spPr>
              <a:solidFill>
                <a:schemeClr val="accent1">
                  <a:lumMod val="60000"/>
                  <a:lumOff val="40000"/>
                </a:schemeClr>
              </a:solidFill>
            </c:spPr>
            <c:extLst>
              <c:ext xmlns:c16="http://schemas.microsoft.com/office/drawing/2014/chart" uri="{C3380CC4-5D6E-409C-BE32-E72D297353CC}">
                <c16:uniqueId val="{00000009-7031-4A76-AC9E-54ECF5CDAD98}"/>
              </c:ext>
            </c:extLst>
          </c:dPt>
          <c:dPt>
            <c:idx val="5"/>
            <c:bubble3D val="0"/>
            <c:spPr>
              <a:solidFill>
                <a:schemeClr val="accent1">
                  <a:lumMod val="60000"/>
                  <a:lumOff val="40000"/>
                </a:schemeClr>
              </a:solidFill>
            </c:spPr>
            <c:extLst>
              <c:ext xmlns:c16="http://schemas.microsoft.com/office/drawing/2014/chart" uri="{C3380CC4-5D6E-409C-BE32-E72D297353CC}">
                <c16:uniqueId val="{0000000B-7031-4A76-AC9E-54ECF5CDAD98}"/>
              </c:ext>
            </c:extLst>
          </c:dPt>
          <c:dPt>
            <c:idx val="6"/>
            <c:bubble3D val="0"/>
            <c:spPr>
              <a:solidFill>
                <a:schemeClr val="accent1">
                  <a:lumMod val="75000"/>
                </a:schemeClr>
              </a:solidFill>
            </c:spPr>
            <c:extLst>
              <c:ext xmlns:c16="http://schemas.microsoft.com/office/drawing/2014/chart" uri="{C3380CC4-5D6E-409C-BE32-E72D297353CC}">
                <c16:uniqueId val="{0000000D-7031-4A76-AC9E-54ECF5CDAD98}"/>
              </c:ext>
            </c:extLst>
          </c:dPt>
          <c:dPt>
            <c:idx val="7"/>
            <c:bubble3D val="0"/>
            <c:spPr>
              <a:solidFill>
                <a:schemeClr val="accent1">
                  <a:lumMod val="75000"/>
                </a:schemeClr>
              </a:solidFill>
            </c:spPr>
            <c:extLst>
              <c:ext xmlns:c16="http://schemas.microsoft.com/office/drawing/2014/chart" uri="{C3380CC4-5D6E-409C-BE32-E72D297353CC}">
                <c16:uniqueId val="{0000000F-7031-4A76-AC9E-54ECF5CDAD98}"/>
              </c:ext>
            </c:extLst>
          </c:dPt>
          <c:dPt>
            <c:idx val="8"/>
            <c:bubble3D val="0"/>
            <c:spPr>
              <a:solidFill>
                <a:schemeClr val="accent1">
                  <a:lumMod val="50000"/>
                </a:schemeClr>
              </a:solidFill>
            </c:spPr>
            <c:extLst>
              <c:ext xmlns:c16="http://schemas.microsoft.com/office/drawing/2014/chart" uri="{C3380CC4-5D6E-409C-BE32-E72D297353CC}">
                <c16:uniqueId val="{00000011-7031-4A76-AC9E-54ECF5CDAD98}"/>
              </c:ext>
            </c:extLst>
          </c:dPt>
          <c:dPt>
            <c:idx val="9"/>
            <c:bubble3D val="0"/>
            <c:spPr>
              <a:noFill/>
            </c:spPr>
            <c:extLst>
              <c:ext xmlns:c16="http://schemas.microsoft.com/office/drawing/2014/chart" uri="{C3380CC4-5D6E-409C-BE32-E72D297353CC}">
                <c16:uniqueId val="{00000013-7031-4A76-AC9E-54ECF5CDAD98}"/>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031-4A76-AC9E-54ECF5CDAD98}"/>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0.97858090432547218</c:v>
                </c:pt>
              </c:numCache>
            </c:numRef>
          </c:xVal>
          <c:yVal>
            <c:numRef>
              <c:f>[1]omie_dinamic_dia!$Y$37:$Y$38</c:f>
              <c:numCache>
                <c:formatCode>General</c:formatCode>
                <c:ptCount val="2"/>
                <c:pt idx="0">
                  <c:v>0</c:v>
                </c:pt>
                <c:pt idx="1">
                  <c:v>-0.20586260876988119</c:v>
                </c:pt>
              </c:numCache>
            </c:numRef>
          </c:yVal>
          <c:smooth val="1"/>
          <c:extLst>
            <c:ext xmlns:c16="http://schemas.microsoft.com/office/drawing/2014/chart" uri="{C3380CC4-5D6E-409C-BE32-E72D297353CC}">
              <c16:uniqueId val="{00000015-7031-4A76-AC9E-54ECF5CDAD98}"/>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0</c:v>
                </c:pt>
              </c:numCache>
            </c:numRef>
          </c:val>
          <c:extLst>
            <c:ext xmlns:c16="http://schemas.microsoft.com/office/drawing/2014/chart" uri="{C3380CC4-5D6E-409C-BE32-E72D297353CC}">
              <c16:uniqueId val="{00000000-894C-40AE-9C18-F75C9BB3CA23}"/>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3933080526609218"/>
          <c:w val="0.81771450323995554"/>
          <c:h val="0.73828664589448156"/>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gauss!$C$3:$C$55</c:f>
              <c:numCache>
                <c:formatCode>General</c:formatCode>
                <c:ptCount val="53"/>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A03B-49B4-8CC7-B53C96479FDE}"/>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A03B-49B4-8CC7-B53C96479FDE}"/>
              </c:ext>
            </c:extLst>
          </c:dPt>
          <c:xVal>
            <c:numRef>
              <c:f>gauss!$L$49:$L$50</c:f>
              <c:numCache>
                <c:formatCode>0.00</c:formatCode>
                <c:ptCount val="2"/>
                <c:pt idx="0">
                  <c:v>92.75</c:v>
                </c:pt>
                <c:pt idx="1">
                  <c:v>92.75</c:v>
                </c:pt>
              </c:numCache>
            </c:numRef>
          </c:xVal>
          <c:yVal>
            <c:numRef>
              <c:f>gauss!$M$49:$M$50</c:f>
              <c:numCache>
                <c:formatCode>General</c:formatCode>
                <c:ptCount val="2"/>
                <c:pt idx="0">
                  <c:v>0</c:v>
                </c:pt>
                <c:pt idx="1">
                  <c:v>#N/A</c:v>
                </c:pt>
              </c:numCache>
            </c:numRef>
          </c:yVal>
          <c:smooth val="1"/>
          <c:extLst>
            <c:ext xmlns:c16="http://schemas.microsoft.com/office/drawing/2014/chart" uri="{C3380CC4-5D6E-409C-BE32-E72D297353CC}">
              <c16:uniqueId val="{00000003-A03B-49B4-8CC7-B53C96479FDE}"/>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4-A03B-49B4-8CC7-B53C96479FDE}"/>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68.17</c:v>
                      </c:pt>
                      <c:pt idx="1">
                        <c:v>68.17</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4.4414090339804951E-2</c:v>
                      </c:pt>
                    </c:numCache>
                  </c:numRef>
                </c:yVal>
                <c:smooth val="1"/>
                <c:extLst xmlns:c15="http://schemas.microsoft.com/office/drawing/2012/chart">
                  <c:ext xmlns:c16="http://schemas.microsoft.com/office/drawing/2014/chart" uri="{C3380CC4-5D6E-409C-BE32-E72D297353CC}">
                    <c16:uniqueId val="{00000005-A03B-49B4-8CC7-B53C96479FDE}"/>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numCache>
            </c:numRef>
          </c:val>
          <c:smooth val="0"/>
          <c:extLst>
            <c:ext xmlns:c16="http://schemas.microsoft.com/office/drawing/2014/chart" uri="{C3380CC4-5D6E-409C-BE32-E72D297353CC}">
              <c16:uniqueId val="{00000000-0831-45FF-B138-E268DEF4CF8C}"/>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37.479999999999997</c:v>
                </c:pt>
                <c:pt idx="1">
                  <c:v>37.479999999999997</c:v>
                </c:pt>
                <c:pt idx="2">
                  <c:v>37.479999999999997</c:v>
                </c:pt>
                <c:pt idx="3">
                  <c:v>37.479999999999997</c:v>
                </c:pt>
                <c:pt idx="4">
                  <c:v>37.479999999999997</c:v>
                </c:pt>
                <c:pt idx="5">
                  <c:v>37.479999999999997</c:v>
                </c:pt>
                <c:pt idx="6">
                  <c:v>37.479999999999997</c:v>
                </c:pt>
                <c:pt idx="7">
                  <c:v>37.479999999999997</c:v>
                </c:pt>
                <c:pt idx="8">
                  <c:v>37.479999999999997</c:v>
                </c:pt>
                <c:pt idx="9">
                  <c:v>37.479999999999997</c:v>
                </c:pt>
                <c:pt idx="10">
                  <c:v>37.479999999999997</c:v>
                </c:pt>
                <c:pt idx="11">
                  <c:v>37.479999999999997</c:v>
                </c:pt>
                <c:pt idx="12">
                  <c:v>37.479999999999997</c:v>
                </c:pt>
                <c:pt idx="13">
                  <c:v>37.479999999999997</c:v>
                </c:pt>
                <c:pt idx="14">
                  <c:v>37.479999999999997</c:v>
                </c:pt>
                <c:pt idx="15">
                  <c:v>37.479999999999997</c:v>
                </c:pt>
                <c:pt idx="16">
                  <c:v>37.479999999999997</c:v>
                </c:pt>
                <c:pt idx="17">
                  <c:v>37.479999999999997</c:v>
                </c:pt>
                <c:pt idx="18">
                  <c:v>37.479999999999997</c:v>
                </c:pt>
                <c:pt idx="19">
                  <c:v>37.479999999999997</c:v>
                </c:pt>
                <c:pt idx="20">
                  <c:v>37.479999999999997</c:v>
                </c:pt>
                <c:pt idx="21">
                  <c:v>37.479999999999997</c:v>
                </c:pt>
                <c:pt idx="22">
                  <c:v>37.479999999999997</c:v>
                </c:pt>
                <c:pt idx="23">
                  <c:v>37.479999999999997</c:v>
                </c:pt>
                <c:pt idx="24">
                  <c:v>37.479999999999997</c:v>
                </c:pt>
                <c:pt idx="25">
                  <c:v>37.479999999999997</c:v>
                </c:pt>
                <c:pt idx="26">
                  <c:v>37.479999999999997</c:v>
                </c:pt>
                <c:pt idx="27">
                  <c:v>37.479999999999997</c:v>
                </c:pt>
                <c:pt idx="28">
                  <c:v>37.479999999999997</c:v>
                </c:pt>
                <c:pt idx="29">
                  <c:v>37.479999999999997</c:v>
                </c:pt>
              </c:numCache>
            </c:numRef>
          </c:val>
          <c:smooth val="0"/>
          <c:extLst>
            <c:ext xmlns:c16="http://schemas.microsoft.com/office/drawing/2014/chart" uri="{C3380CC4-5D6E-409C-BE32-E72D297353CC}">
              <c16:uniqueId val="{00000001-0831-45FF-B138-E268DEF4CF8C}"/>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831-45FF-B138-E268DEF4CF8C}"/>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117.1</c:v>
                </c:pt>
                <c:pt idx="1">
                  <c:v>114.54</c:v>
                </c:pt>
                <c:pt idx="2">
                  <c:v>111.61</c:v>
                </c:pt>
                <c:pt idx="3">
                  <c:v>113.31</c:v>
                </c:pt>
                <c:pt idx="4">
                  <c:v>112.9</c:v>
                </c:pt>
                <c:pt idx="5">
                  <c:v>113.7</c:v>
                </c:pt>
                <c:pt idx="6">
                  <c:v>115.76</c:v>
                </c:pt>
                <c:pt idx="7">
                  <c:v>118</c:v>
                </c:pt>
                <c:pt idx="8">
                  <c:v>110.13</c:v>
                </c:pt>
                <c:pt idx="9">
                  <c:v>94.17</c:v>
                </c:pt>
                <c:pt idx="10">
                  <c:v>69.819999999999993</c:v>
                </c:pt>
                <c:pt idx="11">
                  <c:v>54.84</c:v>
                </c:pt>
                <c:pt idx="12">
                  <c:v>52.18</c:v>
                </c:pt>
                <c:pt idx="13">
                  <c:v>49.27</c:v>
                </c:pt>
                <c:pt idx="14">
                  <c:v>48.84</c:v>
                </c:pt>
                <c:pt idx="15">
                  <c:v>45.82</c:v>
                </c:pt>
                <c:pt idx="16">
                  <c:v>44.97</c:v>
                </c:pt>
                <c:pt idx="17">
                  <c:v>52.92</c:v>
                </c:pt>
                <c:pt idx="18">
                  <c:v>73.64</c:v>
                </c:pt>
                <c:pt idx="19">
                  <c:v>95.8</c:v>
                </c:pt>
                <c:pt idx="20">
                  <c:v>121.18</c:v>
                </c:pt>
                <c:pt idx="21">
                  <c:v>138.27000000000001</c:v>
                </c:pt>
                <c:pt idx="22">
                  <c:v>133.57</c:v>
                </c:pt>
                <c:pt idx="23">
                  <c:v>123.71</c:v>
                </c:pt>
              </c:numCache>
            </c:numRef>
          </c:val>
          <c:smooth val="0"/>
          <c:extLst>
            <c:ext xmlns:c16="http://schemas.microsoft.com/office/drawing/2014/chart" uri="{C3380CC4-5D6E-409C-BE32-E72D297353CC}">
              <c16:uniqueId val="{00000000-39C1-4F07-9B7D-59358CD91DBD}"/>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7">
                  <c:v>114</c:v>
                </c:pt>
                <c:pt idx="8">
                  <c:v>97.89</c:v>
                </c:pt>
                <c:pt idx="9">
                  <c:v>80.27</c:v>
                </c:pt>
                <c:pt idx="10">
                  <c:v>23.72</c:v>
                </c:pt>
                <c:pt idx="11">
                  <c:v>54.84</c:v>
                </c:pt>
                <c:pt idx="12">
                  <c:v>41.98</c:v>
                </c:pt>
                <c:pt idx="13">
                  <c:v>31.18</c:v>
                </c:pt>
                <c:pt idx="14">
                  <c:v>32.369999999999997</c:v>
                </c:pt>
                <c:pt idx="15">
                  <c:v>45.82</c:v>
                </c:pt>
                <c:pt idx="16">
                  <c:v>35.76</c:v>
                </c:pt>
                <c:pt idx="17">
                  <c:v>45.7</c:v>
                </c:pt>
                <c:pt idx="18">
                  <c:v>71.69</c:v>
                </c:pt>
                <c:pt idx="19">
                  <c:v>80</c:v>
                </c:pt>
                <c:pt idx="20">
                  <c:v>114</c:v>
                </c:pt>
              </c:numCache>
            </c:numRef>
          </c:yVal>
          <c:smooth val="0"/>
          <c:extLst>
            <c:ext xmlns:c16="http://schemas.microsoft.com/office/drawing/2014/chart" uri="{C3380CC4-5D6E-409C-BE32-E72D297353CC}">
              <c16:uniqueId val="{00000002-39C1-4F07-9B7D-59358CD91DBD}"/>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117.02</c:v>
                </c:pt>
                <c:pt idx="2">
                  <c:v>106</c:v>
                </c:pt>
                <c:pt idx="5">
                  <c:v>112.88</c:v>
                </c:pt>
                <c:pt idx="6">
                  <c:v>116.84</c:v>
                </c:pt>
                <c:pt idx="8">
                  <c:v>116.84</c:v>
                </c:pt>
                <c:pt idx="12">
                  <c:v>92.98</c:v>
                </c:pt>
                <c:pt idx="14">
                  <c:v>88.99</c:v>
                </c:pt>
                <c:pt idx="23">
                  <c:v>117.14</c:v>
                </c:pt>
              </c:numCache>
            </c:numRef>
          </c:yVal>
          <c:smooth val="0"/>
          <c:extLst>
            <c:ext xmlns:c16="http://schemas.microsoft.com/office/drawing/2014/chart" uri="{C3380CC4-5D6E-409C-BE32-E72D297353CC}">
              <c16:uniqueId val="{00000004-39C1-4F07-9B7D-59358CD91DBD}"/>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117.12</c:v>
                </c:pt>
                <c:pt idx="1">
                  <c:v>114.54</c:v>
                </c:pt>
                <c:pt idx="2">
                  <c:v>113.01</c:v>
                </c:pt>
                <c:pt idx="3">
                  <c:v>113.31</c:v>
                </c:pt>
                <c:pt idx="4">
                  <c:v>112.98</c:v>
                </c:pt>
                <c:pt idx="5">
                  <c:v>114.32</c:v>
                </c:pt>
                <c:pt idx="6">
                  <c:v>115.48</c:v>
                </c:pt>
                <c:pt idx="7">
                  <c:v>116.63</c:v>
                </c:pt>
                <c:pt idx="8">
                  <c:v>111.98</c:v>
                </c:pt>
                <c:pt idx="9">
                  <c:v>117.23</c:v>
                </c:pt>
                <c:pt idx="10">
                  <c:v>100.56</c:v>
                </c:pt>
                <c:pt idx="13">
                  <c:v>76.400000000000006</c:v>
                </c:pt>
                <c:pt idx="14">
                  <c:v>58.1</c:v>
                </c:pt>
                <c:pt idx="16">
                  <c:v>81.8</c:v>
                </c:pt>
                <c:pt idx="17">
                  <c:v>81.8</c:v>
                </c:pt>
                <c:pt idx="18">
                  <c:v>76.56</c:v>
                </c:pt>
                <c:pt idx="19">
                  <c:v>99.76</c:v>
                </c:pt>
                <c:pt idx="20">
                  <c:v>122.98</c:v>
                </c:pt>
                <c:pt idx="21">
                  <c:v>139.68</c:v>
                </c:pt>
                <c:pt idx="22">
                  <c:v>135.59</c:v>
                </c:pt>
                <c:pt idx="23">
                  <c:v>121</c:v>
                </c:pt>
              </c:numCache>
            </c:numRef>
          </c:yVal>
          <c:smooth val="0"/>
          <c:extLst>
            <c:ext xmlns:c16="http://schemas.microsoft.com/office/drawing/2014/chart" uri="{C3380CC4-5D6E-409C-BE32-E72D297353CC}">
              <c16:uniqueId val="{00000006-39C1-4F07-9B7D-59358CD91DBD}"/>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69.470000000000013</c:v>
                </c:pt>
              </c:numCache>
            </c:numRef>
          </c:val>
          <c:smooth val="0"/>
          <c:extLst>
            <c:ext xmlns:c16="http://schemas.microsoft.com/office/drawing/2014/chart" uri="{C3380CC4-5D6E-409C-BE32-E72D297353CC}">
              <c16:uniqueId val="{00000000-347C-4249-AB34-A5532D6F20FF}"/>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69.569999999999993</c:v>
                </c:pt>
                <c:pt idx="1">
                  <c:v>69.569999999999993</c:v>
                </c:pt>
                <c:pt idx="2">
                  <c:v>69.569999999999993</c:v>
                </c:pt>
                <c:pt idx="3">
                  <c:v>69.569999999999993</c:v>
                </c:pt>
                <c:pt idx="4">
                  <c:v>69.569999999999993</c:v>
                </c:pt>
                <c:pt idx="5">
                  <c:v>69.569999999999993</c:v>
                </c:pt>
                <c:pt idx="6">
                  <c:v>69.569999999999993</c:v>
                </c:pt>
                <c:pt idx="7">
                  <c:v>69.569999999999993</c:v>
                </c:pt>
                <c:pt idx="8">
                  <c:v>69.569999999999993</c:v>
                </c:pt>
                <c:pt idx="9">
                  <c:v>69.569999999999993</c:v>
                </c:pt>
                <c:pt idx="10">
                  <c:v>69.569999999999993</c:v>
                </c:pt>
                <c:pt idx="11">
                  <c:v>69.569999999999993</c:v>
                </c:pt>
                <c:pt idx="12">
                  <c:v>69.569999999999993</c:v>
                </c:pt>
                <c:pt idx="13">
                  <c:v>69.569999999999993</c:v>
                </c:pt>
                <c:pt idx="14">
                  <c:v>69.569999999999993</c:v>
                </c:pt>
                <c:pt idx="15">
                  <c:v>69.569999999999993</c:v>
                </c:pt>
                <c:pt idx="16">
                  <c:v>69.569999999999993</c:v>
                </c:pt>
                <c:pt idx="17">
                  <c:v>69.569999999999993</c:v>
                </c:pt>
                <c:pt idx="18">
                  <c:v>69.569999999999993</c:v>
                </c:pt>
                <c:pt idx="19">
                  <c:v>69.569999999999993</c:v>
                </c:pt>
                <c:pt idx="20">
                  <c:v>69.569999999999993</c:v>
                </c:pt>
                <c:pt idx="21">
                  <c:v>69.569999999999993</c:v>
                </c:pt>
                <c:pt idx="22">
                  <c:v>69.569999999999993</c:v>
                </c:pt>
                <c:pt idx="23">
                  <c:v>69.569999999999993</c:v>
                </c:pt>
                <c:pt idx="24">
                  <c:v>69.569999999999993</c:v>
                </c:pt>
                <c:pt idx="25">
                  <c:v>69.569999999999993</c:v>
                </c:pt>
                <c:pt idx="26">
                  <c:v>69.569999999999993</c:v>
                </c:pt>
                <c:pt idx="27">
                  <c:v>69.569999999999993</c:v>
                </c:pt>
                <c:pt idx="28">
                  <c:v>69.569999999999993</c:v>
                </c:pt>
                <c:pt idx="29">
                  <c:v>69.569999999999993</c:v>
                </c:pt>
                <c:pt idx="30">
                  <c:v>69.569999999999993</c:v>
                </c:pt>
              </c:numCache>
            </c:numRef>
          </c:val>
          <c:smooth val="0"/>
          <c:extLst>
            <c:ext xmlns:c16="http://schemas.microsoft.com/office/drawing/2014/chart" uri="{C3380CC4-5D6E-409C-BE32-E72D297353CC}">
              <c16:uniqueId val="{00000001-347C-4249-AB34-A5532D6F20FF}"/>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7C-4249-AB34-A5532D6F20FF}"/>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0.33300000000000002</c:v>
                      </c:pt>
                      <c:pt idx="1">
                        <c:v>0.33300000000000002</c:v>
                      </c:pt>
                      <c:pt idx="2">
                        <c:v>0.33300000000000002</c:v>
                      </c:pt>
                      <c:pt idx="3">
                        <c:v>0.33300000000000002</c:v>
                      </c:pt>
                      <c:pt idx="4">
                        <c:v>0.33300000000000002</c:v>
                      </c:pt>
                      <c:pt idx="5">
                        <c:v>0.33300000000000002</c:v>
                      </c:pt>
                      <c:pt idx="6">
                        <c:v>0.33300000000000002</c:v>
                      </c:pt>
                      <c:pt idx="7">
                        <c:v>0.33300000000000002</c:v>
                      </c:pt>
                      <c:pt idx="8">
                        <c:v>0.33300000000000002</c:v>
                      </c:pt>
                      <c:pt idx="9">
                        <c:v>0.33300000000000002</c:v>
                      </c:pt>
                      <c:pt idx="10">
                        <c:v>0.33300000000000002</c:v>
                      </c:pt>
                      <c:pt idx="11">
                        <c:v>0.33300000000000002</c:v>
                      </c:pt>
                      <c:pt idx="12">
                        <c:v>0.33300000000000002</c:v>
                      </c:pt>
                      <c:pt idx="13">
                        <c:v>0.33300000000000002</c:v>
                      </c:pt>
                      <c:pt idx="14">
                        <c:v>0.33300000000000002</c:v>
                      </c:pt>
                      <c:pt idx="15">
                        <c:v>0.33300000000000002</c:v>
                      </c:pt>
                      <c:pt idx="16">
                        <c:v>0.33300000000000002</c:v>
                      </c:pt>
                      <c:pt idx="17">
                        <c:v>0.33300000000000002</c:v>
                      </c:pt>
                      <c:pt idx="18">
                        <c:v>0.33300000000000002</c:v>
                      </c:pt>
                      <c:pt idx="19">
                        <c:v>0.33300000000000002</c:v>
                      </c:pt>
                      <c:pt idx="20">
                        <c:v>0.33300000000000002</c:v>
                      </c:pt>
                      <c:pt idx="21">
                        <c:v>0.33300000000000002</c:v>
                      </c:pt>
                      <c:pt idx="22">
                        <c:v>0.33300000000000002</c:v>
                      </c:pt>
                      <c:pt idx="23">
                        <c:v>0.33300000000000002</c:v>
                      </c:pt>
                      <c:pt idx="24">
                        <c:v>0.33300000000000002</c:v>
                      </c:pt>
                      <c:pt idx="25">
                        <c:v>0.33300000000000002</c:v>
                      </c:pt>
                      <c:pt idx="26">
                        <c:v>0.33300000000000002</c:v>
                      </c:pt>
                      <c:pt idx="27">
                        <c:v>0.33300000000000002</c:v>
                      </c:pt>
                      <c:pt idx="28">
                        <c:v>0.33300000000000002</c:v>
                      </c:pt>
                      <c:pt idx="29">
                        <c:v>0.33300000000000002</c:v>
                      </c:pt>
                      <c:pt idx="30">
                        <c:v>0.33300000000000002</c:v>
                      </c:pt>
                    </c:numCache>
                  </c:numRef>
                </c:val>
                <c:extLst>
                  <c:ext xmlns:c16="http://schemas.microsoft.com/office/drawing/2014/chart" uri="{C3380CC4-5D6E-409C-BE32-E72D297353CC}">
                    <c16:uniqueId val="{00000006-9433-4D81-A403-1B00E36C8D68}"/>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numCache>
            </c:numRef>
          </c:val>
          <c:extLst>
            <c:ext xmlns:c16="http://schemas.microsoft.com/office/drawing/2014/chart" uri="{C3380CC4-5D6E-409C-BE32-E72D297353CC}">
              <c16:uniqueId val="{00000000-9433-4D81-A403-1B00E36C8D68}"/>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numCache>
            </c:numRef>
          </c:val>
          <c:extLst>
            <c:ext xmlns:c16="http://schemas.microsoft.com/office/drawing/2014/chart" uri="{C3380CC4-5D6E-409C-BE32-E72D297353CC}">
              <c16:uniqueId val="{00000001-9433-4D81-A403-1B00E36C8D68}"/>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numCache>
            </c:numRef>
          </c:val>
          <c:extLst>
            <c:ext xmlns:c16="http://schemas.microsoft.com/office/drawing/2014/chart" uri="{C3380CC4-5D6E-409C-BE32-E72D297353CC}">
              <c16:uniqueId val="{00000002-9433-4D81-A403-1B00E36C8D68}"/>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433-4D81-A403-1B00E36C8D68}"/>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92.751999999999995</c:v>
                </c:pt>
                <c:pt idx="1">
                  <c:v>92.751999999999995</c:v>
                </c:pt>
                <c:pt idx="2">
                  <c:v>92.751999999999995</c:v>
                </c:pt>
                <c:pt idx="3">
                  <c:v>92.751999999999995</c:v>
                </c:pt>
                <c:pt idx="4">
                  <c:v>92.751999999999995</c:v>
                </c:pt>
                <c:pt idx="5">
                  <c:v>92.751999999999995</c:v>
                </c:pt>
                <c:pt idx="6">
                  <c:v>92.751999999999995</c:v>
                </c:pt>
                <c:pt idx="7">
                  <c:v>92.751999999999995</c:v>
                </c:pt>
                <c:pt idx="8">
                  <c:v>92.751999999999995</c:v>
                </c:pt>
                <c:pt idx="9">
                  <c:v>92.751999999999995</c:v>
                </c:pt>
                <c:pt idx="10">
                  <c:v>92.751999999999995</c:v>
                </c:pt>
                <c:pt idx="11">
                  <c:v>92.751999999999995</c:v>
                </c:pt>
                <c:pt idx="12">
                  <c:v>92.751999999999995</c:v>
                </c:pt>
                <c:pt idx="13">
                  <c:v>92.751999999999995</c:v>
                </c:pt>
                <c:pt idx="14">
                  <c:v>92.751999999999995</c:v>
                </c:pt>
                <c:pt idx="15">
                  <c:v>92.751999999999995</c:v>
                </c:pt>
                <c:pt idx="16">
                  <c:v>92.751999999999995</c:v>
                </c:pt>
                <c:pt idx="17">
                  <c:v>92.751999999999995</c:v>
                </c:pt>
                <c:pt idx="18">
                  <c:v>92.751999999999995</c:v>
                </c:pt>
                <c:pt idx="19">
                  <c:v>92.751999999999995</c:v>
                </c:pt>
                <c:pt idx="20">
                  <c:v>92.751999999999995</c:v>
                </c:pt>
                <c:pt idx="21">
                  <c:v>92.751999999999995</c:v>
                </c:pt>
                <c:pt idx="22">
                  <c:v>92.751999999999995</c:v>
                </c:pt>
                <c:pt idx="23">
                  <c:v>92.751999999999995</c:v>
                </c:pt>
                <c:pt idx="24">
                  <c:v>92.751999999999995</c:v>
                </c:pt>
                <c:pt idx="25">
                  <c:v>92.751999999999995</c:v>
                </c:pt>
                <c:pt idx="26">
                  <c:v>92.751999999999995</c:v>
                </c:pt>
                <c:pt idx="27">
                  <c:v>92.751999999999995</c:v>
                </c:pt>
                <c:pt idx="28">
                  <c:v>92.751999999999995</c:v>
                </c:pt>
                <c:pt idx="29">
                  <c:v>92.751999999999995</c:v>
                </c:pt>
                <c:pt idx="30">
                  <c:v>92.751999999999995</c:v>
                </c:pt>
              </c:numCache>
            </c:numRef>
          </c:val>
          <c:smooth val="0"/>
          <c:extLst>
            <c:ext xmlns:c16="http://schemas.microsoft.com/office/drawing/2014/chart" uri="{C3380CC4-5D6E-409C-BE32-E72D297353CC}">
              <c16:uniqueId val="{00000003-9433-4D81-A403-1B00E36C8D68}"/>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numCache>
            </c:numRef>
          </c:val>
          <c:smooth val="0"/>
          <c:extLst>
            <c:ext xmlns:c16="http://schemas.microsoft.com/office/drawing/2014/chart" uri="{C3380CC4-5D6E-409C-BE32-E72D297353CC}">
              <c16:uniqueId val="{00000004-9433-4D81-A403-1B00E36C8D68}"/>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6.7000000000000004E-2</c:v>
                      </c:pt>
                      <c:pt idx="1">
                        <c:v>0.01</c:v>
                      </c:pt>
                      <c:pt idx="2">
                        <c:v>1.4E-2</c:v>
                      </c:pt>
                      <c:pt idx="3">
                        <c:v>2.1000000000000001E-2</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433-4D81-A403-1B00E36C8D68}"/>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0.53300000000000003</c:v>
                      </c:pt>
                      <c:pt idx="1">
                        <c:v>0.55200000000000005</c:v>
                      </c:pt>
                      <c:pt idx="2">
                        <c:v>0.52800000000000002</c:v>
                      </c:pt>
                      <c:pt idx="3">
                        <c:v>0.52100000000000002</c:v>
                      </c:pt>
                      <c:pt idx="4">
                        <c:v>0.58299999999999996</c:v>
                      </c:pt>
                      <c:pt idx="5">
                        <c:v>0.58299999999999996</c:v>
                      </c:pt>
                      <c:pt idx="6">
                        <c:v>0.58299999999999996</c:v>
                      </c:pt>
                      <c:pt idx="7">
                        <c:v>0.58299999999999996</c:v>
                      </c:pt>
                      <c:pt idx="8">
                        <c:v>0.58299999999999996</c:v>
                      </c:pt>
                      <c:pt idx="9">
                        <c:v>0.58299999999999996</c:v>
                      </c:pt>
                      <c:pt idx="10">
                        <c:v>0.58299999999999996</c:v>
                      </c:pt>
                      <c:pt idx="11">
                        <c:v>0.58299999999999996</c:v>
                      </c:pt>
                      <c:pt idx="12">
                        <c:v>0.58299999999999996</c:v>
                      </c:pt>
                      <c:pt idx="13">
                        <c:v>0.58299999999999996</c:v>
                      </c:pt>
                      <c:pt idx="14">
                        <c:v>0.58299999999999996</c:v>
                      </c:pt>
                      <c:pt idx="15">
                        <c:v>0.58299999999999996</c:v>
                      </c:pt>
                      <c:pt idx="16">
                        <c:v>0.58299999999999996</c:v>
                      </c:pt>
                      <c:pt idx="17">
                        <c:v>0.58299999999999996</c:v>
                      </c:pt>
                      <c:pt idx="18">
                        <c:v>0.58299999999999996</c:v>
                      </c:pt>
                      <c:pt idx="19">
                        <c:v>0.58299999999999996</c:v>
                      </c:pt>
                      <c:pt idx="20">
                        <c:v>0.58299999999999996</c:v>
                      </c:pt>
                      <c:pt idx="21">
                        <c:v>0.58299999999999996</c:v>
                      </c:pt>
                      <c:pt idx="22">
                        <c:v>0.58299999999999996</c:v>
                      </c:pt>
                      <c:pt idx="23">
                        <c:v>0.58299999999999996</c:v>
                      </c:pt>
                      <c:pt idx="24">
                        <c:v>0.58299999999999996</c:v>
                      </c:pt>
                      <c:pt idx="25">
                        <c:v>0.58299999999999996</c:v>
                      </c:pt>
                      <c:pt idx="26">
                        <c:v>0.58299999999999996</c:v>
                      </c:pt>
                      <c:pt idx="27">
                        <c:v>0.58299999999999996</c:v>
                      </c:pt>
                      <c:pt idx="28">
                        <c:v>0.58299999999999996</c:v>
                      </c:pt>
                      <c:pt idx="29">
                        <c:v>0.58299999999999996</c:v>
                      </c:pt>
                      <c:pt idx="30">
                        <c:v>0.58299999999999996</c:v>
                      </c:pt>
                    </c:numCache>
                  </c:numRef>
                </c:val>
                <c:smooth val="0"/>
                <c:extLst xmlns:c15="http://schemas.microsoft.com/office/drawing/2012/chart">
                  <c:ext xmlns:c16="http://schemas.microsoft.com/office/drawing/2014/chart" uri="{C3380CC4-5D6E-409C-BE32-E72D297353CC}">
                    <c16:uniqueId val="{00000008-9433-4D81-A403-1B00E36C8D68}"/>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0</c:v>
                      </c:pt>
                    </c:numCache>
                  </c:numRef>
                </c:val>
                <c:smooth val="0"/>
                <c:extLst xmlns:c15="http://schemas.microsoft.com/office/drawing/2012/chart">
                  <c:ext xmlns:c16="http://schemas.microsoft.com/office/drawing/2014/chart" uri="{C3380CC4-5D6E-409C-BE32-E72D297353CC}">
                    <c16:uniqueId val="{00000009-9433-4D81-A403-1B00E36C8D68}"/>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9433-4D81-A403-1B00E36C8D68}"/>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60.78</c:v>
                      </c:pt>
                      <c:pt idx="1">
                        <c:v>60.78</c:v>
                      </c:pt>
                      <c:pt idx="2">
                        <c:v>60.78</c:v>
                      </c:pt>
                      <c:pt idx="3">
                        <c:v>60.78</c:v>
                      </c:pt>
                      <c:pt idx="4">
                        <c:v>60.78</c:v>
                      </c:pt>
                      <c:pt idx="5">
                        <c:v>60.78</c:v>
                      </c:pt>
                      <c:pt idx="6">
                        <c:v>60.78</c:v>
                      </c:pt>
                      <c:pt idx="7">
                        <c:v>60.78</c:v>
                      </c:pt>
                      <c:pt idx="8">
                        <c:v>60.78</c:v>
                      </c:pt>
                      <c:pt idx="9">
                        <c:v>60.78</c:v>
                      </c:pt>
                      <c:pt idx="10">
                        <c:v>60.78</c:v>
                      </c:pt>
                      <c:pt idx="11">
                        <c:v>60.78</c:v>
                      </c:pt>
                      <c:pt idx="12">
                        <c:v>60.78</c:v>
                      </c:pt>
                      <c:pt idx="13">
                        <c:v>60.78</c:v>
                      </c:pt>
                      <c:pt idx="14">
                        <c:v>60.78</c:v>
                      </c:pt>
                      <c:pt idx="15">
                        <c:v>60.78</c:v>
                      </c:pt>
                      <c:pt idx="16">
                        <c:v>60.78</c:v>
                      </c:pt>
                      <c:pt idx="17">
                        <c:v>60.78</c:v>
                      </c:pt>
                      <c:pt idx="18">
                        <c:v>60.78</c:v>
                      </c:pt>
                      <c:pt idx="19">
                        <c:v>60.78</c:v>
                      </c:pt>
                      <c:pt idx="20">
                        <c:v>60.78</c:v>
                      </c:pt>
                      <c:pt idx="21">
                        <c:v>60.78</c:v>
                      </c:pt>
                      <c:pt idx="22">
                        <c:v>60.78</c:v>
                      </c:pt>
                      <c:pt idx="23">
                        <c:v>60.78</c:v>
                      </c:pt>
                      <c:pt idx="24">
                        <c:v>60.78</c:v>
                      </c:pt>
                      <c:pt idx="25">
                        <c:v>60.78</c:v>
                      </c:pt>
                      <c:pt idx="26">
                        <c:v>60.78</c:v>
                      </c:pt>
                      <c:pt idx="27">
                        <c:v>60.78</c:v>
                      </c:pt>
                      <c:pt idx="28">
                        <c:v>60.78</c:v>
                      </c:pt>
                      <c:pt idx="29">
                        <c:v>60.78</c:v>
                      </c:pt>
                      <c:pt idx="30">
                        <c:v>60.78</c:v>
                      </c:pt>
                    </c:numCache>
                  </c:numRef>
                </c:val>
                <c:smooth val="0"/>
                <c:extLst xmlns:c15="http://schemas.microsoft.com/office/drawing/2012/chart">
                  <c:ext xmlns:c16="http://schemas.microsoft.com/office/drawing/2014/chart" uri="{C3380CC4-5D6E-409C-BE32-E72D297353CC}">
                    <c16:uniqueId val="{0000000B-9433-4D81-A403-1B00E36C8D68}"/>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9433-4D81-A403-1B00E36C8D68}"/>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42.991</c:v>
                      </c:pt>
                      <c:pt idx="1">
                        <c:v>42.991</c:v>
                      </c:pt>
                      <c:pt idx="2">
                        <c:v>42.991</c:v>
                      </c:pt>
                      <c:pt idx="3">
                        <c:v>42.991</c:v>
                      </c:pt>
                      <c:pt idx="4">
                        <c:v>42.991</c:v>
                      </c:pt>
                      <c:pt idx="5">
                        <c:v>42.991</c:v>
                      </c:pt>
                      <c:pt idx="6">
                        <c:v>42.991</c:v>
                      </c:pt>
                      <c:pt idx="7">
                        <c:v>42.991</c:v>
                      </c:pt>
                      <c:pt idx="8">
                        <c:v>42.991</c:v>
                      </c:pt>
                      <c:pt idx="9">
                        <c:v>42.991</c:v>
                      </c:pt>
                      <c:pt idx="10">
                        <c:v>42.991</c:v>
                      </c:pt>
                      <c:pt idx="11">
                        <c:v>42.991</c:v>
                      </c:pt>
                      <c:pt idx="12">
                        <c:v>42.991</c:v>
                      </c:pt>
                      <c:pt idx="13">
                        <c:v>42.991</c:v>
                      </c:pt>
                      <c:pt idx="14">
                        <c:v>42.991</c:v>
                      </c:pt>
                      <c:pt idx="15">
                        <c:v>42.991</c:v>
                      </c:pt>
                      <c:pt idx="16">
                        <c:v>42.991</c:v>
                      </c:pt>
                      <c:pt idx="17">
                        <c:v>42.991</c:v>
                      </c:pt>
                      <c:pt idx="18">
                        <c:v>42.991</c:v>
                      </c:pt>
                      <c:pt idx="19">
                        <c:v>42.991</c:v>
                      </c:pt>
                      <c:pt idx="20">
                        <c:v>42.991</c:v>
                      </c:pt>
                      <c:pt idx="21">
                        <c:v>42.991</c:v>
                      </c:pt>
                      <c:pt idx="22">
                        <c:v>42.991</c:v>
                      </c:pt>
                      <c:pt idx="23">
                        <c:v>42.991</c:v>
                      </c:pt>
                      <c:pt idx="24">
                        <c:v>42.991</c:v>
                      </c:pt>
                      <c:pt idx="25">
                        <c:v>42.991</c:v>
                      </c:pt>
                      <c:pt idx="26">
                        <c:v>42.991</c:v>
                      </c:pt>
                      <c:pt idx="27">
                        <c:v>42.991</c:v>
                      </c:pt>
                      <c:pt idx="28">
                        <c:v>42.991</c:v>
                      </c:pt>
                      <c:pt idx="29">
                        <c:v>42.991</c:v>
                      </c:pt>
                      <c:pt idx="30">
                        <c:v>42.991</c:v>
                      </c:pt>
                    </c:numCache>
                  </c:numRef>
                </c:val>
                <c:smooth val="0"/>
                <c:extLst xmlns:c15="http://schemas.microsoft.com/office/drawing/2012/chart">
                  <c:ext xmlns:c16="http://schemas.microsoft.com/office/drawing/2014/chart" uri="{C3380CC4-5D6E-409C-BE32-E72D297353CC}">
                    <c16:uniqueId val="{0000000D-9433-4D81-A403-1B00E36C8D68}"/>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9433-4D81-A403-1B00E36C8D68}"/>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112.25</c:v>
                      </c:pt>
                      <c:pt idx="1">
                        <c:v>112.25</c:v>
                      </c:pt>
                      <c:pt idx="2">
                        <c:v>112.25</c:v>
                      </c:pt>
                      <c:pt idx="3">
                        <c:v>112.25</c:v>
                      </c:pt>
                      <c:pt idx="4">
                        <c:v>112.25</c:v>
                      </c:pt>
                      <c:pt idx="5">
                        <c:v>112.25</c:v>
                      </c:pt>
                      <c:pt idx="6">
                        <c:v>112.25</c:v>
                      </c:pt>
                      <c:pt idx="7">
                        <c:v>112.25</c:v>
                      </c:pt>
                      <c:pt idx="8">
                        <c:v>112.25</c:v>
                      </c:pt>
                      <c:pt idx="9">
                        <c:v>112.25</c:v>
                      </c:pt>
                      <c:pt idx="10">
                        <c:v>112.25</c:v>
                      </c:pt>
                      <c:pt idx="11">
                        <c:v>112.25</c:v>
                      </c:pt>
                      <c:pt idx="12">
                        <c:v>112.25</c:v>
                      </c:pt>
                      <c:pt idx="13">
                        <c:v>112.25</c:v>
                      </c:pt>
                      <c:pt idx="14">
                        <c:v>112.25</c:v>
                      </c:pt>
                      <c:pt idx="15">
                        <c:v>112.25</c:v>
                      </c:pt>
                      <c:pt idx="16">
                        <c:v>112.25</c:v>
                      </c:pt>
                      <c:pt idx="17">
                        <c:v>112.25</c:v>
                      </c:pt>
                      <c:pt idx="18">
                        <c:v>112.25</c:v>
                      </c:pt>
                      <c:pt idx="19">
                        <c:v>112.25</c:v>
                      </c:pt>
                      <c:pt idx="20">
                        <c:v>112.25</c:v>
                      </c:pt>
                      <c:pt idx="21">
                        <c:v>112.25</c:v>
                      </c:pt>
                      <c:pt idx="22">
                        <c:v>112.25</c:v>
                      </c:pt>
                      <c:pt idx="23">
                        <c:v>112.25</c:v>
                      </c:pt>
                      <c:pt idx="24">
                        <c:v>112.25</c:v>
                      </c:pt>
                      <c:pt idx="25">
                        <c:v>112.25</c:v>
                      </c:pt>
                      <c:pt idx="26">
                        <c:v>112.25</c:v>
                      </c:pt>
                      <c:pt idx="27">
                        <c:v>112.25</c:v>
                      </c:pt>
                      <c:pt idx="28">
                        <c:v>112.25</c:v>
                      </c:pt>
                      <c:pt idx="29">
                        <c:v>112.25</c:v>
                      </c:pt>
                      <c:pt idx="30">
                        <c:v>112.25</c:v>
                      </c:pt>
                    </c:numCache>
                  </c:numRef>
                </c:val>
                <c:smooth val="0"/>
                <c:extLst xmlns:c15="http://schemas.microsoft.com/office/drawing/2012/chart">
                  <c:ext xmlns:c16="http://schemas.microsoft.com/office/drawing/2014/chart" uri="{C3380CC4-5D6E-409C-BE32-E72D297353CC}">
                    <c16:uniqueId val="{0000000F-9433-4D81-A403-1B00E36C8D68}"/>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0</c:v>
                      </c:pt>
                      <c:pt idx="5">
                        <c:v>553.79999999999995</c:v>
                      </c:pt>
                      <c:pt idx="6">
                        <c:v>553.79999999999995</c:v>
                      </c:pt>
                      <c:pt idx="7">
                        <c:v>553.79999999999995</c:v>
                      </c:pt>
                      <c:pt idx="8">
                        <c:v>553.79999999999995</c:v>
                      </c:pt>
                      <c:pt idx="9">
                        <c:v>553.79999999999995</c:v>
                      </c:pt>
                      <c:pt idx="10">
                        <c:v>553.79999999999995</c:v>
                      </c:pt>
                      <c:pt idx="11">
                        <c:v>553.79999999999995</c:v>
                      </c:pt>
                      <c:pt idx="12">
                        <c:v>553.79999999999995</c:v>
                      </c:pt>
                      <c:pt idx="13">
                        <c:v>553.79999999999995</c:v>
                      </c:pt>
                      <c:pt idx="14">
                        <c:v>553.79999999999995</c:v>
                      </c:pt>
                      <c:pt idx="15">
                        <c:v>553.79999999999995</c:v>
                      </c:pt>
                      <c:pt idx="16">
                        <c:v>553.79999999999995</c:v>
                      </c:pt>
                      <c:pt idx="17">
                        <c:v>553.79999999999995</c:v>
                      </c:pt>
                      <c:pt idx="18">
                        <c:v>553.79999999999995</c:v>
                      </c:pt>
                      <c:pt idx="19">
                        <c:v>553.79999999999995</c:v>
                      </c:pt>
                      <c:pt idx="20">
                        <c:v>553.79999999999995</c:v>
                      </c:pt>
                      <c:pt idx="21">
                        <c:v>553.79999999999995</c:v>
                      </c:pt>
                      <c:pt idx="22">
                        <c:v>553.79999999999995</c:v>
                      </c:pt>
                      <c:pt idx="23">
                        <c:v>553.79999999999995</c:v>
                      </c:pt>
                      <c:pt idx="24">
                        <c:v>553.79999999999995</c:v>
                      </c:pt>
                      <c:pt idx="25">
                        <c:v>553.79999999999995</c:v>
                      </c:pt>
                      <c:pt idx="26">
                        <c:v>553.79999999999995</c:v>
                      </c:pt>
                      <c:pt idx="27">
                        <c:v>553.79999999999995</c:v>
                      </c:pt>
                      <c:pt idx="28">
                        <c:v>553.79999999999995</c:v>
                      </c:pt>
                      <c:pt idx="29">
                        <c:v>553.79999999999995</c:v>
                      </c:pt>
                      <c:pt idx="30">
                        <c:v>553.79999999999995</c:v>
                      </c:pt>
                    </c:numCache>
                  </c:numRef>
                </c:val>
                <c:smooth val="0"/>
                <c:extLst xmlns:c15="http://schemas.microsoft.com/office/drawing/2012/chart">
                  <c:ext xmlns:c16="http://schemas.microsoft.com/office/drawing/2014/chart" uri="{C3380CC4-5D6E-409C-BE32-E72D297353CC}">
                    <c16:uniqueId val="{00000010-9433-4D81-A403-1B00E36C8D68}"/>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9A88-457B-8508-AAC9FED2876C}"/>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9A88-457B-8508-AAC9FED2876C}"/>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9A88-457B-8508-AAC9FED2876C}"/>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9A88-457B-8508-AAC9FED2876C}"/>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9A88-457B-8508-AAC9FED2876C}"/>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9A88-457B-8508-AAC9FED2876C}"/>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9A88-457B-8508-AAC9FED2876C}"/>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9A88-457B-8508-AAC9FED2876C}"/>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9A88-457B-8508-AAC9FED2876C}"/>
              </c:ext>
            </c:extLst>
          </c:dPt>
          <c:dPt>
            <c:idx val="9"/>
            <c:bubble3D val="0"/>
            <c:spPr>
              <a:noFill/>
              <a:ln w="19050">
                <a:noFill/>
              </a:ln>
              <a:effectLst/>
            </c:spPr>
            <c:extLst>
              <c:ext xmlns:c16="http://schemas.microsoft.com/office/drawing/2014/chart" uri="{C3380CC4-5D6E-409C-BE32-E72D297353CC}">
                <c16:uniqueId val="{00000013-9A88-457B-8508-AAC9FED2876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9A88-457B-8508-AAC9FED2876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9A88-457B-8508-AAC9FED2876C}"/>
              </c:ext>
            </c:extLst>
          </c:dPt>
          <c:xVal>
            <c:numRef>
              <c:f>[1]omie_dinamic_dia!$X$11:$X$12</c:f>
              <c:numCache>
                <c:formatCode>General</c:formatCode>
                <c:ptCount val="2"/>
                <c:pt idx="0">
                  <c:v>0</c:v>
                </c:pt>
                <c:pt idx="1">
                  <c:v>0.49818510533949073</c:v>
                </c:pt>
              </c:numCache>
            </c:numRef>
          </c:xVal>
          <c:yVal>
            <c:numRef>
              <c:f>[1]omie_dinamic_dia!$Y$11:$Y$12</c:f>
              <c:numCache>
                <c:formatCode>General</c:formatCode>
                <c:ptCount val="2"/>
                <c:pt idx="0">
                  <c:v>0</c:v>
                </c:pt>
                <c:pt idx="1">
                  <c:v>0.86707070116449014</c:v>
                </c:pt>
              </c:numCache>
            </c:numRef>
          </c:yVal>
          <c:smooth val="1"/>
          <c:extLst>
            <c:ext xmlns:c16="http://schemas.microsoft.com/office/drawing/2014/chart" uri="{C3380CC4-5D6E-409C-BE32-E72D297353CC}">
              <c16:uniqueId val="{00000017-9A88-457B-8508-AAC9FED2876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1652-4CCE-9EC8-081485AC5E63}"/>
              </c:ext>
            </c:extLst>
          </c:dPt>
          <c:dPt>
            <c:idx val="1"/>
            <c:bubble3D val="0"/>
            <c:spPr>
              <a:solidFill>
                <a:schemeClr val="accent2">
                  <a:lumMod val="20000"/>
                  <a:lumOff val="80000"/>
                </a:schemeClr>
              </a:solidFill>
            </c:spPr>
            <c:extLst>
              <c:ext xmlns:c16="http://schemas.microsoft.com/office/drawing/2014/chart" uri="{C3380CC4-5D6E-409C-BE32-E72D297353CC}">
                <c16:uniqueId val="{00000003-1652-4CCE-9EC8-081485AC5E63}"/>
              </c:ext>
            </c:extLst>
          </c:dPt>
          <c:dPt>
            <c:idx val="2"/>
            <c:bubble3D val="0"/>
            <c:spPr>
              <a:solidFill>
                <a:schemeClr val="accent2">
                  <a:lumMod val="40000"/>
                  <a:lumOff val="60000"/>
                </a:schemeClr>
              </a:solidFill>
            </c:spPr>
            <c:extLst>
              <c:ext xmlns:c16="http://schemas.microsoft.com/office/drawing/2014/chart" uri="{C3380CC4-5D6E-409C-BE32-E72D297353CC}">
                <c16:uniqueId val="{00000005-1652-4CCE-9EC8-081485AC5E63}"/>
              </c:ext>
            </c:extLst>
          </c:dPt>
          <c:dPt>
            <c:idx val="3"/>
            <c:bubble3D val="0"/>
            <c:spPr>
              <a:solidFill>
                <a:schemeClr val="accent2">
                  <a:lumMod val="40000"/>
                  <a:lumOff val="60000"/>
                </a:schemeClr>
              </a:solidFill>
            </c:spPr>
            <c:extLst>
              <c:ext xmlns:c16="http://schemas.microsoft.com/office/drawing/2014/chart" uri="{C3380CC4-5D6E-409C-BE32-E72D297353CC}">
                <c16:uniqueId val="{00000007-1652-4CCE-9EC8-081485AC5E63}"/>
              </c:ext>
            </c:extLst>
          </c:dPt>
          <c:dPt>
            <c:idx val="4"/>
            <c:bubble3D val="0"/>
            <c:spPr>
              <a:solidFill>
                <a:schemeClr val="accent2">
                  <a:lumMod val="60000"/>
                  <a:lumOff val="40000"/>
                </a:schemeClr>
              </a:solidFill>
            </c:spPr>
            <c:extLst>
              <c:ext xmlns:c16="http://schemas.microsoft.com/office/drawing/2014/chart" uri="{C3380CC4-5D6E-409C-BE32-E72D297353CC}">
                <c16:uniqueId val="{00000009-1652-4CCE-9EC8-081485AC5E63}"/>
              </c:ext>
            </c:extLst>
          </c:dPt>
          <c:dPt>
            <c:idx val="5"/>
            <c:bubble3D val="0"/>
            <c:spPr>
              <a:solidFill>
                <a:schemeClr val="accent2">
                  <a:lumMod val="60000"/>
                  <a:lumOff val="40000"/>
                </a:schemeClr>
              </a:solidFill>
            </c:spPr>
            <c:extLst>
              <c:ext xmlns:c16="http://schemas.microsoft.com/office/drawing/2014/chart" uri="{C3380CC4-5D6E-409C-BE32-E72D297353CC}">
                <c16:uniqueId val="{0000000B-1652-4CCE-9EC8-081485AC5E63}"/>
              </c:ext>
            </c:extLst>
          </c:dPt>
          <c:dPt>
            <c:idx val="6"/>
            <c:bubble3D val="0"/>
            <c:spPr>
              <a:solidFill>
                <a:schemeClr val="accent2">
                  <a:lumMod val="75000"/>
                </a:schemeClr>
              </a:solidFill>
            </c:spPr>
            <c:extLst>
              <c:ext xmlns:c16="http://schemas.microsoft.com/office/drawing/2014/chart" uri="{C3380CC4-5D6E-409C-BE32-E72D297353CC}">
                <c16:uniqueId val="{0000000D-1652-4CCE-9EC8-081485AC5E63}"/>
              </c:ext>
            </c:extLst>
          </c:dPt>
          <c:dPt>
            <c:idx val="7"/>
            <c:bubble3D val="0"/>
            <c:spPr>
              <a:solidFill>
                <a:schemeClr val="accent2">
                  <a:lumMod val="75000"/>
                </a:schemeClr>
              </a:solidFill>
            </c:spPr>
            <c:extLst>
              <c:ext xmlns:c16="http://schemas.microsoft.com/office/drawing/2014/chart" uri="{C3380CC4-5D6E-409C-BE32-E72D297353CC}">
                <c16:uniqueId val="{0000000F-1652-4CCE-9EC8-081485AC5E63}"/>
              </c:ext>
            </c:extLst>
          </c:dPt>
          <c:dPt>
            <c:idx val="8"/>
            <c:bubble3D val="0"/>
            <c:spPr>
              <a:solidFill>
                <a:schemeClr val="accent2">
                  <a:lumMod val="50000"/>
                </a:schemeClr>
              </a:solidFill>
            </c:spPr>
            <c:extLst>
              <c:ext xmlns:c16="http://schemas.microsoft.com/office/drawing/2014/chart" uri="{C3380CC4-5D6E-409C-BE32-E72D297353CC}">
                <c16:uniqueId val="{00000011-1652-4CCE-9EC8-081485AC5E63}"/>
              </c:ext>
            </c:extLst>
          </c:dPt>
          <c:dPt>
            <c:idx val="9"/>
            <c:bubble3D val="0"/>
            <c:spPr>
              <a:noFill/>
            </c:spPr>
            <c:extLst>
              <c:ext xmlns:c16="http://schemas.microsoft.com/office/drawing/2014/chart" uri="{C3380CC4-5D6E-409C-BE32-E72D297353CC}">
                <c16:uniqueId val="{00000013-1652-4CCE-9EC8-081485AC5E6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52-4CCE-9EC8-081485AC5E6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-0.91269158740350276</c:v>
                </c:pt>
              </c:numCache>
            </c:numRef>
          </c:xVal>
          <c:yVal>
            <c:numRef>
              <c:f>[1]omie_dinamic_dia!$AC$20:$AC$21</c:f>
              <c:numCache>
                <c:formatCode>General</c:formatCode>
                <c:ptCount val="2"/>
                <c:pt idx="0">
                  <c:v>0</c:v>
                </c:pt>
                <c:pt idx="1">
                  <c:v>0.40864907473634904</c:v>
                </c:pt>
              </c:numCache>
            </c:numRef>
          </c:yVal>
          <c:smooth val="1"/>
          <c:extLst>
            <c:ext xmlns:c16="http://schemas.microsoft.com/office/drawing/2014/chart" uri="{C3380CC4-5D6E-409C-BE32-E72D297353CC}">
              <c16:uniqueId val="{00000015-1652-4CCE-9EC8-081485AC5E6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DF93-4CFE-B447-F3F79EE2BC03}"/>
              </c:ext>
            </c:extLst>
          </c:dPt>
          <c:dPt>
            <c:idx val="1"/>
            <c:bubble3D val="0"/>
            <c:spPr>
              <a:solidFill>
                <a:schemeClr val="accent1">
                  <a:lumMod val="20000"/>
                  <a:lumOff val="80000"/>
                </a:schemeClr>
              </a:solidFill>
            </c:spPr>
            <c:extLst>
              <c:ext xmlns:c16="http://schemas.microsoft.com/office/drawing/2014/chart" uri="{C3380CC4-5D6E-409C-BE32-E72D297353CC}">
                <c16:uniqueId val="{00000003-DF93-4CFE-B447-F3F79EE2BC03}"/>
              </c:ext>
            </c:extLst>
          </c:dPt>
          <c:dPt>
            <c:idx val="2"/>
            <c:bubble3D val="0"/>
            <c:spPr>
              <a:solidFill>
                <a:schemeClr val="accent1">
                  <a:lumMod val="40000"/>
                  <a:lumOff val="60000"/>
                </a:schemeClr>
              </a:solidFill>
            </c:spPr>
            <c:extLst>
              <c:ext xmlns:c16="http://schemas.microsoft.com/office/drawing/2014/chart" uri="{C3380CC4-5D6E-409C-BE32-E72D297353CC}">
                <c16:uniqueId val="{00000005-DF93-4CFE-B447-F3F79EE2BC03}"/>
              </c:ext>
            </c:extLst>
          </c:dPt>
          <c:dPt>
            <c:idx val="3"/>
            <c:bubble3D val="0"/>
            <c:spPr>
              <a:solidFill>
                <a:schemeClr val="accent1">
                  <a:lumMod val="40000"/>
                  <a:lumOff val="60000"/>
                </a:schemeClr>
              </a:solidFill>
            </c:spPr>
            <c:extLst>
              <c:ext xmlns:c16="http://schemas.microsoft.com/office/drawing/2014/chart" uri="{C3380CC4-5D6E-409C-BE32-E72D297353CC}">
                <c16:uniqueId val="{00000007-DF93-4CFE-B447-F3F79EE2BC03}"/>
              </c:ext>
            </c:extLst>
          </c:dPt>
          <c:dPt>
            <c:idx val="4"/>
            <c:bubble3D val="0"/>
            <c:spPr>
              <a:solidFill>
                <a:schemeClr val="accent1">
                  <a:lumMod val="60000"/>
                  <a:lumOff val="40000"/>
                </a:schemeClr>
              </a:solidFill>
            </c:spPr>
            <c:extLst>
              <c:ext xmlns:c16="http://schemas.microsoft.com/office/drawing/2014/chart" uri="{C3380CC4-5D6E-409C-BE32-E72D297353CC}">
                <c16:uniqueId val="{00000009-DF93-4CFE-B447-F3F79EE2BC03}"/>
              </c:ext>
            </c:extLst>
          </c:dPt>
          <c:dPt>
            <c:idx val="5"/>
            <c:bubble3D val="0"/>
            <c:spPr>
              <a:solidFill>
                <a:schemeClr val="accent1">
                  <a:lumMod val="60000"/>
                  <a:lumOff val="40000"/>
                </a:schemeClr>
              </a:solidFill>
            </c:spPr>
            <c:extLst>
              <c:ext xmlns:c16="http://schemas.microsoft.com/office/drawing/2014/chart" uri="{C3380CC4-5D6E-409C-BE32-E72D297353CC}">
                <c16:uniqueId val="{0000000B-DF93-4CFE-B447-F3F79EE2BC03}"/>
              </c:ext>
            </c:extLst>
          </c:dPt>
          <c:dPt>
            <c:idx val="6"/>
            <c:bubble3D val="0"/>
            <c:spPr>
              <a:solidFill>
                <a:schemeClr val="accent1">
                  <a:lumMod val="75000"/>
                </a:schemeClr>
              </a:solidFill>
            </c:spPr>
            <c:extLst>
              <c:ext xmlns:c16="http://schemas.microsoft.com/office/drawing/2014/chart" uri="{C3380CC4-5D6E-409C-BE32-E72D297353CC}">
                <c16:uniqueId val="{0000000D-DF93-4CFE-B447-F3F79EE2BC03}"/>
              </c:ext>
            </c:extLst>
          </c:dPt>
          <c:dPt>
            <c:idx val="7"/>
            <c:bubble3D val="0"/>
            <c:spPr>
              <a:solidFill>
                <a:schemeClr val="accent1">
                  <a:lumMod val="75000"/>
                </a:schemeClr>
              </a:solidFill>
            </c:spPr>
            <c:extLst>
              <c:ext xmlns:c16="http://schemas.microsoft.com/office/drawing/2014/chart" uri="{C3380CC4-5D6E-409C-BE32-E72D297353CC}">
                <c16:uniqueId val="{0000000F-DF93-4CFE-B447-F3F79EE2BC03}"/>
              </c:ext>
            </c:extLst>
          </c:dPt>
          <c:dPt>
            <c:idx val="8"/>
            <c:bubble3D val="0"/>
            <c:spPr>
              <a:solidFill>
                <a:schemeClr val="accent1">
                  <a:lumMod val="50000"/>
                </a:schemeClr>
              </a:solidFill>
            </c:spPr>
            <c:extLst>
              <c:ext xmlns:c16="http://schemas.microsoft.com/office/drawing/2014/chart" uri="{C3380CC4-5D6E-409C-BE32-E72D297353CC}">
                <c16:uniqueId val="{00000011-DF93-4CFE-B447-F3F79EE2BC03}"/>
              </c:ext>
            </c:extLst>
          </c:dPt>
          <c:dPt>
            <c:idx val="9"/>
            <c:bubble3D val="0"/>
            <c:spPr>
              <a:noFill/>
            </c:spPr>
            <c:extLst>
              <c:ext xmlns:c16="http://schemas.microsoft.com/office/drawing/2014/chart" uri="{C3380CC4-5D6E-409C-BE32-E72D297353CC}">
                <c16:uniqueId val="{00000013-DF93-4CFE-B447-F3F79EE2BC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DF93-4CFE-B447-F3F79EE2BC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0.97858090432547218</c:v>
                </c:pt>
              </c:numCache>
            </c:numRef>
          </c:xVal>
          <c:yVal>
            <c:numRef>
              <c:f>[1]omie_dinamic_dia!$Y$37:$Y$38</c:f>
              <c:numCache>
                <c:formatCode>General</c:formatCode>
                <c:ptCount val="2"/>
                <c:pt idx="0">
                  <c:v>0</c:v>
                </c:pt>
                <c:pt idx="1">
                  <c:v>-0.20586260876988119</c:v>
                </c:pt>
              </c:numCache>
            </c:numRef>
          </c:yVal>
          <c:smooth val="1"/>
          <c:extLst>
            <c:ext xmlns:c16="http://schemas.microsoft.com/office/drawing/2014/chart" uri="{C3380CC4-5D6E-409C-BE32-E72D297353CC}">
              <c16:uniqueId val="{00000015-DF93-4CFE-B447-F3F79EE2BC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0</c:v>
                </c:pt>
              </c:numCache>
            </c:numRef>
          </c:val>
          <c:extLst>
            <c:ext xmlns:c16="http://schemas.microsoft.com/office/drawing/2014/chart" uri="{C3380CC4-5D6E-409C-BE32-E72D297353CC}">
              <c16:uniqueId val="{00000000-2E9C-48CB-A5C1-DE122716A5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gauss!$B$3:$B$43</c:f>
              <c:numCache>
                <c:formatCode>0.00</c:formatCode>
                <c:ptCount val="41"/>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gauss!$C$3:$C$43</c:f>
              <c:numCache>
                <c:formatCode>General</c:formatCode>
                <c:ptCount val="41"/>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1D89-4F7D-B254-AA33D7F6C506}"/>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1D89-4F7D-B254-AA33D7F6C506}"/>
              </c:ext>
            </c:extLst>
          </c:dPt>
          <c:xVal>
            <c:numRef>
              <c:f>gauss!$L$49:$L$50</c:f>
              <c:numCache>
                <c:formatCode>0.00</c:formatCode>
                <c:ptCount val="2"/>
                <c:pt idx="0">
                  <c:v>92.75</c:v>
                </c:pt>
                <c:pt idx="1">
                  <c:v>92.75</c:v>
                </c:pt>
              </c:numCache>
            </c:numRef>
          </c:xVal>
          <c:yVal>
            <c:numRef>
              <c:f>gauss!$M$49:$M$50</c:f>
              <c:numCache>
                <c:formatCode>General</c:formatCode>
                <c:ptCount val="2"/>
                <c:pt idx="0">
                  <c:v>0</c:v>
                </c:pt>
                <c:pt idx="1">
                  <c:v>#N/A</c:v>
                </c:pt>
              </c:numCache>
            </c:numRef>
          </c:yVal>
          <c:smooth val="1"/>
          <c:extLst>
            <c:ext xmlns:c16="http://schemas.microsoft.com/office/drawing/2014/chart" uri="{C3380CC4-5D6E-409C-BE32-E72D297353CC}">
              <c16:uniqueId val="{00000003-1D89-4F7D-B254-AA33D7F6C506}"/>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4-1D89-4F7D-B254-AA33D7F6C506}"/>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68.17</c:v>
                      </c:pt>
                      <c:pt idx="1">
                        <c:v>68.17</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4.4414090339804951E-2</c:v>
                      </c:pt>
                    </c:numCache>
                  </c:numRef>
                </c:yVal>
                <c:smooth val="1"/>
                <c:extLst xmlns:c15="http://schemas.microsoft.com/office/drawing/2012/chart">
                  <c:ext xmlns:c16="http://schemas.microsoft.com/office/drawing/2014/chart" uri="{C3380CC4-5D6E-409C-BE32-E72D297353CC}">
                    <c16:uniqueId val="{00000005-1D89-4F7D-B254-AA33D7F6C506}"/>
                  </c:ext>
                </c:extLst>
              </c15:ser>
            </c15:filteredScatterSeries>
          </c:ext>
        </c:extLst>
      </c:scatterChart>
      <c:valAx>
        <c:axId val="123170559"/>
        <c:scaling>
          <c:orientation val="minMax"/>
          <c:max val="90"/>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r>
              <a:rPr lang="es-ES" sz="1800">
                <a:latin typeface="Arial Narrow" panose="020B0606020202030204" pitchFamily="34" charset="0"/>
              </a:rPr>
              <a:t>Distribución de las</a:t>
            </a:r>
            <a:r>
              <a:rPr lang="es-ES" sz="1800" baseline="0">
                <a:latin typeface="Arial Narrow" panose="020B0606020202030204" pitchFamily="34" charset="0"/>
              </a:rPr>
              <a:t> apuestas. </a:t>
            </a:r>
            <a:r>
              <a:rPr lang="es-ES" sz="1800" b="1" baseline="0">
                <a:latin typeface="Arial Narrow" panose="020B0606020202030204" pitchFamily="34" charset="0"/>
              </a:rPr>
              <a:t>#miniporraagosto2024</a:t>
            </a:r>
            <a:endParaRPr lang="es-ES" sz="1800" b="1">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gauss!$B$3:$B$53</c:f>
              <c:numCache>
                <c:formatCode>0.00</c:formatCode>
                <c:ptCount val="51"/>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gauss!$C$3:$C$53</c:f>
              <c:numCache>
                <c:formatCode>General</c:formatCode>
                <c:ptCount val="51"/>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AA46-4E77-A1D3-DA9F8A562001}"/>
            </c:ext>
          </c:extLst>
        </c:ser>
        <c:ser>
          <c:idx val="2"/>
          <c:order val="2"/>
          <c:tx>
            <c:v>a</c:v>
          </c:tx>
          <c:spPr>
            <a:ln w="19050" cap="rnd">
              <a:solidFill>
                <a:schemeClr val="accent2"/>
              </a:solidFill>
              <a:round/>
            </a:ln>
            <a:effectLst/>
          </c:spPr>
          <c:marker>
            <c:symbol val="circle"/>
            <c:size val="5"/>
            <c:spPr>
              <a:solidFill>
                <a:schemeClr val="accent3"/>
              </a:solidFill>
              <a:ln w="9525">
                <a:solidFill>
                  <a:schemeClr val="accent3"/>
                </a:solidFill>
              </a:ln>
              <a:effectLst/>
            </c:spPr>
          </c:marker>
          <c:dLbls>
            <c:dLbl>
              <c:idx val="0"/>
              <c:layout>
                <c:manualLayout>
                  <c:x val="-8.7027914614121626E-2"/>
                  <c:y val="-6.0037535277961275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0"/>
            <c:showCatName val="1"/>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formatCode="0.00">
                  <c:v>68.17</c:v>
                </c:pt>
                <c:pt idx="1">
                  <c:v>68.17</c:v>
                </c:pt>
              </c:numCache>
            </c:numRef>
          </c:xVal>
          <c:yVal>
            <c:numRef>
              <c:f>gauss!$M$45:$M$46</c:f>
              <c:numCache>
                <c:formatCode>General</c:formatCode>
                <c:ptCount val="2"/>
                <c:pt idx="0">
                  <c:v>0</c:v>
                </c:pt>
                <c:pt idx="1">
                  <c:v>4.4414090339804951E-2</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123170559"/>
        <c:axId val="123171039"/>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Valor de la</a:t>
                </a:r>
                <a:r>
                  <a:rPr lang="es-ES" sz="1200" baseline="0">
                    <a:latin typeface="Arial Narrow" panose="020B0606020202030204" pitchFamily="34" charset="0"/>
                  </a:rPr>
                  <a:t> apuesta €/MWh</a:t>
                </a:r>
                <a:endParaRPr lang="es-ES" sz="1200">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10"/>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0559"/>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5"/>
          <c:order val="5"/>
          <c:tx>
            <c:strRef>
              <c:f>acum_porc!$K$1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acum_porc!$L$2:$L$33</c:f>
              <c:strCache>
                <c:ptCount val="32"/>
                <c:pt idx="0">
                  <c:v>Javier Revuelta Alonso (8)</c:v>
                </c:pt>
                <c:pt idx="1">
                  <c:v>Jose F Vidal (8)</c:v>
                </c:pt>
                <c:pt idx="2">
                  <c:v>Roberto Cavero García (6)</c:v>
                </c:pt>
                <c:pt idx="3">
                  <c:v>Javier Pérez Salazar (8)</c:v>
                </c:pt>
                <c:pt idx="4">
                  <c:v>Julián Mateo Muñoz (8)</c:v>
                </c:pt>
                <c:pt idx="5">
                  <c:v>Gladys Rocha Blanco (8)</c:v>
                </c:pt>
                <c:pt idx="6">
                  <c:v>Jaime Larrañaga Juez (7)</c:v>
                </c:pt>
                <c:pt idx="7">
                  <c:v>Javier Colón Cortegoso (6)</c:v>
                </c:pt>
                <c:pt idx="8">
                  <c:v>Roque Alonso Alonso (8)</c:v>
                </c:pt>
                <c:pt idx="9">
                  <c:v>Inés Monroy (8)</c:v>
                </c:pt>
                <c:pt idx="10">
                  <c:v>Alfonso Lezcano (7)</c:v>
                </c:pt>
                <c:pt idx="11">
                  <c:v>Jorge Antonio González Sánchez (8)</c:v>
                </c:pt>
                <c:pt idx="12">
                  <c:v>Carles Estruch Puig (7)</c:v>
                </c:pt>
                <c:pt idx="13">
                  <c:v>Laura Gómez López (7)</c:v>
                </c:pt>
                <c:pt idx="14">
                  <c:v>Roberto Parro Cortés (6)</c:v>
                </c:pt>
                <c:pt idx="15">
                  <c:v>Fernando Sánchez-Rey Maeso (8)</c:v>
                </c:pt>
                <c:pt idx="16">
                  <c:v>Elena Muñoz Vioque (8)</c:v>
                </c:pt>
                <c:pt idx="17">
                  <c:v>Alfonso Zárate Conde (8)</c:v>
                </c:pt>
                <c:pt idx="18">
                  <c:v>Jose Manuel Otero López (8)</c:v>
                </c:pt>
                <c:pt idx="19">
                  <c:v>Javier Espelta (6)</c:v>
                </c:pt>
                <c:pt idx="20">
                  <c:v>Juan Pedro Conejo Sanchez (8)</c:v>
                </c:pt>
                <c:pt idx="21">
                  <c:v>Aitor Folch (6)</c:v>
                </c:pt>
                <c:pt idx="22">
                  <c:v>Oscar Mulas Crespo (6)</c:v>
                </c:pt>
                <c:pt idx="23">
                  <c:v>Luis Angel Garzon Velasco (6)</c:v>
                </c:pt>
                <c:pt idx="24">
                  <c:v>Marcos Fortea Escolano (6)</c:v>
                </c:pt>
                <c:pt idx="25">
                  <c:v>Alejandro A. Díaz González (5)</c:v>
                </c:pt>
                <c:pt idx="26">
                  <c:v>Carlos Callejón (5)</c:v>
                </c:pt>
                <c:pt idx="27">
                  <c:v>Sergio Alfonso (5)</c:v>
                </c:pt>
                <c:pt idx="28">
                  <c:v>Vicente Fayos Gavila (5)</c:v>
                </c:pt>
                <c:pt idx="29">
                  <c:v>Beatriz Muñoz Rioboo (4)</c:v>
                </c:pt>
                <c:pt idx="30">
                  <c:v>Carlos Martin (4)</c:v>
                </c:pt>
                <c:pt idx="31">
                  <c:v>Francisco Valverde Sánchez (4)</c:v>
                </c:pt>
              </c:strCache>
            </c:strRef>
          </c:cat>
          <c:val>
            <c:numRef>
              <c:f>acum_porc!$K$2:$K$26</c:f>
              <c:numCache>
                <c:formatCode>0.0%</c:formatCode>
                <c:ptCount val="25"/>
                <c:pt idx="0">
                  <c:v>0.49419492451675695</c:v>
                </c:pt>
                <c:pt idx="1">
                  <c:v>0.80135402657018018</c:v>
                </c:pt>
                <c:pt idx="2">
                  <c:v>0.89527912333686333</c:v>
                </c:pt>
                <c:pt idx="3">
                  <c:v>1.0055789310236953</c:v>
                </c:pt>
                <c:pt idx="4">
                  <c:v>1.1678880592871785</c:v>
                </c:pt>
                <c:pt idx="5">
                  <c:v>1.2136816183198524</c:v>
                </c:pt>
                <c:pt idx="6">
                  <c:v>1.2934537493263312</c:v>
                </c:pt>
                <c:pt idx="7">
                  <c:v>1.3099906850487848</c:v>
                </c:pt>
                <c:pt idx="8">
                  <c:v>1.3336088557813683</c:v>
                </c:pt>
                <c:pt idx="9">
                  <c:v>1.3580564882370147</c:v>
                </c:pt>
                <c:pt idx="10">
                  <c:v>1.3701405820686596</c:v>
                </c:pt>
                <c:pt idx="11">
                  <c:v>1.4165238087711367</c:v>
                </c:pt>
                <c:pt idx="12">
                  <c:v>1.43524659828163</c:v>
                </c:pt>
                <c:pt idx="13">
                  <c:v>1.6546476609921257</c:v>
                </c:pt>
                <c:pt idx="14">
                  <c:v>1.6759863383492088</c:v>
                </c:pt>
                <c:pt idx="15">
                  <c:v>1.6860750379665306</c:v>
                </c:pt>
                <c:pt idx="16">
                  <c:v>1.7866170380382305</c:v>
                </c:pt>
                <c:pt idx="17">
                  <c:v>1.8301684833214122</c:v>
                </c:pt>
                <c:pt idx="18">
                  <c:v>1.9152299053414321</c:v>
                </c:pt>
                <c:pt idx="19">
                  <c:v>1.9725668513222074</c:v>
                </c:pt>
                <c:pt idx="20">
                  <c:v>1.9914616377147905</c:v>
                </c:pt>
                <c:pt idx="21">
                  <c:v>2.009290777976072</c:v>
                </c:pt>
                <c:pt idx="22">
                  <c:v>2.2761259061928669</c:v>
                </c:pt>
                <c:pt idx="23">
                  <c:v>2.5351733740766762</c:v>
                </c:pt>
                <c:pt idx="24">
                  <c:v>3.3376796010533454</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0"/>
                <c:order val="0"/>
                <c:tx>
                  <c:strRef>
                    <c:extLst>
                      <c:ext uri="{02D57815-91ED-43cb-92C2-25804820EDAC}">
                        <c15:formulaRef>
                          <c15:sqref>acum_porc!$B$1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acum_porc!$L$2:$L$33</c15:sqref>
                        </c15:formulaRef>
                      </c:ext>
                    </c:extLst>
                    <c:strCache>
                      <c:ptCount val="32"/>
                      <c:pt idx="0">
                        <c:v>Javier Revuelta Alonso (8)</c:v>
                      </c:pt>
                      <c:pt idx="1">
                        <c:v>Jose F Vidal (8)</c:v>
                      </c:pt>
                      <c:pt idx="2">
                        <c:v>Roberto Cavero García (6)</c:v>
                      </c:pt>
                      <c:pt idx="3">
                        <c:v>Javier Pérez Salazar (8)</c:v>
                      </c:pt>
                      <c:pt idx="4">
                        <c:v>Julián Mateo Muñoz (8)</c:v>
                      </c:pt>
                      <c:pt idx="5">
                        <c:v>Gladys Rocha Blanco (8)</c:v>
                      </c:pt>
                      <c:pt idx="6">
                        <c:v>Jaime Larrañaga Juez (7)</c:v>
                      </c:pt>
                      <c:pt idx="7">
                        <c:v>Javier Colón Cortegoso (6)</c:v>
                      </c:pt>
                      <c:pt idx="8">
                        <c:v>Roque Alonso Alonso (8)</c:v>
                      </c:pt>
                      <c:pt idx="9">
                        <c:v>Inés Monroy (8)</c:v>
                      </c:pt>
                      <c:pt idx="10">
                        <c:v>Alfonso Lezcano (7)</c:v>
                      </c:pt>
                      <c:pt idx="11">
                        <c:v>Jorge Antonio González Sánchez (8)</c:v>
                      </c:pt>
                      <c:pt idx="12">
                        <c:v>Carles Estruch Puig (7)</c:v>
                      </c:pt>
                      <c:pt idx="13">
                        <c:v>Laura Gómez López (7)</c:v>
                      </c:pt>
                      <c:pt idx="14">
                        <c:v>Roberto Parro Cortés (6)</c:v>
                      </c:pt>
                      <c:pt idx="15">
                        <c:v>Fernando Sánchez-Rey Maeso (8)</c:v>
                      </c:pt>
                      <c:pt idx="16">
                        <c:v>Elena Muñoz Vioque (8)</c:v>
                      </c:pt>
                      <c:pt idx="17">
                        <c:v>Alfonso Zárate Conde (8)</c:v>
                      </c:pt>
                      <c:pt idx="18">
                        <c:v>Jose Manuel Otero López (8)</c:v>
                      </c:pt>
                      <c:pt idx="19">
                        <c:v>Javier Espelta (6)</c:v>
                      </c:pt>
                      <c:pt idx="20">
                        <c:v>Juan Pedro Conejo Sanchez (8)</c:v>
                      </c:pt>
                      <c:pt idx="21">
                        <c:v>Aitor Folch (6)</c:v>
                      </c:pt>
                      <c:pt idx="22">
                        <c:v>Oscar Mulas Crespo (6)</c:v>
                      </c:pt>
                      <c:pt idx="23">
                        <c:v>Luis Angel Garzon Velasco (6)</c:v>
                      </c:pt>
                      <c:pt idx="24">
                        <c:v>Marcos Fortea Escolano (6)</c:v>
                      </c:pt>
                      <c:pt idx="25">
                        <c:v>Alejandro A. Díaz González (5)</c:v>
                      </c:pt>
                      <c:pt idx="26">
                        <c:v>Carlos Callejón (5)</c:v>
                      </c:pt>
                      <c:pt idx="27">
                        <c:v>Sergio Alfonso (5)</c:v>
                      </c:pt>
                      <c:pt idx="28">
                        <c:v>Vicente Fayos Gavila (5)</c:v>
                      </c:pt>
                      <c:pt idx="29">
                        <c:v>Beatriz Muñoz Rioboo (4)</c:v>
                      </c:pt>
                      <c:pt idx="30">
                        <c:v>Carlos Martin (4)</c:v>
                      </c:pt>
                      <c:pt idx="31">
                        <c:v>Francisco Valverde Sánchez (4)</c:v>
                      </c:pt>
                    </c:strCache>
                  </c:strRef>
                </c:cat>
                <c:val>
                  <c:numRef>
                    <c:extLst>
                      <c:ext uri="{02D57815-91ED-43cb-92C2-25804820EDAC}">
                        <c15:formulaRef>
                          <c15:sqref>acum_porc!$B$2:$B$93</c15:sqref>
                        </c15:formulaRef>
                      </c:ext>
                    </c:extLst>
                    <c:numCache>
                      <c:formatCode>General</c:formatCode>
                      <c:ptCount val="92"/>
                      <c:pt idx="0">
                        <c:v>3.2388663967611225E-2</c:v>
                      </c:pt>
                      <c:pt idx="1">
                        <c:v>8.7719298245612885E-3</c:v>
                      </c:pt>
                      <c:pt idx="2">
                        <c:v>3.2388663967611413E-2</c:v>
                      </c:pt>
                      <c:pt idx="3">
                        <c:v>1.2145748987854329E-2</c:v>
                      </c:pt>
                      <c:pt idx="4">
                        <c:v>3.8731443994601759E-2</c:v>
                      </c:pt>
                      <c:pt idx="5">
                        <c:v>0.10242914979757091</c:v>
                      </c:pt>
                      <c:pt idx="6">
                        <c:v>0.18866396761133611</c:v>
                      </c:pt>
                      <c:pt idx="8">
                        <c:v>4.4534412955465549E-2</c:v>
                      </c:pt>
                      <c:pt idx="9">
                        <c:v>2.6990553306343165E-3</c:v>
                      </c:pt>
                      <c:pt idx="10">
                        <c:v>5.6410256410256508E-2</c:v>
                      </c:pt>
                      <c:pt idx="11">
                        <c:v>0.15249662618083687</c:v>
                      </c:pt>
                      <c:pt idx="12">
                        <c:v>4.8582995951417123E-2</c:v>
                      </c:pt>
                      <c:pt idx="15">
                        <c:v>0.19703103913630224</c:v>
                      </c:pt>
                      <c:pt idx="16">
                        <c:v>0.15141700404858299</c:v>
                      </c:pt>
                      <c:pt idx="17">
                        <c:v>7.9622132253711286E-2</c:v>
                      </c:pt>
                      <c:pt idx="18">
                        <c:v>9.4197031039136361E-2</c:v>
                      </c:pt>
                      <c:pt idx="19">
                        <c:v>0.18353576248313083</c:v>
                      </c:pt>
                      <c:pt idx="20">
                        <c:v>0.17543859649122809</c:v>
                      </c:pt>
                      <c:pt idx="23">
                        <c:v>0.1943319838056681</c:v>
                      </c:pt>
                      <c:pt idx="25">
                        <c:v>1.6869095816464237E-2</c:v>
                      </c:pt>
                      <c:pt idx="26">
                        <c:v>7.0175438596491266E-2</c:v>
                      </c:pt>
                      <c:pt idx="28">
                        <c:v>2.091767881241581E-2</c:v>
                      </c:pt>
                      <c:pt idx="32">
                        <c:v>0.38704453441295561</c:v>
                      </c:pt>
                      <c:pt idx="33">
                        <c:v>2.4291497975709423E-3</c:v>
                      </c:pt>
                      <c:pt idx="34">
                        <c:v>6.2078272604589469E-3</c:v>
                      </c:pt>
                      <c:pt idx="42">
                        <c:v>0.21052631578947381</c:v>
                      </c:pt>
                      <c:pt idx="49">
                        <c:v>0.10175438596491218</c:v>
                      </c:pt>
                      <c:pt idx="51">
                        <c:v>0.11106612685560041</c:v>
                      </c:pt>
                      <c:pt idx="58">
                        <c:v>2.6180836707152658E-2</c:v>
                      </c:pt>
                      <c:pt idx="62">
                        <c:v>1.4170040485830114E-2</c:v>
                      </c:pt>
                      <c:pt idx="69">
                        <c:v>1.0796221322537075E-2</c:v>
                      </c:pt>
                      <c:pt idx="77">
                        <c:v>0.14979757085020257</c:v>
                      </c:pt>
                      <c:pt idx="79">
                        <c:v>0.23076923076923089</c:v>
                      </c:pt>
                      <c:pt idx="83">
                        <c:v>0.18016194331983817</c:v>
                      </c:pt>
                      <c:pt idx="91">
                        <c:v>0.21592442645074225</c:v>
                      </c:pt>
                    </c:numCache>
                  </c:numRef>
                </c:val>
                <c:extLst>
                  <c:ext xmlns:c16="http://schemas.microsoft.com/office/drawing/2014/chart" uri="{C3380CC4-5D6E-409C-BE32-E72D297353CC}">
                    <c16:uniqueId val="{00000002-630F-4C85-9C73-FB7089ED1F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acum_porc!$C$1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Roberto Cavero García (6)</c:v>
                      </c:pt>
                      <c:pt idx="3">
                        <c:v>Javier Pérez Salazar (8)</c:v>
                      </c:pt>
                      <c:pt idx="4">
                        <c:v>Julián Mateo Muñoz (8)</c:v>
                      </c:pt>
                      <c:pt idx="5">
                        <c:v>Gladys Rocha Blanco (8)</c:v>
                      </c:pt>
                      <c:pt idx="6">
                        <c:v>Jaime Larrañaga Juez (7)</c:v>
                      </c:pt>
                      <c:pt idx="7">
                        <c:v>Javier Colón Cortegoso (6)</c:v>
                      </c:pt>
                      <c:pt idx="8">
                        <c:v>Roque Alonso Alonso (8)</c:v>
                      </c:pt>
                      <c:pt idx="9">
                        <c:v>Inés Monroy (8)</c:v>
                      </c:pt>
                      <c:pt idx="10">
                        <c:v>Alfonso Lezcano (7)</c:v>
                      </c:pt>
                      <c:pt idx="11">
                        <c:v>Jorge Antonio González Sánchez (8)</c:v>
                      </c:pt>
                      <c:pt idx="12">
                        <c:v>Carles Estruch Puig (7)</c:v>
                      </c:pt>
                      <c:pt idx="13">
                        <c:v>Laura Gómez López (7)</c:v>
                      </c:pt>
                      <c:pt idx="14">
                        <c:v>Roberto Parro Cortés (6)</c:v>
                      </c:pt>
                      <c:pt idx="15">
                        <c:v>Fernando Sánchez-Rey Maeso (8)</c:v>
                      </c:pt>
                      <c:pt idx="16">
                        <c:v>Elena Muñoz Vioque (8)</c:v>
                      </c:pt>
                      <c:pt idx="17">
                        <c:v>Alfonso Zárate Conde (8)</c:v>
                      </c:pt>
                      <c:pt idx="18">
                        <c:v>Jose Manuel Otero López (8)</c:v>
                      </c:pt>
                      <c:pt idx="19">
                        <c:v>Javier Espelta (6)</c:v>
                      </c:pt>
                      <c:pt idx="20">
                        <c:v>Juan Pedro Conejo Sanchez (8)</c:v>
                      </c:pt>
                      <c:pt idx="21">
                        <c:v>Aitor Folch (6)</c:v>
                      </c:pt>
                      <c:pt idx="22">
                        <c:v>Oscar Mulas Crespo (6)</c:v>
                      </c:pt>
                      <c:pt idx="23">
                        <c:v>Luis Angel Garzon Velasco (6)</c:v>
                      </c:pt>
                      <c:pt idx="24">
                        <c:v>Marcos Fortea Escolano (6)</c:v>
                      </c:pt>
                      <c:pt idx="25">
                        <c:v>Alejandro A. Díaz González (5)</c:v>
                      </c:pt>
                      <c:pt idx="26">
                        <c:v>Carlos Callejón (5)</c:v>
                      </c:pt>
                      <c:pt idx="27">
                        <c:v>Sergio Alfonso (5)</c:v>
                      </c:pt>
                      <c:pt idx="28">
                        <c:v>Vicente Fayos Gavila (5)</c:v>
                      </c:pt>
                      <c:pt idx="29">
                        <c:v>Beatriz Muñoz Rioboo (4)</c:v>
                      </c:pt>
                      <c:pt idx="30">
                        <c:v>Carlos Martin (4)</c:v>
                      </c:pt>
                      <c:pt idx="31">
                        <c:v>Francisco Valverde Sánchez (4)</c:v>
                      </c:pt>
                    </c:strCache>
                  </c:strRef>
                </c:cat>
                <c:val>
                  <c:numRef>
                    <c:extLst xmlns:c15="http://schemas.microsoft.com/office/drawing/2012/chart">
                      <c:ext xmlns:c15="http://schemas.microsoft.com/office/drawing/2012/chart" uri="{02D57815-91ED-43cb-92C2-25804820EDAC}">
                        <c15:formulaRef>
                          <c15:sqref>acum_porc!$C$2:$C$93</c15:sqref>
                        </c15:formulaRef>
                      </c:ext>
                    </c:extLst>
                    <c:numCache>
                      <c:formatCode>General</c:formatCode>
                      <c:ptCount val="92"/>
                      <c:pt idx="0">
                        <c:v>0.73000000000000009</c:v>
                      </c:pt>
                      <c:pt idx="1">
                        <c:v>0.84699999999999986</c:v>
                      </c:pt>
                      <c:pt idx="2">
                        <c:v>0.50050000000000006</c:v>
                      </c:pt>
                      <c:pt idx="3">
                        <c:v>0.625</c:v>
                      </c:pt>
                      <c:pt idx="4">
                        <c:v>0.8932500000000001</c:v>
                      </c:pt>
                      <c:pt idx="5">
                        <c:v>0.74050000000000016</c:v>
                      </c:pt>
                      <c:pt idx="6">
                        <c:v>0.74224999999999997</c:v>
                      </c:pt>
                      <c:pt idx="8">
                        <c:v>0.63500000000000012</c:v>
                      </c:pt>
                      <c:pt idx="9">
                        <c:v>0.74624999999999986</c:v>
                      </c:pt>
                      <c:pt idx="10">
                        <c:v>0.48249999999999993</c:v>
                      </c:pt>
                      <c:pt idx="11">
                        <c:v>0.61149999999999982</c:v>
                      </c:pt>
                      <c:pt idx="12">
                        <c:v>0.72375000000000012</c:v>
                      </c:pt>
                      <c:pt idx="13">
                        <c:v>0.6087499999999999</c:v>
                      </c:pt>
                      <c:pt idx="14">
                        <c:v>0.68</c:v>
                      </c:pt>
                      <c:pt idx="15">
                        <c:v>0.74899999999999989</c:v>
                      </c:pt>
                      <c:pt idx="16">
                        <c:v>0.80625000000000002</c:v>
                      </c:pt>
                      <c:pt idx="17">
                        <c:v>0.7</c:v>
                      </c:pt>
                      <c:pt idx="18">
                        <c:v>0.99499999999999988</c:v>
                      </c:pt>
                      <c:pt idx="20">
                        <c:v>0.875</c:v>
                      </c:pt>
                      <c:pt idx="21">
                        <c:v>0.63000000000000012</c:v>
                      </c:pt>
                      <c:pt idx="22">
                        <c:v>0.50250000000000006</c:v>
                      </c:pt>
                      <c:pt idx="24">
                        <c:v>0.77525000000000011</c:v>
                      </c:pt>
                      <c:pt idx="25">
                        <c:v>0.5625</c:v>
                      </c:pt>
                      <c:pt idx="26">
                        <c:v>0.7024999999999999</c:v>
                      </c:pt>
                      <c:pt idx="28">
                        <c:v>0.75549999999999995</c:v>
                      </c:pt>
                      <c:pt idx="29">
                        <c:v>0.80500000000000005</c:v>
                      </c:pt>
                      <c:pt idx="31">
                        <c:v>0.50150000000000006</c:v>
                      </c:pt>
                      <c:pt idx="33">
                        <c:v>0.33849999999999997</c:v>
                      </c:pt>
                      <c:pt idx="34">
                        <c:v>0.64649999999999996</c:v>
                      </c:pt>
                      <c:pt idx="49">
                        <c:v>0.80899999999999994</c:v>
                      </c:pt>
                      <c:pt idx="56">
                        <c:v>1.2309999999999999</c:v>
                      </c:pt>
                      <c:pt idx="61">
                        <c:v>0.75249999999999984</c:v>
                      </c:pt>
                      <c:pt idx="64">
                        <c:v>0.53825000000000001</c:v>
                      </c:pt>
                      <c:pt idx="87">
                        <c:v>1.18875</c:v>
                      </c:pt>
                      <c:pt idx="90">
                        <c:v>1.155</c:v>
                      </c:pt>
                    </c:numCache>
                  </c:numRef>
                </c:val>
                <c:extLst xmlns:c15="http://schemas.microsoft.com/office/drawing/2012/chart">
                  <c:ext xmlns:c16="http://schemas.microsoft.com/office/drawing/2014/chart" uri="{C3380CC4-5D6E-409C-BE32-E72D297353CC}">
                    <c16:uniqueId val="{00000003-630F-4C85-9C73-FB7089ED1FD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acum_porc!$D$1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Roberto Cavero García (6)</c:v>
                      </c:pt>
                      <c:pt idx="3">
                        <c:v>Javier Pérez Salazar (8)</c:v>
                      </c:pt>
                      <c:pt idx="4">
                        <c:v>Julián Mateo Muñoz (8)</c:v>
                      </c:pt>
                      <c:pt idx="5">
                        <c:v>Gladys Rocha Blanco (8)</c:v>
                      </c:pt>
                      <c:pt idx="6">
                        <c:v>Jaime Larrañaga Juez (7)</c:v>
                      </c:pt>
                      <c:pt idx="7">
                        <c:v>Javier Colón Cortegoso (6)</c:v>
                      </c:pt>
                      <c:pt idx="8">
                        <c:v>Roque Alonso Alonso (8)</c:v>
                      </c:pt>
                      <c:pt idx="9">
                        <c:v>Inés Monroy (8)</c:v>
                      </c:pt>
                      <c:pt idx="10">
                        <c:v>Alfonso Lezcano (7)</c:v>
                      </c:pt>
                      <c:pt idx="11">
                        <c:v>Jorge Antonio González Sánchez (8)</c:v>
                      </c:pt>
                      <c:pt idx="12">
                        <c:v>Carles Estruch Puig (7)</c:v>
                      </c:pt>
                      <c:pt idx="13">
                        <c:v>Laura Gómez López (7)</c:v>
                      </c:pt>
                      <c:pt idx="14">
                        <c:v>Roberto Parro Cortés (6)</c:v>
                      </c:pt>
                      <c:pt idx="15">
                        <c:v>Fernando Sánchez-Rey Maeso (8)</c:v>
                      </c:pt>
                      <c:pt idx="16">
                        <c:v>Elena Muñoz Vioque (8)</c:v>
                      </c:pt>
                      <c:pt idx="17">
                        <c:v>Alfonso Zárate Conde (8)</c:v>
                      </c:pt>
                      <c:pt idx="18">
                        <c:v>Jose Manuel Otero López (8)</c:v>
                      </c:pt>
                      <c:pt idx="19">
                        <c:v>Javier Espelta (6)</c:v>
                      </c:pt>
                      <c:pt idx="20">
                        <c:v>Juan Pedro Conejo Sanchez (8)</c:v>
                      </c:pt>
                      <c:pt idx="21">
                        <c:v>Aitor Folch (6)</c:v>
                      </c:pt>
                      <c:pt idx="22">
                        <c:v>Oscar Mulas Crespo (6)</c:v>
                      </c:pt>
                      <c:pt idx="23">
                        <c:v>Luis Angel Garzon Velasco (6)</c:v>
                      </c:pt>
                      <c:pt idx="24">
                        <c:v>Marcos Fortea Escolano (6)</c:v>
                      </c:pt>
                      <c:pt idx="25">
                        <c:v>Alejandro A. Díaz González (5)</c:v>
                      </c:pt>
                      <c:pt idx="26">
                        <c:v>Carlos Callejón (5)</c:v>
                      </c:pt>
                      <c:pt idx="27">
                        <c:v>Sergio Alfonso (5)</c:v>
                      </c:pt>
                      <c:pt idx="28">
                        <c:v>Vicente Fayos Gavila (5)</c:v>
                      </c:pt>
                      <c:pt idx="29">
                        <c:v>Beatriz Muñoz Rioboo (4)</c:v>
                      </c:pt>
                      <c:pt idx="30">
                        <c:v>Carlos Martin (4)</c:v>
                      </c:pt>
                      <c:pt idx="31">
                        <c:v>Francisco Valverde Sánchez (4)</c:v>
                      </c:pt>
                    </c:strCache>
                  </c:strRef>
                </c:cat>
                <c:val>
                  <c:numRef>
                    <c:extLst xmlns:c15="http://schemas.microsoft.com/office/drawing/2012/chart">
                      <c:ext xmlns:c15="http://schemas.microsoft.com/office/drawing/2012/chart" uri="{02D57815-91ED-43cb-92C2-25804820EDAC}">
                        <c15:formulaRef>
                          <c15:sqref>acum_porc!$D$2:$D$93</c15:sqref>
                        </c15:formulaRef>
                      </c:ext>
                    </c:extLst>
                    <c:numCache>
                      <c:formatCode>General</c:formatCode>
                      <c:ptCount val="92"/>
                      <c:pt idx="0">
                        <c:v>0.16863905325443776</c:v>
                      </c:pt>
                      <c:pt idx="1">
                        <c:v>0.50394477317554232</c:v>
                      </c:pt>
                      <c:pt idx="3">
                        <c:v>0.57790927021696248</c:v>
                      </c:pt>
                      <c:pt idx="4">
                        <c:v>0.64250493096646943</c:v>
                      </c:pt>
                      <c:pt idx="5">
                        <c:v>1.7460552268244574</c:v>
                      </c:pt>
                      <c:pt idx="6">
                        <c:v>0.80769230769230738</c:v>
                      </c:pt>
                      <c:pt idx="7">
                        <c:v>5.9171597633134827E-3</c:v>
                      </c:pt>
                      <c:pt idx="8">
                        <c:v>0.46942800788954631</c:v>
                      </c:pt>
                      <c:pt idx="9">
                        <c:v>0.75542406311637078</c:v>
                      </c:pt>
                      <c:pt idx="10">
                        <c:v>0.15828402366863892</c:v>
                      </c:pt>
                      <c:pt idx="11">
                        <c:v>0.30670611439842199</c:v>
                      </c:pt>
                      <c:pt idx="13">
                        <c:v>0.74211045364891504</c:v>
                      </c:pt>
                      <c:pt idx="14">
                        <c:v>0.34319526627218921</c:v>
                      </c:pt>
                      <c:pt idx="15">
                        <c:v>1.2194280078895461</c:v>
                      </c:pt>
                      <c:pt idx="16">
                        <c:v>1.2795857988165678</c:v>
                      </c:pt>
                      <c:pt idx="17">
                        <c:v>1.2189349112426033</c:v>
                      </c:pt>
                      <c:pt idx="18">
                        <c:v>2.0414201183431953</c:v>
                      </c:pt>
                      <c:pt idx="20">
                        <c:v>1.7120315581854042</c:v>
                      </c:pt>
                      <c:pt idx="22">
                        <c:v>0.44970414201183417</c:v>
                      </c:pt>
                      <c:pt idx="24">
                        <c:v>1.3505917159763312</c:v>
                      </c:pt>
                      <c:pt idx="25">
                        <c:v>0.22287968441814593</c:v>
                      </c:pt>
                      <c:pt idx="28">
                        <c:v>1.3530571992110452</c:v>
                      </c:pt>
                      <c:pt idx="63">
                        <c:v>0.7435897435897435</c:v>
                      </c:pt>
                      <c:pt idx="65">
                        <c:v>0.6060157790927021</c:v>
                      </c:pt>
                      <c:pt idx="85">
                        <c:v>2.2199211045364886</c:v>
                      </c:pt>
                    </c:numCache>
                  </c:numRef>
                </c:val>
                <c:extLst xmlns:c15="http://schemas.microsoft.com/office/drawing/2012/chart">
                  <c:ext xmlns:c16="http://schemas.microsoft.com/office/drawing/2014/chart" uri="{C3380CC4-5D6E-409C-BE32-E72D297353CC}">
                    <c16:uniqueId val="{00000004-630F-4C85-9C73-FB7089ED1FD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acum_porc!$E$1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Roberto Cavero García (6)</c:v>
                      </c:pt>
                      <c:pt idx="3">
                        <c:v>Javier Pérez Salazar (8)</c:v>
                      </c:pt>
                      <c:pt idx="4">
                        <c:v>Julián Mateo Muñoz (8)</c:v>
                      </c:pt>
                      <c:pt idx="5">
                        <c:v>Gladys Rocha Blanco (8)</c:v>
                      </c:pt>
                      <c:pt idx="6">
                        <c:v>Jaime Larrañaga Juez (7)</c:v>
                      </c:pt>
                      <c:pt idx="7">
                        <c:v>Javier Colón Cortegoso (6)</c:v>
                      </c:pt>
                      <c:pt idx="8">
                        <c:v>Roque Alonso Alonso (8)</c:v>
                      </c:pt>
                      <c:pt idx="9">
                        <c:v>Inés Monroy (8)</c:v>
                      </c:pt>
                      <c:pt idx="10">
                        <c:v>Alfonso Lezcano (7)</c:v>
                      </c:pt>
                      <c:pt idx="11">
                        <c:v>Jorge Antonio González Sánchez (8)</c:v>
                      </c:pt>
                      <c:pt idx="12">
                        <c:v>Carles Estruch Puig (7)</c:v>
                      </c:pt>
                      <c:pt idx="13">
                        <c:v>Laura Gómez López (7)</c:v>
                      </c:pt>
                      <c:pt idx="14">
                        <c:v>Roberto Parro Cortés (6)</c:v>
                      </c:pt>
                      <c:pt idx="15">
                        <c:v>Fernando Sánchez-Rey Maeso (8)</c:v>
                      </c:pt>
                      <c:pt idx="16">
                        <c:v>Elena Muñoz Vioque (8)</c:v>
                      </c:pt>
                      <c:pt idx="17">
                        <c:v>Alfonso Zárate Conde (8)</c:v>
                      </c:pt>
                      <c:pt idx="18">
                        <c:v>Jose Manuel Otero López (8)</c:v>
                      </c:pt>
                      <c:pt idx="19">
                        <c:v>Javier Espelta (6)</c:v>
                      </c:pt>
                      <c:pt idx="20">
                        <c:v>Juan Pedro Conejo Sanchez (8)</c:v>
                      </c:pt>
                      <c:pt idx="21">
                        <c:v>Aitor Folch (6)</c:v>
                      </c:pt>
                      <c:pt idx="22">
                        <c:v>Oscar Mulas Crespo (6)</c:v>
                      </c:pt>
                      <c:pt idx="23">
                        <c:v>Luis Angel Garzon Velasco (6)</c:v>
                      </c:pt>
                      <c:pt idx="24">
                        <c:v>Marcos Fortea Escolano (6)</c:v>
                      </c:pt>
                      <c:pt idx="25">
                        <c:v>Alejandro A. Díaz González (5)</c:v>
                      </c:pt>
                      <c:pt idx="26">
                        <c:v>Carlos Callejón (5)</c:v>
                      </c:pt>
                      <c:pt idx="27">
                        <c:v>Sergio Alfonso (5)</c:v>
                      </c:pt>
                      <c:pt idx="28">
                        <c:v>Vicente Fayos Gavila (5)</c:v>
                      </c:pt>
                      <c:pt idx="29">
                        <c:v>Beatriz Muñoz Rioboo (4)</c:v>
                      </c:pt>
                      <c:pt idx="30">
                        <c:v>Carlos Martin (4)</c:v>
                      </c:pt>
                      <c:pt idx="31">
                        <c:v>Francisco Valverde Sánchez (4)</c:v>
                      </c:pt>
                    </c:strCache>
                  </c:strRef>
                </c:cat>
                <c:val>
                  <c:numRef>
                    <c:extLst xmlns:c15="http://schemas.microsoft.com/office/drawing/2012/chart">
                      <c:ext xmlns:c15="http://schemas.microsoft.com/office/drawing/2012/chart" uri="{02D57815-91ED-43cb-92C2-25804820EDAC}">
                        <c15:formulaRef>
                          <c15:sqref>acum_porc!$E$2:$E$93</c15:sqref>
                        </c15:formulaRef>
                      </c:ext>
                    </c:extLst>
                    <c:numCache>
                      <c:formatCode>General</c:formatCode>
                      <c:ptCount val="92"/>
                      <c:pt idx="0">
                        <c:v>0.49963423555230435</c:v>
                      </c:pt>
                      <c:pt idx="1">
                        <c:v>0.35332845647403072</c:v>
                      </c:pt>
                      <c:pt idx="3">
                        <c:v>1.0848573518653988</c:v>
                      </c:pt>
                      <c:pt idx="4">
                        <c:v>0.77249451353328458</c:v>
                      </c:pt>
                      <c:pt idx="5">
                        <c:v>1.7468910021945863</c:v>
                      </c:pt>
                      <c:pt idx="7">
                        <c:v>0.64594001463057793</c:v>
                      </c:pt>
                      <c:pt idx="8">
                        <c:v>0.66788588149231898</c:v>
                      </c:pt>
                      <c:pt idx="9">
                        <c:v>0.77029992684711046</c:v>
                      </c:pt>
                      <c:pt idx="10">
                        <c:v>0.42648134601316751</c:v>
                      </c:pt>
                      <c:pt idx="11">
                        <c:v>0.89465983906364288</c:v>
                      </c:pt>
                      <c:pt idx="12">
                        <c:v>2.2553035844915872</c:v>
                      </c:pt>
                      <c:pt idx="13">
                        <c:v>0.71982443306510624</c:v>
                      </c:pt>
                      <c:pt idx="14">
                        <c:v>0.39502560351133875</c:v>
                      </c:pt>
                      <c:pt idx="15">
                        <c:v>1.4381858083394292</c:v>
                      </c:pt>
                      <c:pt idx="16">
                        <c:v>0.70592538405267014</c:v>
                      </c:pt>
                      <c:pt idx="17">
                        <c:v>1.9261155815654718</c:v>
                      </c:pt>
                      <c:pt idx="18">
                        <c:v>5.5032918800292618</c:v>
                      </c:pt>
                      <c:pt idx="19">
                        <c:v>0.60936356986100948</c:v>
                      </c:pt>
                      <c:pt idx="20">
                        <c:v>2.4711046086320412</c:v>
                      </c:pt>
                      <c:pt idx="21">
                        <c:v>1.0190197512801757</c:v>
                      </c:pt>
                      <c:pt idx="22">
                        <c:v>0.7483540599853693</c:v>
                      </c:pt>
                      <c:pt idx="23">
                        <c:v>1.944403803950256</c:v>
                      </c:pt>
                      <c:pt idx="24">
                        <c:v>0.80760790051207032</c:v>
                      </c:pt>
                      <c:pt idx="25">
                        <c:v>0.64667154352596945</c:v>
                      </c:pt>
                      <c:pt idx="27">
                        <c:v>0.45647403072421361</c:v>
                      </c:pt>
                      <c:pt idx="31">
                        <c:v>1.438917337234821</c:v>
                      </c:pt>
                      <c:pt idx="32">
                        <c:v>0.74762253108997812</c:v>
                      </c:pt>
                      <c:pt idx="36">
                        <c:v>0.26773957571324053</c:v>
                      </c:pt>
                      <c:pt idx="59">
                        <c:v>0.71909290416971472</c:v>
                      </c:pt>
                    </c:numCache>
                  </c:numRef>
                </c:val>
                <c:extLst xmlns:c15="http://schemas.microsoft.com/office/drawing/2012/chart">
                  <c:ext xmlns:c16="http://schemas.microsoft.com/office/drawing/2014/chart" uri="{C3380CC4-5D6E-409C-BE32-E72D297353CC}">
                    <c16:uniqueId val="{00000005-630F-4C85-9C73-FB7089ED1FD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acum_porc!$J$1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Roberto Cavero García (6)</c:v>
                      </c:pt>
                      <c:pt idx="3">
                        <c:v>Javier Pérez Salazar (8)</c:v>
                      </c:pt>
                      <c:pt idx="4">
                        <c:v>Julián Mateo Muñoz (8)</c:v>
                      </c:pt>
                      <c:pt idx="5">
                        <c:v>Gladys Rocha Blanco (8)</c:v>
                      </c:pt>
                      <c:pt idx="6">
                        <c:v>Jaime Larrañaga Juez (7)</c:v>
                      </c:pt>
                      <c:pt idx="7">
                        <c:v>Javier Colón Cortegoso (6)</c:v>
                      </c:pt>
                      <c:pt idx="8">
                        <c:v>Roque Alonso Alonso (8)</c:v>
                      </c:pt>
                      <c:pt idx="9">
                        <c:v>Inés Monroy (8)</c:v>
                      </c:pt>
                      <c:pt idx="10">
                        <c:v>Alfonso Lezcano (7)</c:v>
                      </c:pt>
                      <c:pt idx="11">
                        <c:v>Jorge Antonio González Sánchez (8)</c:v>
                      </c:pt>
                      <c:pt idx="12">
                        <c:v>Carles Estruch Puig (7)</c:v>
                      </c:pt>
                      <c:pt idx="13">
                        <c:v>Laura Gómez López (7)</c:v>
                      </c:pt>
                      <c:pt idx="14">
                        <c:v>Roberto Parro Cortés (6)</c:v>
                      </c:pt>
                      <c:pt idx="15">
                        <c:v>Fernando Sánchez-Rey Maeso (8)</c:v>
                      </c:pt>
                      <c:pt idx="16">
                        <c:v>Elena Muñoz Vioque (8)</c:v>
                      </c:pt>
                      <c:pt idx="17">
                        <c:v>Alfonso Zárate Conde (8)</c:v>
                      </c:pt>
                      <c:pt idx="18">
                        <c:v>Jose Manuel Otero López (8)</c:v>
                      </c:pt>
                      <c:pt idx="19">
                        <c:v>Javier Espelta (6)</c:v>
                      </c:pt>
                      <c:pt idx="20">
                        <c:v>Juan Pedro Conejo Sanchez (8)</c:v>
                      </c:pt>
                      <c:pt idx="21">
                        <c:v>Aitor Folch (6)</c:v>
                      </c:pt>
                      <c:pt idx="22">
                        <c:v>Oscar Mulas Crespo (6)</c:v>
                      </c:pt>
                      <c:pt idx="23">
                        <c:v>Luis Angel Garzon Velasco (6)</c:v>
                      </c:pt>
                      <c:pt idx="24">
                        <c:v>Marcos Fortea Escolano (6)</c:v>
                      </c:pt>
                      <c:pt idx="25">
                        <c:v>Alejandro A. Díaz González (5)</c:v>
                      </c:pt>
                      <c:pt idx="26">
                        <c:v>Carlos Callejón (5)</c:v>
                      </c:pt>
                      <c:pt idx="27">
                        <c:v>Sergio Alfonso (5)</c:v>
                      </c:pt>
                      <c:pt idx="28">
                        <c:v>Vicente Fayos Gavila (5)</c:v>
                      </c:pt>
                      <c:pt idx="29">
                        <c:v>Beatriz Muñoz Rioboo (4)</c:v>
                      </c:pt>
                      <c:pt idx="30">
                        <c:v>Carlos Martin (4)</c:v>
                      </c:pt>
                      <c:pt idx="31">
                        <c:v>Francisco Valverde Sánchez (4)</c:v>
                      </c:pt>
                    </c:strCache>
                  </c:strRef>
                </c:cat>
                <c:val>
                  <c:numRef>
                    <c:extLst xmlns:c15="http://schemas.microsoft.com/office/drawing/2012/chart">
                      <c:ext xmlns:c15="http://schemas.microsoft.com/office/drawing/2012/chart" uri="{02D57815-91ED-43cb-92C2-25804820EDAC}">
                        <c15:formulaRef>
                          <c15:sqref>acum_porc!$J$2:$J$93</c15:sqref>
                        </c15:formulaRef>
                      </c:ext>
                    </c:extLst>
                    <c:numCache>
                      <c:formatCode>General</c:formatCode>
                      <c:ptCount val="92"/>
                      <c:pt idx="0">
                        <c:v>8</c:v>
                      </c:pt>
                      <c:pt idx="1">
                        <c:v>8</c:v>
                      </c:pt>
                      <c:pt idx="2">
                        <c:v>6</c:v>
                      </c:pt>
                      <c:pt idx="3">
                        <c:v>8</c:v>
                      </c:pt>
                      <c:pt idx="4">
                        <c:v>8</c:v>
                      </c:pt>
                      <c:pt idx="5">
                        <c:v>8</c:v>
                      </c:pt>
                      <c:pt idx="6">
                        <c:v>7</c:v>
                      </c:pt>
                      <c:pt idx="7">
                        <c:v>6</c:v>
                      </c:pt>
                      <c:pt idx="8">
                        <c:v>8</c:v>
                      </c:pt>
                      <c:pt idx="9">
                        <c:v>8</c:v>
                      </c:pt>
                      <c:pt idx="10">
                        <c:v>7</c:v>
                      </c:pt>
                      <c:pt idx="11">
                        <c:v>8</c:v>
                      </c:pt>
                      <c:pt idx="12">
                        <c:v>7</c:v>
                      </c:pt>
                      <c:pt idx="13">
                        <c:v>7</c:v>
                      </c:pt>
                      <c:pt idx="14">
                        <c:v>6</c:v>
                      </c:pt>
                      <c:pt idx="15">
                        <c:v>8</c:v>
                      </c:pt>
                      <c:pt idx="16">
                        <c:v>8</c:v>
                      </c:pt>
                      <c:pt idx="17">
                        <c:v>8</c:v>
                      </c:pt>
                      <c:pt idx="18">
                        <c:v>8</c:v>
                      </c:pt>
                      <c:pt idx="19">
                        <c:v>6</c:v>
                      </c:pt>
                      <c:pt idx="20">
                        <c:v>8</c:v>
                      </c:pt>
                      <c:pt idx="21">
                        <c:v>6</c:v>
                      </c:pt>
                      <c:pt idx="22">
                        <c:v>6</c:v>
                      </c:pt>
                      <c:pt idx="23">
                        <c:v>6</c:v>
                      </c:pt>
                      <c:pt idx="24">
                        <c:v>6</c:v>
                      </c:pt>
                      <c:pt idx="25">
                        <c:v>5</c:v>
                      </c:pt>
                      <c:pt idx="26">
                        <c:v>5</c:v>
                      </c:pt>
                      <c:pt idx="27">
                        <c:v>5</c:v>
                      </c:pt>
                      <c:pt idx="28">
                        <c:v>5</c:v>
                      </c:pt>
                      <c:pt idx="29">
                        <c:v>4</c:v>
                      </c:pt>
                      <c:pt idx="30">
                        <c:v>4</c:v>
                      </c:pt>
                      <c:pt idx="31">
                        <c:v>4</c:v>
                      </c:pt>
                      <c:pt idx="32">
                        <c:v>4</c:v>
                      </c:pt>
                      <c:pt idx="33">
                        <c:v>4</c:v>
                      </c:pt>
                      <c:pt idx="34">
                        <c:v>4</c:v>
                      </c:pt>
                      <c:pt idx="35">
                        <c:v>3</c:v>
                      </c:pt>
                      <c:pt idx="36">
                        <c:v>3</c:v>
                      </c:pt>
                      <c:pt idx="37">
                        <c:v>3</c:v>
                      </c:pt>
                      <c:pt idx="38">
                        <c:v>3</c:v>
                      </c:pt>
                      <c:pt idx="39">
                        <c:v>3</c:v>
                      </c:pt>
                      <c:pt idx="40">
                        <c:v>3</c:v>
                      </c:pt>
                      <c:pt idx="41">
                        <c:v>3</c:v>
                      </c:pt>
                      <c:pt idx="42">
                        <c:v>3</c:v>
                      </c:pt>
                      <c:pt idx="43">
                        <c:v>3</c:v>
                      </c:pt>
                      <c:pt idx="44">
                        <c:v>3</c:v>
                      </c:pt>
                      <c:pt idx="45">
                        <c:v>3</c:v>
                      </c:pt>
                      <c:pt idx="46">
                        <c:v>2</c:v>
                      </c:pt>
                      <c:pt idx="47">
                        <c:v>2</c:v>
                      </c:pt>
                      <c:pt idx="48">
                        <c:v>2</c:v>
                      </c:pt>
                      <c:pt idx="49">
                        <c:v>2</c:v>
                      </c:pt>
                      <c:pt idx="50">
                        <c:v>2</c:v>
                      </c:pt>
                      <c:pt idx="51">
                        <c:v>2</c:v>
                      </c:pt>
                      <c:pt idx="52">
                        <c:v>2</c:v>
                      </c:pt>
                      <c:pt idx="53">
                        <c:v>2</c:v>
                      </c:pt>
                      <c:pt idx="54">
                        <c:v>2</c:v>
                      </c:pt>
                      <c:pt idx="55">
                        <c:v>2</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numCache>
                  </c:numRef>
                </c:val>
                <c:extLst xmlns:c15="http://schemas.microsoft.com/office/drawing/2012/char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acum_porc!$L$1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Roberto Cavero García (6)</c:v>
                      </c:pt>
                      <c:pt idx="3">
                        <c:v>Javier Pérez Salazar (8)</c:v>
                      </c:pt>
                      <c:pt idx="4">
                        <c:v>Julián Mateo Muñoz (8)</c:v>
                      </c:pt>
                      <c:pt idx="5">
                        <c:v>Gladys Rocha Blanco (8)</c:v>
                      </c:pt>
                      <c:pt idx="6">
                        <c:v>Jaime Larrañaga Juez (7)</c:v>
                      </c:pt>
                      <c:pt idx="7">
                        <c:v>Javier Colón Cortegoso (6)</c:v>
                      </c:pt>
                      <c:pt idx="8">
                        <c:v>Roque Alonso Alonso (8)</c:v>
                      </c:pt>
                      <c:pt idx="9">
                        <c:v>Inés Monroy (8)</c:v>
                      </c:pt>
                      <c:pt idx="10">
                        <c:v>Alfonso Lezcano (7)</c:v>
                      </c:pt>
                      <c:pt idx="11">
                        <c:v>Jorge Antonio González Sánchez (8)</c:v>
                      </c:pt>
                      <c:pt idx="12">
                        <c:v>Carles Estruch Puig (7)</c:v>
                      </c:pt>
                      <c:pt idx="13">
                        <c:v>Laura Gómez López (7)</c:v>
                      </c:pt>
                      <c:pt idx="14">
                        <c:v>Roberto Parro Cortés (6)</c:v>
                      </c:pt>
                      <c:pt idx="15">
                        <c:v>Fernando Sánchez-Rey Maeso (8)</c:v>
                      </c:pt>
                      <c:pt idx="16">
                        <c:v>Elena Muñoz Vioque (8)</c:v>
                      </c:pt>
                      <c:pt idx="17">
                        <c:v>Alfonso Zárate Conde (8)</c:v>
                      </c:pt>
                      <c:pt idx="18">
                        <c:v>Jose Manuel Otero López (8)</c:v>
                      </c:pt>
                      <c:pt idx="19">
                        <c:v>Javier Espelta (6)</c:v>
                      </c:pt>
                      <c:pt idx="20">
                        <c:v>Juan Pedro Conejo Sanchez (8)</c:v>
                      </c:pt>
                      <c:pt idx="21">
                        <c:v>Aitor Folch (6)</c:v>
                      </c:pt>
                      <c:pt idx="22">
                        <c:v>Oscar Mulas Crespo (6)</c:v>
                      </c:pt>
                      <c:pt idx="23">
                        <c:v>Luis Angel Garzon Velasco (6)</c:v>
                      </c:pt>
                      <c:pt idx="24">
                        <c:v>Marcos Fortea Escolano (6)</c:v>
                      </c:pt>
                      <c:pt idx="25">
                        <c:v>Alejandro A. Díaz González (5)</c:v>
                      </c:pt>
                      <c:pt idx="26">
                        <c:v>Carlos Callejón (5)</c:v>
                      </c:pt>
                      <c:pt idx="27">
                        <c:v>Sergio Alfonso (5)</c:v>
                      </c:pt>
                      <c:pt idx="28">
                        <c:v>Vicente Fayos Gavila (5)</c:v>
                      </c:pt>
                      <c:pt idx="29">
                        <c:v>Beatriz Muñoz Rioboo (4)</c:v>
                      </c:pt>
                      <c:pt idx="30">
                        <c:v>Carlos Martin (4)</c:v>
                      </c:pt>
                      <c:pt idx="31">
                        <c:v>Francisco Valverde Sánchez (4)</c:v>
                      </c:pt>
                    </c:strCache>
                  </c:strRef>
                </c:cat>
                <c:val>
                  <c:numRef>
                    <c:extLst xmlns:c15="http://schemas.microsoft.com/office/drawing/2012/chart">
                      <c:ext xmlns:c15="http://schemas.microsoft.com/office/drawing/2012/chart" uri="{02D57815-91ED-43cb-92C2-25804820EDAC}">
                        <c15:formulaRef>
                          <c15:sqref>acum_porc!$L$2:$L$93</c15:sqref>
                        </c15:formulaRef>
                      </c:ext>
                    </c:extLst>
                    <c:numCache>
                      <c:formatCode>General</c:formatCode>
                      <c:ptCount val="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acum_abs!$J$1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acum_abs!$A$2:$A$92</c:f>
              <c:strCache>
                <c:ptCount val="91"/>
                <c:pt idx="0">
                  <c:v>Javier Revuelta Alonso</c:v>
                </c:pt>
                <c:pt idx="1">
                  <c:v>Jose F Vidal</c:v>
                </c:pt>
                <c:pt idx="2">
                  <c:v>Javier Pérez Salazar</c:v>
                </c:pt>
                <c:pt idx="3">
                  <c:v>Roberto Parro Cortés</c:v>
                </c:pt>
                <c:pt idx="4">
                  <c:v>Julián Mateo Muñoz</c:v>
                </c:pt>
                <c:pt idx="5">
                  <c:v>Roberto Cavero García</c:v>
                </c:pt>
                <c:pt idx="6">
                  <c:v>Laura Gómez López</c:v>
                </c:pt>
                <c:pt idx="7">
                  <c:v>Javier Colón Cortegoso</c:v>
                </c:pt>
                <c:pt idx="8">
                  <c:v>Inés Monroy</c:v>
                </c:pt>
                <c:pt idx="9">
                  <c:v>Roque Alonso Alonso</c:v>
                </c:pt>
                <c:pt idx="10">
                  <c:v>Alfonso Lezcano</c:v>
                </c:pt>
                <c:pt idx="11">
                  <c:v>Gladys Rocha Blanco</c:v>
                </c:pt>
                <c:pt idx="12">
                  <c:v>Jaime Larrañaga Juez</c:v>
                </c:pt>
                <c:pt idx="13">
                  <c:v>Alejandro A. Díaz González</c:v>
                </c:pt>
                <c:pt idx="14">
                  <c:v>Elena Muñoz Vioque</c:v>
                </c:pt>
                <c:pt idx="15">
                  <c:v>Carlos Callejón</c:v>
                </c:pt>
                <c:pt idx="16">
                  <c:v>Jorge Antonio González Sánchez</c:v>
                </c:pt>
                <c:pt idx="17">
                  <c:v>Carles Estruch Puig</c:v>
                </c:pt>
                <c:pt idx="18">
                  <c:v>Aitor Folch</c:v>
                </c:pt>
                <c:pt idx="19">
                  <c:v>Luis Angel Garzon Velasco</c:v>
                </c:pt>
                <c:pt idx="20">
                  <c:v>Oscar Mulas Crespo</c:v>
                </c:pt>
                <c:pt idx="21">
                  <c:v>Fernando Sánchez-Rey Maeso</c:v>
                </c:pt>
                <c:pt idx="22">
                  <c:v>Javier Espelta</c:v>
                </c:pt>
                <c:pt idx="23">
                  <c:v>Alfonso Zárate Conde</c:v>
                </c:pt>
                <c:pt idx="24">
                  <c:v>Jose Manuel Otero López</c:v>
                </c:pt>
                <c:pt idx="25">
                  <c:v>Juan Pedro Conejo Sanchez</c:v>
                </c:pt>
                <c:pt idx="26">
                  <c:v>Marcos Fortea Escolano</c:v>
                </c:pt>
                <c:pt idx="27">
                  <c:v>Vicente Fayos Gavila</c:v>
                </c:pt>
                <c:pt idx="28">
                  <c:v>Alejandro Ld</c:v>
                </c:pt>
                <c:pt idx="29">
                  <c:v>Alejandro Lopez Fernandez</c:v>
                </c:pt>
                <c:pt idx="30">
                  <c:v>Alfredo Cotrina Martínez</c:v>
                </c:pt>
                <c:pt idx="31">
                  <c:v>Andrea Zarbano</c:v>
                </c:pt>
                <c:pt idx="32">
                  <c:v>Antonio López Gómez-Millán</c:v>
                </c:pt>
                <c:pt idx="33">
                  <c:v>Beatriz Muñoz Rioboo</c:v>
                </c:pt>
                <c:pt idx="34">
                  <c:v>Brais García</c:v>
                </c:pt>
                <c:pt idx="35">
                  <c:v>Carlos Alcaide Méndez</c:v>
                </c:pt>
                <c:pt idx="36">
                  <c:v>Carlos Martin</c:v>
                </c:pt>
                <c:pt idx="37">
                  <c:v>Carlos Martínez García</c:v>
                </c:pt>
                <c:pt idx="38">
                  <c:v>Cristian Trapero</c:v>
                </c:pt>
                <c:pt idx="39">
                  <c:v>Daniel Pérez Carrasco</c:v>
                </c:pt>
                <c:pt idx="40">
                  <c:v>Daniel Reganon</c:v>
                </c:pt>
                <c:pt idx="41">
                  <c:v>Eduardo Caro Eduardo Caro</c:v>
                </c:pt>
                <c:pt idx="42">
                  <c:v>Francisco Valverde Sánchez</c:v>
                </c:pt>
                <c:pt idx="43">
                  <c:v>Gabino Jiménez-Castillo</c:v>
                </c:pt>
                <c:pt idx="44">
                  <c:v>Gonzalo Cruz Ortega</c:v>
                </c:pt>
                <c:pt idx="45">
                  <c:v>Gorka Arratibel Pastor</c:v>
                </c:pt>
                <c:pt idx="46">
                  <c:v>Hugo Pimiento</c:v>
                </c:pt>
                <c:pt idx="47">
                  <c:v>Ignacio Irigoyen</c:v>
                </c:pt>
                <c:pt idx="48">
                  <c:v>Iñaki Moriana García</c:v>
                </c:pt>
                <c:pt idx="49">
                  <c:v>Javier Cervera</c:v>
                </c:pt>
                <c:pt idx="50">
                  <c:v>Javier Fernandez Maza</c:v>
                </c:pt>
                <c:pt idx="51">
                  <c:v>Javier Lazaro</c:v>
                </c:pt>
                <c:pt idx="52">
                  <c:v>Javier Perez De Eulate</c:v>
                </c:pt>
                <c:pt idx="53">
                  <c:v>Jesús Aceituno López</c:v>
                </c:pt>
                <c:pt idx="54">
                  <c:v>Jesús López</c:v>
                </c:pt>
                <c:pt idx="55">
                  <c:v>Jonathan Pazmiño Espinoza</c:v>
                </c:pt>
                <c:pt idx="56">
                  <c:v>Jorge Gonzalez Onieva Johansson</c:v>
                </c:pt>
                <c:pt idx="57">
                  <c:v>Jorge González Arconada</c:v>
                </c:pt>
                <c:pt idx="58">
                  <c:v>Jose Antonio Quidiello Antuña</c:v>
                </c:pt>
                <c:pt idx="59">
                  <c:v>Jose Carlos Perez</c:v>
                </c:pt>
                <c:pt idx="60">
                  <c:v>José Valle</c:v>
                </c:pt>
                <c:pt idx="61">
                  <c:v>Juan José Cuervo Arias</c:v>
                </c:pt>
                <c:pt idx="62">
                  <c:v>Juan Luis Jarillo Gómez</c:v>
                </c:pt>
                <c:pt idx="63">
                  <c:v>Juan Redondo Ferrara</c:v>
                </c:pt>
                <c:pt idx="64">
                  <c:v>Juan Sanjorge Sanjorge Grandal</c:v>
                </c:pt>
                <c:pt idx="65">
                  <c:v>Lucia Garin</c:v>
                </c:pt>
                <c:pt idx="66">
                  <c:v>Manuel Bueno Pérez</c:v>
                </c:pt>
                <c:pt idx="67">
                  <c:v>Manuel Nogales Guillén</c:v>
                </c:pt>
                <c:pt idx="68">
                  <c:v>Marc Soler</c:v>
                </c:pt>
                <c:pt idx="69">
                  <c:v>Marc Soler Collell</c:v>
                </c:pt>
                <c:pt idx="70">
                  <c:v>Miguel Roa Prieto</c:v>
                </c:pt>
                <c:pt idx="71">
                  <c:v>Moisés Labarquilla</c:v>
                </c:pt>
                <c:pt idx="72">
                  <c:v>Nelson Hernandez Hernandez</c:v>
                </c:pt>
                <c:pt idx="73">
                  <c:v>Olivia Infantes</c:v>
                </c:pt>
                <c:pt idx="74">
                  <c:v>Omip 28-06-2024</c:v>
                </c:pt>
                <c:pt idx="75">
                  <c:v>Pablo Baigorria Kobylinski</c:v>
                </c:pt>
                <c:pt idx="76">
                  <c:v>Paco Cuadrado</c:v>
                </c:pt>
                <c:pt idx="77">
                  <c:v>Paco Luis Pérez Zarco</c:v>
                </c:pt>
                <c:pt idx="78">
                  <c:v>Rafael Leiva 番雷。</c:v>
                </c:pt>
                <c:pt idx="79">
                  <c:v>Rafael Tejada Bonilla</c:v>
                </c:pt>
                <c:pt idx="80">
                  <c:v>Ricardo Estevez</c:v>
                </c:pt>
                <c:pt idx="81">
                  <c:v>Roberto De Dios García</c:v>
                </c:pt>
                <c:pt idx="82">
                  <c:v>Sergio Alfonso</c:v>
                </c:pt>
                <c:pt idx="83">
                  <c:v>Sergio Gallego Bolaños</c:v>
                </c:pt>
                <c:pt idx="84">
                  <c:v>Sergio García Sanz</c:v>
                </c:pt>
                <c:pt idx="85">
                  <c:v>Sergio Lopez Oliver</c:v>
                </c:pt>
                <c:pt idx="86">
                  <c:v>Sergio Nistal Prieto</c:v>
                </c:pt>
                <c:pt idx="87">
                  <c:v>Sergio Ortega Celares</c:v>
                </c:pt>
                <c:pt idx="88">
                  <c:v>Vitor Costa Costa</c:v>
                </c:pt>
                <c:pt idx="89">
                  <c:v>Víctor Baeschlin Sánchez</c:v>
                </c:pt>
                <c:pt idx="90">
                  <c:v>Álvaro Barahona San Marcos</c:v>
                </c:pt>
              </c:strCache>
            </c:strRef>
          </c:cat>
          <c:val>
            <c:numRef>
              <c:f>acum_abs!$J$2:$J$29</c:f>
              <c:numCache>
                <c:formatCode>General</c:formatCode>
                <c:ptCount val="28"/>
                <c:pt idx="0">
                  <c:v>12.379999999999981</c:v>
                </c:pt>
                <c:pt idx="1">
                  <c:v>20.29999999999999</c:v>
                </c:pt>
                <c:pt idx="2">
                  <c:v>23.410000000000004</c:v>
                </c:pt>
                <c:pt idx="3">
                  <c:v>26.580000000000002</c:v>
                </c:pt>
                <c:pt idx="4">
                  <c:v>29.419999999999987</c:v>
                </c:pt>
                <c:pt idx="5">
                  <c:v>30.009999999999998</c:v>
                </c:pt>
                <c:pt idx="6">
                  <c:v>30.08</c:v>
                </c:pt>
                <c:pt idx="7">
                  <c:v>32.04</c:v>
                </c:pt>
                <c:pt idx="8">
                  <c:v>33.849999999999994</c:v>
                </c:pt>
                <c:pt idx="9">
                  <c:v>34.260000000000005</c:v>
                </c:pt>
                <c:pt idx="10">
                  <c:v>35.18</c:v>
                </c:pt>
                <c:pt idx="11">
                  <c:v>38.519999999999996</c:v>
                </c:pt>
                <c:pt idx="12">
                  <c:v>41.750000000000007</c:v>
                </c:pt>
                <c:pt idx="13">
                  <c:v>43.12</c:v>
                </c:pt>
                <c:pt idx="14">
                  <c:v>45.95</c:v>
                </c:pt>
                <c:pt idx="15">
                  <c:v>47.580000000000005</c:v>
                </c:pt>
                <c:pt idx="16">
                  <c:v>48.060000000000009</c:v>
                </c:pt>
                <c:pt idx="17">
                  <c:v>48.390000000000015</c:v>
                </c:pt>
                <c:pt idx="18">
                  <c:v>48.66</c:v>
                </c:pt>
                <c:pt idx="19">
                  <c:v>52.360000000000014</c:v>
                </c:pt>
                <c:pt idx="20">
                  <c:v>56.559999999999995</c:v>
                </c:pt>
                <c:pt idx="21">
                  <c:v>57.759999999999991</c:v>
                </c:pt>
                <c:pt idx="22">
                  <c:v>60.219999999999992</c:v>
                </c:pt>
                <c:pt idx="23">
                  <c:v>68.610000000000014</c:v>
                </c:pt>
                <c:pt idx="24">
                  <c:v>69.070000000000007</c:v>
                </c:pt>
                <c:pt idx="25">
                  <c:v>73.989999999999995</c:v>
                </c:pt>
                <c:pt idx="26">
                  <c:v>78.990000000000009</c:v>
                </c:pt>
                <c:pt idx="27">
                  <c:v>92.640000000000015</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Julián Mateo Muñoz</c:v>
                      </c:pt>
                      <c:pt idx="5">
                        <c:v>Roberto Cavero García</c:v>
                      </c:pt>
                      <c:pt idx="6">
                        <c:v>Laura Gómez López</c:v>
                      </c:pt>
                      <c:pt idx="7">
                        <c:v>Javier Colón Cortegoso</c:v>
                      </c:pt>
                      <c:pt idx="8">
                        <c:v>Inés Monroy</c:v>
                      </c:pt>
                      <c:pt idx="9">
                        <c:v>Roque Alonso Alonso</c:v>
                      </c:pt>
                      <c:pt idx="10">
                        <c:v>Alfonso Lezcano</c:v>
                      </c:pt>
                      <c:pt idx="11">
                        <c:v>Gladys Rocha Blanco</c:v>
                      </c:pt>
                      <c:pt idx="12">
                        <c:v>Jaime Larrañaga Juez</c:v>
                      </c:pt>
                      <c:pt idx="13">
                        <c:v>Alejandro A. Díaz González</c:v>
                      </c:pt>
                      <c:pt idx="14">
                        <c:v>Elena Muñoz Vioque</c:v>
                      </c:pt>
                      <c:pt idx="15">
                        <c:v>Carlos Callejón</c:v>
                      </c:pt>
                      <c:pt idx="16">
                        <c:v>Jorge Antonio González Sánchez</c:v>
                      </c:pt>
                      <c:pt idx="17">
                        <c:v>Carles Estruch Puig</c:v>
                      </c:pt>
                      <c:pt idx="18">
                        <c:v>Aitor Folch</c:v>
                      </c:pt>
                      <c:pt idx="19">
                        <c:v>Luis Angel Garzon Velasco</c:v>
                      </c:pt>
                      <c:pt idx="20">
                        <c:v>Oscar Mulas Crespo</c:v>
                      </c:pt>
                      <c:pt idx="21">
                        <c:v>Fernando Sánchez-Rey Maeso</c:v>
                      </c:pt>
                      <c:pt idx="22">
                        <c:v>Javier Espelta</c:v>
                      </c:pt>
                      <c:pt idx="23">
                        <c:v>Alfonso Zárate Conde</c:v>
                      </c:pt>
                      <c:pt idx="24">
                        <c:v>Jose Manuel Otero López</c:v>
                      </c:pt>
                      <c:pt idx="25">
                        <c:v>Juan Pedro Conejo Sanchez</c:v>
                      </c:pt>
                      <c:pt idx="26">
                        <c:v>Marcos Fortea Escolano</c:v>
                      </c:pt>
                      <c:pt idx="27">
                        <c:v>Vicente Fayos Gavila</c:v>
                      </c:pt>
                      <c:pt idx="28">
                        <c:v>Alejandro Ld</c:v>
                      </c:pt>
                      <c:pt idx="29">
                        <c:v>Alejandro Lopez Fernandez</c:v>
                      </c:pt>
                      <c:pt idx="30">
                        <c:v>Alfredo Cotrina Martínez</c:v>
                      </c:pt>
                      <c:pt idx="31">
                        <c:v>Andrea Zarbano</c:v>
                      </c:pt>
                      <c:pt idx="32">
                        <c:v>Antonio López Gómez-Millán</c:v>
                      </c:pt>
                    </c:strCache>
                  </c:strRef>
                </c:cat>
                <c:val>
                  <c:numRef>
                    <c:extLst>
                      <c:ext uri="{02D57815-91ED-43cb-92C2-25804820EDAC}">
                        <c15:formulaRef>
                          <c15:sqref>acum_abs!$B$2:$B$92</c15:sqref>
                        </c15:formulaRef>
                      </c:ext>
                    </c:extLst>
                    <c:numCache>
                      <c:formatCode>General</c:formatCode>
                      <c:ptCount val="91"/>
                      <c:pt idx="0">
                        <c:v>2.3999999999999915</c:v>
                      </c:pt>
                      <c:pt idx="1">
                        <c:v>0.64999999999999147</c:v>
                      </c:pt>
                      <c:pt idx="2">
                        <c:v>0.90000000000000568</c:v>
                      </c:pt>
                      <c:pt idx="4">
                        <c:v>2.8699999999999903</c:v>
                      </c:pt>
                      <c:pt idx="5">
                        <c:v>2.4000000000000057</c:v>
                      </c:pt>
                      <c:pt idx="8">
                        <c:v>0.20000000000000284</c:v>
                      </c:pt>
                      <c:pt idx="9">
                        <c:v>3.2999999999999972</c:v>
                      </c:pt>
                      <c:pt idx="10">
                        <c:v>4.1800000000000068</c:v>
                      </c:pt>
                      <c:pt idx="11">
                        <c:v>7.5900000000000034</c:v>
                      </c:pt>
                      <c:pt idx="12">
                        <c:v>13.980000000000004</c:v>
                      </c:pt>
                      <c:pt idx="13">
                        <c:v>1.25</c:v>
                      </c:pt>
                      <c:pt idx="14">
                        <c:v>11.219999999999999</c:v>
                      </c:pt>
                      <c:pt idx="15">
                        <c:v>5.2000000000000028</c:v>
                      </c:pt>
                      <c:pt idx="16">
                        <c:v>11.300000000000011</c:v>
                      </c:pt>
                      <c:pt idx="17">
                        <c:v>3.6000000000000085</c:v>
                      </c:pt>
                      <c:pt idx="19">
                        <c:v>14.400000000000006</c:v>
                      </c:pt>
                      <c:pt idx="21">
                        <c:v>14.599999999999994</c:v>
                      </c:pt>
                      <c:pt idx="22">
                        <c:v>13.599999999999994</c:v>
                      </c:pt>
                      <c:pt idx="23">
                        <c:v>5.9000000000000057</c:v>
                      </c:pt>
                      <c:pt idx="24">
                        <c:v>6.980000000000004</c:v>
                      </c:pt>
                      <c:pt idx="25">
                        <c:v>13</c:v>
                      </c:pt>
                      <c:pt idx="27">
                        <c:v>1.5500000000000114</c:v>
                      </c:pt>
                      <c:pt idx="30">
                        <c:v>1.9400000000000119</c:v>
                      </c:pt>
                      <c:pt idx="34">
                        <c:v>1.0500000000000114</c:v>
                      </c:pt>
                      <c:pt idx="49">
                        <c:v>0.79999999999999716</c:v>
                      </c:pt>
                      <c:pt idx="54">
                        <c:v>7.539999999999992</c:v>
                      </c:pt>
                      <c:pt idx="55">
                        <c:v>28.680000000000007</c:v>
                      </c:pt>
                      <c:pt idx="62">
                        <c:v>0.18000000000000682</c:v>
                      </c:pt>
                      <c:pt idx="64">
                        <c:v>11.100000000000009</c:v>
                      </c:pt>
                      <c:pt idx="66">
                        <c:v>17.100000000000009</c:v>
                      </c:pt>
                      <c:pt idx="67">
                        <c:v>15.600000000000009</c:v>
                      </c:pt>
                      <c:pt idx="69">
                        <c:v>8.2299999999999898</c:v>
                      </c:pt>
                      <c:pt idx="73">
                        <c:v>13.350000000000009</c:v>
                      </c:pt>
                      <c:pt idx="85">
                        <c:v>0.46000000000000796</c:v>
                      </c:pt>
                      <c:pt idx="88">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Julián Mateo Muñoz</c:v>
                      </c:pt>
                      <c:pt idx="5">
                        <c:v>Roberto Cavero García</c:v>
                      </c:pt>
                      <c:pt idx="6">
                        <c:v>Laura Gómez López</c:v>
                      </c:pt>
                      <c:pt idx="7">
                        <c:v>Javier Colón Cortegoso</c:v>
                      </c:pt>
                      <c:pt idx="8">
                        <c:v>Inés Monroy</c:v>
                      </c:pt>
                      <c:pt idx="9">
                        <c:v>Roque Alonso Alonso</c:v>
                      </c:pt>
                      <c:pt idx="10">
                        <c:v>Alfonso Lezcano</c:v>
                      </c:pt>
                      <c:pt idx="11">
                        <c:v>Gladys Rocha Blanco</c:v>
                      </c:pt>
                      <c:pt idx="12">
                        <c:v>Jaime Larrañaga Juez</c:v>
                      </c:pt>
                      <c:pt idx="13">
                        <c:v>Alejandro A. Díaz González</c:v>
                      </c:pt>
                      <c:pt idx="14">
                        <c:v>Elena Muñoz Vioque</c:v>
                      </c:pt>
                      <c:pt idx="15">
                        <c:v>Carlos Callejón</c:v>
                      </c:pt>
                      <c:pt idx="16">
                        <c:v>Jorge Antonio González Sánchez</c:v>
                      </c:pt>
                      <c:pt idx="17">
                        <c:v>Carles Estruch Puig</c:v>
                      </c:pt>
                      <c:pt idx="18">
                        <c:v>Aitor Folch</c:v>
                      </c:pt>
                      <c:pt idx="19">
                        <c:v>Luis Angel Garzon Velasco</c:v>
                      </c:pt>
                      <c:pt idx="20">
                        <c:v>Oscar Mulas Crespo</c:v>
                      </c:pt>
                      <c:pt idx="21">
                        <c:v>Fernando Sánchez-Rey Maeso</c:v>
                      </c:pt>
                      <c:pt idx="22">
                        <c:v>Javier Espelta</c:v>
                      </c:pt>
                      <c:pt idx="23">
                        <c:v>Alfonso Zárate Conde</c:v>
                      </c:pt>
                      <c:pt idx="24">
                        <c:v>Jose Manuel Otero López</c:v>
                      </c:pt>
                      <c:pt idx="25">
                        <c:v>Juan Pedro Conejo Sanchez</c:v>
                      </c:pt>
                      <c:pt idx="26">
                        <c:v>Marcos Fortea Escolano</c:v>
                      </c:pt>
                      <c:pt idx="27">
                        <c:v>Vicente Fayos Gavila</c:v>
                      </c:pt>
                      <c:pt idx="28">
                        <c:v>Alejandro Ld</c:v>
                      </c:pt>
                      <c:pt idx="29">
                        <c:v>Alejandro Lopez Fernandez</c:v>
                      </c:pt>
                      <c:pt idx="30">
                        <c:v>Alfredo Cotrina Martínez</c:v>
                      </c:pt>
                      <c:pt idx="31">
                        <c:v>Andrea Zarbano</c:v>
                      </c:pt>
                      <c:pt idx="32">
                        <c:v>Antonio López Gómez-Millán</c:v>
                      </c:pt>
                    </c:strCache>
                  </c:strRef>
                </c:cat>
                <c:val>
                  <c:numRef>
                    <c:extLst xmlns:c15="http://schemas.microsoft.com/office/drawing/2012/chart">
                      <c:ext xmlns:c15="http://schemas.microsoft.com/office/drawing/2012/chart" uri="{02D57815-91ED-43cb-92C2-25804820EDAC}">
                        <c15:formulaRef>
                          <c15:sqref>acum_abs!$C$2:$C$92</c15:sqref>
                        </c15:formulaRef>
                      </c:ext>
                    </c:extLst>
                    <c:numCache>
                      <c:formatCode>General</c:formatCode>
                      <c:ptCount val="91"/>
                      <c:pt idx="0">
                        <c:v>29.200000000000003</c:v>
                      </c:pt>
                      <c:pt idx="1">
                        <c:v>33.879999999999995</c:v>
                      </c:pt>
                      <c:pt idx="2">
                        <c:v>25</c:v>
                      </c:pt>
                      <c:pt idx="3">
                        <c:v>27.200000000000003</c:v>
                      </c:pt>
                      <c:pt idx="4">
                        <c:v>35.730000000000004</c:v>
                      </c:pt>
                      <c:pt idx="5">
                        <c:v>20.020000000000003</c:v>
                      </c:pt>
                      <c:pt idx="6">
                        <c:v>24.349999999999994</c:v>
                      </c:pt>
                      <c:pt idx="8">
                        <c:v>29.849999999999994</c:v>
                      </c:pt>
                      <c:pt idx="9">
                        <c:v>25.400000000000006</c:v>
                      </c:pt>
                      <c:pt idx="10">
                        <c:v>19.299999999999997</c:v>
                      </c:pt>
                      <c:pt idx="11">
                        <c:v>29.620000000000005</c:v>
                      </c:pt>
                      <c:pt idx="12">
                        <c:v>29.689999999999998</c:v>
                      </c:pt>
                      <c:pt idx="13">
                        <c:v>22.5</c:v>
                      </c:pt>
                      <c:pt idx="14">
                        <c:v>32.25</c:v>
                      </c:pt>
                      <c:pt idx="15">
                        <c:v>28.099999999999994</c:v>
                      </c:pt>
                      <c:pt idx="16">
                        <c:v>24.459999999999994</c:v>
                      </c:pt>
                      <c:pt idx="17">
                        <c:v>28.950000000000003</c:v>
                      </c:pt>
                      <c:pt idx="18">
                        <c:v>25.200000000000003</c:v>
                      </c:pt>
                      <c:pt idx="20">
                        <c:v>20.100000000000001</c:v>
                      </c:pt>
                      <c:pt idx="21">
                        <c:v>29.959999999999994</c:v>
                      </c:pt>
                      <c:pt idx="23">
                        <c:v>28</c:v>
                      </c:pt>
                      <c:pt idx="24">
                        <c:v>39.799999999999997</c:v>
                      </c:pt>
                      <c:pt idx="25">
                        <c:v>35</c:v>
                      </c:pt>
                      <c:pt idx="26">
                        <c:v>31.010000000000005</c:v>
                      </c:pt>
                      <c:pt idx="27">
                        <c:v>30.22</c:v>
                      </c:pt>
                      <c:pt idx="28">
                        <c:v>49.239999999999995</c:v>
                      </c:pt>
                      <c:pt idx="32">
                        <c:v>30.099999999999994</c:v>
                      </c:pt>
                      <c:pt idx="33">
                        <c:v>32.200000000000003</c:v>
                      </c:pt>
                      <c:pt idx="38">
                        <c:v>21.53</c:v>
                      </c:pt>
                      <c:pt idx="42">
                        <c:v>20.060000000000002</c:v>
                      </c:pt>
                      <c:pt idx="54">
                        <c:v>32.36</c:v>
                      </c:pt>
                      <c:pt idx="62">
                        <c:v>13.54</c:v>
                      </c:pt>
                      <c:pt idx="81">
                        <c:v>47.55</c:v>
                      </c:pt>
                      <c:pt idx="85">
                        <c:v>25.86</c:v>
                      </c:pt>
                      <c:pt idx="87">
                        <c:v>46.2</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Julián Mateo Muñoz</c:v>
                      </c:pt>
                      <c:pt idx="5">
                        <c:v>Roberto Cavero García</c:v>
                      </c:pt>
                      <c:pt idx="6">
                        <c:v>Laura Gómez López</c:v>
                      </c:pt>
                      <c:pt idx="7">
                        <c:v>Javier Colón Cortegoso</c:v>
                      </c:pt>
                      <c:pt idx="8">
                        <c:v>Inés Monroy</c:v>
                      </c:pt>
                      <c:pt idx="9">
                        <c:v>Roque Alonso Alonso</c:v>
                      </c:pt>
                      <c:pt idx="10">
                        <c:v>Alfonso Lezcano</c:v>
                      </c:pt>
                      <c:pt idx="11">
                        <c:v>Gladys Rocha Blanco</c:v>
                      </c:pt>
                      <c:pt idx="12">
                        <c:v>Jaime Larrañaga Juez</c:v>
                      </c:pt>
                      <c:pt idx="13">
                        <c:v>Alejandro A. Díaz González</c:v>
                      </c:pt>
                      <c:pt idx="14">
                        <c:v>Elena Muñoz Vioque</c:v>
                      </c:pt>
                      <c:pt idx="15">
                        <c:v>Carlos Callejón</c:v>
                      </c:pt>
                      <c:pt idx="16">
                        <c:v>Jorge Antonio González Sánchez</c:v>
                      </c:pt>
                      <c:pt idx="17">
                        <c:v>Carles Estruch Puig</c:v>
                      </c:pt>
                      <c:pt idx="18">
                        <c:v>Aitor Folch</c:v>
                      </c:pt>
                      <c:pt idx="19">
                        <c:v>Luis Angel Garzon Velasco</c:v>
                      </c:pt>
                      <c:pt idx="20">
                        <c:v>Oscar Mulas Crespo</c:v>
                      </c:pt>
                      <c:pt idx="21">
                        <c:v>Fernando Sánchez-Rey Maeso</c:v>
                      </c:pt>
                      <c:pt idx="22">
                        <c:v>Javier Espelta</c:v>
                      </c:pt>
                      <c:pt idx="23">
                        <c:v>Alfonso Zárate Conde</c:v>
                      </c:pt>
                      <c:pt idx="24">
                        <c:v>Jose Manuel Otero López</c:v>
                      </c:pt>
                      <c:pt idx="25">
                        <c:v>Juan Pedro Conejo Sanchez</c:v>
                      </c:pt>
                      <c:pt idx="26">
                        <c:v>Marcos Fortea Escolano</c:v>
                      </c:pt>
                      <c:pt idx="27">
                        <c:v>Vicente Fayos Gavila</c:v>
                      </c:pt>
                      <c:pt idx="28">
                        <c:v>Alejandro Ld</c:v>
                      </c:pt>
                      <c:pt idx="29">
                        <c:v>Alejandro Lopez Fernandez</c:v>
                      </c:pt>
                      <c:pt idx="30">
                        <c:v>Alfredo Cotrina Martínez</c:v>
                      </c:pt>
                      <c:pt idx="31">
                        <c:v>Andrea Zarbano</c:v>
                      </c:pt>
                      <c:pt idx="32">
                        <c:v>Antonio López Gómez-Millán</c:v>
                      </c:pt>
                    </c:strCache>
                  </c:strRef>
                </c:cat>
                <c:val>
                  <c:numRef>
                    <c:extLst xmlns:c15="http://schemas.microsoft.com/office/drawing/2012/chart">
                      <c:ext xmlns:c15="http://schemas.microsoft.com/office/drawing/2012/chart" uri="{02D57815-91ED-43cb-92C2-25804820EDAC}">
                        <c15:formulaRef>
                          <c15:sqref>acum_abs!$D$2:$D$92</c15:sqref>
                        </c15:formulaRef>
                      </c:ext>
                    </c:extLst>
                    <c:numCache>
                      <c:formatCode>General</c:formatCode>
                      <c:ptCount val="91"/>
                      <c:pt idx="0">
                        <c:v>3.4199999999999982</c:v>
                      </c:pt>
                      <c:pt idx="1">
                        <c:v>10.219999999999999</c:v>
                      </c:pt>
                      <c:pt idx="2">
                        <c:v>11.719999999999999</c:v>
                      </c:pt>
                      <c:pt idx="3">
                        <c:v>6.9599999999999973</c:v>
                      </c:pt>
                      <c:pt idx="4">
                        <c:v>13.030000000000001</c:v>
                      </c:pt>
                      <c:pt idx="6">
                        <c:v>15.049999999999997</c:v>
                      </c:pt>
                      <c:pt idx="7">
                        <c:v>0.11999999999999744</c:v>
                      </c:pt>
                      <c:pt idx="8">
                        <c:v>15.32</c:v>
                      </c:pt>
                      <c:pt idx="9">
                        <c:v>9.52</c:v>
                      </c:pt>
                      <c:pt idx="10">
                        <c:v>3.2099999999999973</c:v>
                      </c:pt>
                      <c:pt idx="11">
                        <c:v>35.409999999999997</c:v>
                      </c:pt>
                      <c:pt idx="12">
                        <c:v>16.379999999999995</c:v>
                      </c:pt>
                      <c:pt idx="13">
                        <c:v>4.5199999999999996</c:v>
                      </c:pt>
                      <c:pt idx="14">
                        <c:v>25.949999999999996</c:v>
                      </c:pt>
                      <c:pt idx="16">
                        <c:v>6.2199999999999989</c:v>
                      </c:pt>
                      <c:pt idx="20">
                        <c:v>9.1199999999999974</c:v>
                      </c:pt>
                      <c:pt idx="21">
                        <c:v>24.729999999999997</c:v>
                      </c:pt>
                      <c:pt idx="23">
                        <c:v>24.72</c:v>
                      </c:pt>
                      <c:pt idx="24">
                        <c:v>41.4</c:v>
                      </c:pt>
                      <c:pt idx="25">
                        <c:v>34.72</c:v>
                      </c:pt>
                      <c:pt idx="26">
                        <c:v>27.39</c:v>
                      </c:pt>
                      <c:pt idx="27">
                        <c:v>27.439999999999998</c:v>
                      </c:pt>
                      <c:pt idx="35">
                        <c:v>15.079999999999998</c:v>
                      </c:pt>
                      <c:pt idx="41">
                        <c:v>12.29</c:v>
                      </c:pt>
                      <c:pt idx="75">
                        <c:v>45.019999999999996</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Julián Mateo Muñoz</c:v>
                      </c:pt>
                      <c:pt idx="5">
                        <c:v>Roberto Cavero García</c:v>
                      </c:pt>
                      <c:pt idx="6">
                        <c:v>Laura Gómez López</c:v>
                      </c:pt>
                      <c:pt idx="7">
                        <c:v>Javier Colón Cortegoso</c:v>
                      </c:pt>
                      <c:pt idx="8">
                        <c:v>Inés Monroy</c:v>
                      </c:pt>
                      <c:pt idx="9">
                        <c:v>Roque Alonso Alonso</c:v>
                      </c:pt>
                      <c:pt idx="10">
                        <c:v>Alfonso Lezcano</c:v>
                      </c:pt>
                      <c:pt idx="11">
                        <c:v>Gladys Rocha Blanco</c:v>
                      </c:pt>
                      <c:pt idx="12">
                        <c:v>Jaime Larrañaga Juez</c:v>
                      </c:pt>
                      <c:pt idx="13">
                        <c:v>Alejandro A. Díaz González</c:v>
                      </c:pt>
                      <c:pt idx="14">
                        <c:v>Elena Muñoz Vioque</c:v>
                      </c:pt>
                      <c:pt idx="15">
                        <c:v>Carlos Callejón</c:v>
                      </c:pt>
                      <c:pt idx="16">
                        <c:v>Jorge Antonio González Sánchez</c:v>
                      </c:pt>
                      <c:pt idx="17">
                        <c:v>Carles Estruch Puig</c:v>
                      </c:pt>
                      <c:pt idx="18">
                        <c:v>Aitor Folch</c:v>
                      </c:pt>
                      <c:pt idx="19">
                        <c:v>Luis Angel Garzon Velasco</c:v>
                      </c:pt>
                      <c:pt idx="20">
                        <c:v>Oscar Mulas Crespo</c:v>
                      </c:pt>
                      <c:pt idx="21">
                        <c:v>Fernando Sánchez-Rey Maeso</c:v>
                      </c:pt>
                      <c:pt idx="22">
                        <c:v>Javier Espelta</c:v>
                      </c:pt>
                      <c:pt idx="23">
                        <c:v>Alfonso Zárate Conde</c:v>
                      </c:pt>
                      <c:pt idx="24">
                        <c:v>Jose Manuel Otero López</c:v>
                      </c:pt>
                      <c:pt idx="25">
                        <c:v>Juan Pedro Conejo Sanchez</c:v>
                      </c:pt>
                      <c:pt idx="26">
                        <c:v>Marcos Fortea Escolano</c:v>
                      </c:pt>
                      <c:pt idx="27">
                        <c:v>Vicente Fayos Gavila</c:v>
                      </c:pt>
                      <c:pt idx="28">
                        <c:v>Alejandro Ld</c:v>
                      </c:pt>
                      <c:pt idx="29">
                        <c:v>Alejandro Lopez Fernandez</c:v>
                      </c:pt>
                      <c:pt idx="30">
                        <c:v>Alfredo Cotrina Martínez</c:v>
                      </c:pt>
                      <c:pt idx="31">
                        <c:v>Andrea Zarbano</c:v>
                      </c:pt>
                      <c:pt idx="32">
                        <c:v>Antonio López Gómez-Millán</c:v>
                      </c:pt>
                    </c:strCache>
                  </c:strRef>
                </c:cat>
                <c:val>
                  <c:numRef>
                    <c:extLst xmlns:c15="http://schemas.microsoft.com/office/drawing/2012/chart">
                      <c:ext xmlns:c15="http://schemas.microsoft.com/office/drawing/2012/chart" uri="{02D57815-91ED-43cb-92C2-25804820EDAC}">
                        <c15:formulaRef>
                          <c15:sqref>acum_abs!$E$2:$E$92</c15:sqref>
                        </c15:formulaRef>
                      </c:ext>
                    </c:extLst>
                    <c:numCache>
                      <c:formatCode>General</c:formatCode>
                      <c:ptCount val="91"/>
                      <c:pt idx="0">
                        <c:v>6.83</c:v>
                      </c:pt>
                      <c:pt idx="1">
                        <c:v>4.83</c:v>
                      </c:pt>
                      <c:pt idx="2">
                        <c:v>14.83</c:v>
                      </c:pt>
                      <c:pt idx="3">
                        <c:v>5.4</c:v>
                      </c:pt>
                      <c:pt idx="4">
                        <c:v>10.56</c:v>
                      </c:pt>
                      <c:pt idx="6">
                        <c:v>9.8400000000000016</c:v>
                      </c:pt>
                      <c:pt idx="7">
                        <c:v>8.83</c:v>
                      </c:pt>
                      <c:pt idx="8">
                        <c:v>10.53</c:v>
                      </c:pt>
                      <c:pt idx="9">
                        <c:v>9.1300000000000008</c:v>
                      </c:pt>
                      <c:pt idx="10">
                        <c:v>5.83</c:v>
                      </c:pt>
                      <c:pt idx="11">
                        <c:v>23.879999999999995</c:v>
                      </c:pt>
                      <c:pt idx="13">
                        <c:v>8.8400000000000016</c:v>
                      </c:pt>
                      <c:pt idx="14">
                        <c:v>9.65</c:v>
                      </c:pt>
                      <c:pt idx="16">
                        <c:v>12.229999999999999</c:v>
                      </c:pt>
                      <c:pt idx="17">
                        <c:v>30.83</c:v>
                      </c:pt>
                      <c:pt idx="18">
                        <c:v>13.930000000000001</c:v>
                      </c:pt>
                      <c:pt idx="19">
                        <c:v>26.58</c:v>
                      </c:pt>
                      <c:pt idx="20">
                        <c:v>10.229999999999999</c:v>
                      </c:pt>
                      <c:pt idx="21">
                        <c:v>19.659999999999997</c:v>
                      </c:pt>
                      <c:pt idx="22">
                        <c:v>8.33</c:v>
                      </c:pt>
                      <c:pt idx="23">
                        <c:v>26.33</c:v>
                      </c:pt>
                      <c:pt idx="24">
                        <c:v>75.23</c:v>
                      </c:pt>
                      <c:pt idx="25">
                        <c:v>33.78</c:v>
                      </c:pt>
                      <c:pt idx="26">
                        <c:v>11.040000000000001</c:v>
                      </c:pt>
                      <c:pt idx="40">
                        <c:v>3.6599999999999984</c:v>
                      </c:pt>
                      <c:pt idx="42">
                        <c:v>19.670000000000002</c:v>
                      </c:pt>
                      <c:pt idx="55">
                        <c:v>10.220000000000001</c:v>
                      </c:pt>
                      <c:pt idx="82">
                        <c:v>6.24</c:v>
                      </c:pt>
                      <c:pt idx="90">
                        <c:v>9.83</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rich>
          <a:bodyPr spcFirstLastPara="1" vertOverflow="ellipsis" horzOverflow="overflow" wrap="square" lIns="0" tIns="0" rIns="0" bIns="0" anchor="ctr" anchorCtr="1"/>
          <a:lstStyle/>
          <a:p>
            <a:pPr algn="ctr" rtl="0">
              <a:defRPr sz="1800"/>
            </a:pPr>
            <a:r>
              <a:rPr lang="es-ES" sz="1800" b="0" i="0" u="none" strike="noStrike" baseline="0">
                <a:solidFill>
                  <a:sysClr val="windowText" lastClr="000000">
                    <a:lumMod val="65000"/>
                    <a:lumOff val="35000"/>
                  </a:sysClr>
                </a:solidFill>
                <a:latin typeface="Arial Narrow" panose="020B0606020202030204" pitchFamily="34" charset="0"/>
              </a:rPr>
              <a:t>Análisis apuestas </a:t>
            </a:r>
            <a:r>
              <a:rPr lang="es-ES" sz="1800" b="1" i="0" u="none" strike="noStrike" baseline="0">
                <a:solidFill>
                  <a:sysClr val="windowText" lastClr="000000">
                    <a:lumMod val="65000"/>
                    <a:lumOff val="35000"/>
                  </a:sysClr>
                </a:solidFill>
                <a:latin typeface="Arial Narrow" panose="020B0606020202030204" pitchFamily="34" charset="0"/>
              </a:rPr>
              <a:t>#miniporraagosto2024</a:t>
            </a:r>
          </a:p>
        </cx:rich>
      </cx:tx>
    </cx:title>
    <cx:plotArea>
      <cx:plotAreaRegion>
        <cx:series layoutId="boxWhisker" uniqueId="{5AF82949-9E7C-42DE-AEC4-9EF477CA0A0E}">
          <cx:spPr>
            <a:solidFill>
              <a:schemeClr val="accent1">
                <a:lumMod val="60000"/>
                <a:lumOff val="40000"/>
                <a:alpha val="72000"/>
              </a:schemeClr>
            </a:solidFill>
          </cx:spPr>
          <cx:dataLabels pos="r">
            <cx:txPr>
              <a:bodyPr spcFirstLastPara="1" vertOverflow="ellipsis" horzOverflow="overflow" wrap="square" lIns="0" tIns="0" rIns="0" bIns="0" anchor="ctr" anchorCtr="1"/>
              <a:lstStyle/>
              <a:p>
                <a:pPr algn="ctr" rtl="0">
                  <a:defRPr sz="1050">
                    <a:latin typeface="Arial Narrow" panose="020B0606020202030204" pitchFamily="34" charset="0"/>
                    <a:ea typeface="Arial Narrow" panose="020B0606020202030204" pitchFamily="34" charset="0"/>
                    <a:cs typeface="Arial Narrow" panose="020B0606020202030204" pitchFamily="34" charset="0"/>
                  </a:defRPr>
                </a:pPr>
                <a:endParaRPr lang="es-ES" sz="1050" b="0" i="0" u="none" strike="noStrike" baseline="0">
                  <a:solidFill>
                    <a:sysClr val="windowText" lastClr="000000">
                      <a:lumMod val="65000"/>
                      <a:lumOff val="35000"/>
                    </a:sysClr>
                  </a:solidFill>
                  <a:latin typeface="Arial Narrow" panose="020B0606020202030204" pitchFamily="34" charset="0"/>
                </a:endParaRPr>
              </a:p>
            </cx:txPr>
            <cx:visibility seriesName="0" categoryName="0" value="1"/>
            <cx:separator>, </cx:separator>
          </cx:dataLabels>
          <cx:dataId val="0"/>
          <cx:layoutPr>
            <cx:visibility meanLine="0" meanMarker="1" nonoutliers="0" outliers="1"/>
            <cx:statistics quartileMethod="exclusive"/>
          </cx:layoutPr>
        </cx:series>
      </cx:plotAreaRegion>
      <cx:axis id="0" hidden="1">
        <cx:catScaling gapWidth="1"/>
        <cx:tickLabels/>
      </cx:axis>
      <cx:axis id="1">
        <cx:valScaling min="30"/>
        <cx:title>
          <cx:tx>
            <cx:txData>
              <cx:v>Valor de la apuesta €/MWh</cx:v>
            </cx:txData>
          </cx:tx>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r>
                <a:rPr lang="es-ES" sz="1100" b="0" i="0" u="none" strike="noStrike" baseline="0">
                  <a:solidFill>
                    <a:sysClr val="windowText" lastClr="000000">
                      <a:lumMod val="65000"/>
                      <a:lumOff val="35000"/>
                    </a:sysClr>
                  </a:solidFill>
                  <a:latin typeface="Arial Narrow" panose="020B0606020202030204" pitchFamily="34" charset="0"/>
                </a:rPr>
                <a:t>Valor de la apuesta €/MWh</a:t>
              </a:r>
            </a:p>
          </cx:txPr>
        </cx:title>
        <cx:majorGridlines/>
        <cx:tickLabels/>
        <cx:numFmt formatCode="0" sourceLinked="0"/>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endParaRPr lang="es-ES" sz="1100" b="0" i="0" u="none" strike="noStrike" baseline="0">
              <a:solidFill>
                <a:sysClr val="windowText" lastClr="000000">
                  <a:lumMod val="65000"/>
                  <a:lumOff val="35000"/>
                </a:sysClr>
              </a:solidFill>
              <a:latin typeface="Arial Narrow" panose="020B0606020202030204" pitchFamily="34" charset="0"/>
            </a:endParaRPr>
          </a:p>
        </cx:txPr>
      </cx:axis>
    </cx:plotArea>
  </cx:chart>
  <cx:spPr>
    <a:ln w="25400">
      <a:solidFill>
        <a:schemeClr val="tx1">
          <a:lumMod val="50000"/>
          <a:lumOff val="50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H$1" max="31" min="1" page="10" val="3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Spin" dx="22" fmlaLink="$H$1" max="31" min="1" page="10" val="5"/>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5.xml"/><Relationship Id="rId3" Type="http://schemas.openxmlformats.org/officeDocument/2006/relationships/image" Target="../media/image2.png"/><Relationship Id="rId7" Type="http://schemas.openxmlformats.org/officeDocument/2006/relationships/chart" Target="../charts/chart50.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47.xml"/><Relationship Id="rId6" Type="http://schemas.openxmlformats.org/officeDocument/2006/relationships/image" Target="../media/image6.png"/><Relationship Id="rId11" Type="http://schemas.openxmlformats.org/officeDocument/2006/relationships/chart" Target="../charts/chart54.xml"/><Relationship Id="rId5" Type="http://schemas.openxmlformats.org/officeDocument/2006/relationships/chart" Target="../charts/chart49.xml"/><Relationship Id="rId15" Type="http://schemas.openxmlformats.org/officeDocument/2006/relationships/image" Target="../media/image16.png"/><Relationship Id="rId10" Type="http://schemas.openxmlformats.org/officeDocument/2006/relationships/chart" Target="../charts/chart53.xml"/><Relationship Id="rId4" Type="http://schemas.openxmlformats.org/officeDocument/2006/relationships/chart" Target="../charts/chart48.xml"/><Relationship Id="rId9" Type="http://schemas.openxmlformats.org/officeDocument/2006/relationships/chart" Target="../charts/chart52.xml"/><Relationship Id="rId1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chart" Target="../charts/chart60.xml"/><Relationship Id="rId13" Type="http://schemas.openxmlformats.org/officeDocument/2006/relationships/chart" Target="../charts/chart64.xml"/><Relationship Id="rId3" Type="http://schemas.openxmlformats.org/officeDocument/2006/relationships/image" Target="../media/image2.png"/><Relationship Id="rId7" Type="http://schemas.openxmlformats.org/officeDocument/2006/relationships/chart" Target="../charts/chart59.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56.xml"/><Relationship Id="rId6" Type="http://schemas.openxmlformats.org/officeDocument/2006/relationships/image" Target="../media/image6.png"/><Relationship Id="rId11" Type="http://schemas.openxmlformats.org/officeDocument/2006/relationships/chart" Target="../charts/chart63.xml"/><Relationship Id="rId5" Type="http://schemas.openxmlformats.org/officeDocument/2006/relationships/chart" Target="../charts/chart58.xml"/><Relationship Id="rId15" Type="http://schemas.openxmlformats.org/officeDocument/2006/relationships/image" Target="../media/image16.png"/><Relationship Id="rId10" Type="http://schemas.openxmlformats.org/officeDocument/2006/relationships/chart" Target="../charts/chart62.xml"/><Relationship Id="rId4" Type="http://schemas.openxmlformats.org/officeDocument/2006/relationships/chart" Target="../charts/chart57.xml"/><Relationship Id="rId9" Type="http://schemas.openxmlformats.org/officeDocument/2006/relationships/chart" Target="../charts/chart61.xml"/><Relationship Id="rId14" Type="http://schemas.openxmlformats.org/officeDocument/2006/relationships/image" Target="../media/image15.png"/></Relationships>
</file>

<file path=xl/drawings/_rels/drawing18.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6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66.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6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38100</xdr:colOff>
          <xdr:row>10</xdr:row>
          <xdr:rowOff>9525</xdr:rowOff>
        </xdr:from>
        <xdr:to>
          <xdr:col>29</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27</xdr:col>
      <xdr:colOff>80597</xdr:colOff>
      <xdr:row>14</xdr:row>
      <xdr:rowOff>43962</xdr:rowOff>
    </xdr:from>
    <xdr:to>
      <xdr:col>31</xdr:col>
      <xdr:colOff>586155</xdr:colOff>
      <xdr:row>22</xdr:row>
      <xdr:rowOff>102577</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1745059" y="2344616"/>
          <a:ext cx="3553558" cy="1289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5" name="CuadroTexto 1">
          <a:extLst>
            <a:ext uri="{FF2B5EF4-FFF2-40B4-BE49-F238E27FC236}">
              <a16:creationId xmlns:a16="http://schemas.microsoft.com/office/drawing/2014/main" id="{00000000-0008-0000-0200-000019000000}"/>
            </a:ext>
          </a:extLst>
        </xdr:cNvPr>
        <xdr:cNvSpPr txBox="1"/>
      </xdr:nvSpPr>
      <xdr:spPr>
        <a:xfrm>
          <a:off x="14068259" y="280052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34" name="CuadroTexto 1">
          <a:extLst>
            <a:ext uri="{FF2B5EF4-FFF2-40B4-BE49-F238E27FC236}">
              <a16:creationId xmlns:a16="http://schemas.microsoft.com/office/drawing/2014/main" id="{00000000-0008-0000-0200-000022000000}"/>
            </a:ext>
          </a:extLst>
        </xdr:cNvPr>
        <xdr:cNvSpPr txBox="1"/>
      </xdr:nvSpPr>
      <xdr:spPr>
        <a:xfrm>
          <a:off x="14682368" y="280638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35" name="CuadroTexto 1">
          <a:extLst>
            <a:ext uri="{FF2B5EF4-FFF2-40B4-BE49-F238E27FC236}">
              <a16:creationId xmlns:a16="http://schemas.microsoft.com/office/drawing/2014/main" id="{00000000-0008-0000-0200-000023000000}"/>
            </a:ext>
          </a:extLst>
        </xdr:cNvPr>
        <xdr:cNvSpPr txBox="1"/>
      </xdr:nvSpPr>
      <xdr:spPr>
        <a:xfrm>
          <a:off x="15570084" y="279906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37,48</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69,57</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6,7%</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33,3%</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53,3%</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1" name="CuadroTexto 1">
          <a:extLst>
            <a:ext uri="{FF2B5EF4-FFF2-40B4-BE49-F238E27FC236}">
              <a16:creationId xmlns:a16="http://schemas.microsoft.com/office/drawing/2014/main" id="{00000000-0008-0000-0300-000015000000}"/>
            </a:ext>
          </a:extLst>
        </xdr:cNvPr>
        <xdr:cNvSpPr txBox="1"/>
      </xdr:nvSpPr>
      <xdr:spPr>
        <a:xfrm>
          <a:off x="13984126" y="2762122"/>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22" name="CuadroTexto 1">
          <a:extLst>
            <a:ext uri="{FF2B5EF4-FFF2-40B4-BE49-F238E27FC236}">
              <a16:creationId xmlns:a16="http://schemas.microsoft.com/office/drawing/2014/main" id="{00000000-0008-0000-0300-000016000000}"/>
            </a:ext>
          </a:extLst>
        </xdr:cNvPr>
        <xdr:cNvSpPr txBox="1"/>
      </xdr:nvSpPr>
      <xdr:spPr>
        <a:xfrm>
          <a:off x="14598235" y="2767983"/>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3" name="CuadroTexto 1">
          <a:extLst>
            <a:ext uri="{FF2B5EF4-FFF2-40B4-BE49-F238E27FC236}">
              <a16:creationId xmlns:a16="http://schemas.microsoft.com/office/drawing/2014/main" id="{00000000-0008-0000-0300-000017000000}"/>
            </a:ext>
          </a:extLst>
        </xdr:cNvPr>
        <xdr:cNvSpPr txBox="1"/>
      </xdr:nvSpPr>
      <xdr:spPr>
        <a:xfrm>
          <a:off x="15488730" y="2760657"/>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37,48</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69,57</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1266825</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6,7%</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33,3%</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53,3%</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18" name="CuadroTexto 1">
          <a:extLst>
            <a:ext uri="{FF2B5EF4-FFF2-40B4-BE49-F238E27FC236}">
              <a16:creationId xmlns:a16="http://schemas.microsoft.com/office/drawing/2014/main" id="{00000000-0008-0000-0400-000012000000}"/>
            </a:ext>
          </a:extLst>
        </xdr:cNvPr>
        <xdr:cNvSpPr txBox="1"/>
      </xdr:nvSpPr>
      <xdr:spPr>
        <a:xfrm>
          <a:off x="12749413" y="2646659"/>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19" name="CuadroTexto 1">
          <a:extLst>
            <a:ext uri="{FF2B5EF4-FFF2-40B4-BE49-F238E27FC236}">
              <a16:creationId xmlns:a16="http://schemas.microsoft.com/office/drawing/2014/main" id="{00000000-0008-0000-0400-000013000000}"/>
            </a:ext>
          </a:extLst>
        </xdr:cNvPr>
        <xdr:cNvSpPr txBox="1"/>
      </xdr:nvSpPr>
      <xdr:spPr>
        <a:xfrm>
          <a:off x="13363522" y="2652520"/>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0" name="CuadroTexto 1">
          <a:extLst>
            <a:ext uri="{FF2B5EF4-FFF2-40B4-BE49-F238E27FC236}">
              <a16:creationId xmlns:a16="http://schemas.microsoft.com/office/drawing/2014/main" id="{00000000-0008-0000-0400-000014000000}"/>
            </a:ext>
          </a:extLst>
        </xdr:cNvPr>
        <xdr:cNvSpPr txBox="1"/>
      </xdr:nvSpPr>
      <xdr:spPr>
        <a:xfrm>
          <a:off x="14251238" y="2645194"/>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37,48</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69,57</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2.768</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6,7%</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33,3%</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53,3%</a:t>
          </a:fld>
          <a:endParaRPr lang="es-ES" sz="1200" b="1" i="0" u="none" strike="noStrike">
            <a:solidFill>
              <a:schemeClr val="accent1"/>
            </a:solidFill>
            <a:latin typeface="Arial"/>
            <a:ea typeface="+mn-ea"/>
            <a:cs typeface="Arial"/>
          </a:endParaRPr>
        </a:p>
      </xdr:txBody>
    </xdr:sp>
    <xdr:clientData/>
  </xdr:twoCellAnchor>
  <xdr:oneCellAnchor>
    <xdr:from>
      <xdr:col>17</xdr:col>
      <xdr:colOff>271663</xdr:colOff>
      <xdr:row>19</xdr:row>
      <xdr:rowOff>16293</xdr:rowOff>
    </xdr:from>
    <xdr:ext cx="398442" cy="269369"/>
    <xdr:sp macro="" textlink="#REF!">
      <xdr:nvSpPr>
        <xdr:cNvPr id="18" name="CuadroTexto 1">
          <a:extLst>
            <a:ext uri="{FF2B5EF4-FFF2-40B4-BE49-F238E27FC236}">
              <a16:creationId xmlns:a16="http://schemas.microsoft.com/office/drawing/2014/main" id="{00000000-0008-0000-0500-000012000000}"/>
            </a:ext>
          </a:extLst>
        </xdr:cNvPr>
        <xdr:cNvSpPr txBox="1"/>
      </xdr:nvSpPr>
      <xdr:spPr>
        <a:xfrm>
          <a:off x="13474778" y="310825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123772</xdr:colOff>
      <xdr:row>19</xdr:row>
      <xdr:rowOff>22154</xdr:rowOff>
    </xdr:from>
    <xdr:ext cx="500906" cy="269369"/>
    <xdr:sp macro="" textlink="#REF!">
      <xdr:nvSpPr>
        <xdr:cNvPr id="19" name="CuadroTexto 1">
          <a:extLst>
            <a:ext uri="{FF2B5EF4-FFF2-40B4-BE49-F238E27FC236}">
              <a16:creationId xmlns:a16="http://schemas.microsoft.com/office/drawing/2014/main" id="{00000000-0008-0000-0500-000013000000}"/>
            </a:ext>
          </a:extLst>
        </xdr:cNvPr>
        <xdr:cNvSpPr txBox="1"/>
      </xdr:nvSpPr>
      <xdr:spPr>
        <a:xfrm>
          <a:off x="14088887" y="311411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249488</xdr:colOff>
      <xdr:row>19</xdr:row>
      <xdr:rowOff>14828</xdr:rowOff>
    </xdr:from>
    <xdr:ext cx="338554" cy="269369"/>
    <xdr:sp macro="" textlink="#REF!">
      <xdr:nvSpPr>
        <xdr:cNvPr id="20" name="CuadroTexto 1">
          <a:extLst>
            <a:ext uri="{FF2B5EF4-FFF2-40B4-BE49-F238E27FC236}">
              <a16:creationId xmlns:a16="http://schemas.microsoft.com/office/drawing/2014/main" id="{00000000-0008-0000-0500-000014000000}"/>
            </a:ext>
          </a:extLst>
        </xdr:cNvPr>
        <xdr:cNvSpPr txBox="1"/>
      </xdr:nvSpPr>
      <xdr:spPr>
        <a:xfrm>
          <a:off x="14976603" y="310679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37,48</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69,57</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2.768</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37,48</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69,57</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6,7%</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33,3%</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53,3%</a:t>
          </a:fld>
          <a:endParaRPr lang="es-ES" sz="1200" b="1" i="0" u="none" strike="noStrike">
            <a:solidFill>
              <a:schemeClr val="accent1"/>
            </a:solidFill>
            <a:latin typeface="Arial"/>
            <a:ea typeface="+mn-ea"/>
            <a:cs typeface="Arial"/>
          </a:endParaRPr>
        </a:p>
      </xdr:txBody>
    </xdr:sp>
    <xdr:clientData/>
  </xdr:twoCellAnchor>
  <xdr:oneCellAnchor>
    <xdr:from>
      <xdr:col>17</xdr:col>
      <xdr:colOff>330279</xdr:colOff>
      <xdr:row>14</xdr:row>
      <xdr:rowOff>118870</xdr:rowOff>
    </xdr:from>
    <xdr:ext cx="398442" cy="269369"/>
    <xdr:sp macro="" textlink="#REF!">
      <xdr:nvSpPr>
        <xdr:cNvPr id="17" name="CuadroTexto 1">
          <a:extLst>
            <a:ext uri="{FF2B5EF4-FFF2-40B4-BE49-F238E27FC236}">
              <a16:creationId xmlns:a16="http://schemas.microsoft.com/office/drawing/2014/main" id="{00000000-0008-0000-0600-000011000000}"/>
            </a:ext>
          </a:extLst>
        </xdr:cNvPr>
        <xdr:cNvSpPr txBox="1"/>
      </xdr:nvSpPr>
      <xdr:spPr>
        <a:xfrm>
          <a:off x="13907067" y="244150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182388</xdr:colOff>
      <xdr:row>14</xdr:row>
      <xdr:rowOff>124731</xdr:rowOff>
    </xdr:from>
    <xdr:ext cx="500906" cy="269369"/>
    <xdr:sp macro="" textlink="#REF!">
      <xdr:nvSpPr>
        <xdr:cNvPr id="18" name="CuadroTexto 1">
          <a:extLst>
            <a:ext uri="{FF2B5EF4-FFF2-40B4-BE49-F238E27FC236}">
              <a16:creationId xmlns:a16="http://schemas.microsoft.com/office/drawing/2014/main" id="{00000000-0008-0000-0600-000012000000}"/>
            </a:ext>
          </a:extLst>
        </xdr:cNvPr>
        <xdr:cNvSpPr txBox="1"/>
      </xdr:nvSpPr>
      <xdr:spPr>
        <a:xfrm>
          <a:off x="14521176" y="244736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308104</xdr:colOff>
      <xdr:row>14</xdr:row>
      <xdr:rowOff>117405</xdr:rowOff>
    </xdr:from>
    <xdr:ext cx="338554" cy="269369"/>
    <xdr:sp macro="" textlink="#REF!">
      <xdr:nvSpPr>
        <xdr:cNvPr id="19" name="CuadroTexto 1">
          <a:extLst>
            <a:ext uri="{FF2B5EF4-FFF2-40B4-BE49-F238E27FC236}">
              <a16:creationId xmlns:a16="http://schemas.microsoft.com/office/drawing/2014/main" id="{00000000-0008-0000-0600-000013000000}"/>
            </a:ext>
          </a:extLst>
        </xdr:cNvPr>
        <xdr:cNvSpPr txBox="1"/>
      </xdr:nvSpPr>
      <xdr:spPr>
        <a:xfrm>
          <a:off x="15408892" y="244004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37,48</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69,57</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2.768</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37,48</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69,57</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914747" y="1267046"/>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6,7%</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42044" y="1267046"/>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33,3%</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604435" y="1272366"/>
          <a:ext cx="749258"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53,3%</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8" name="CuadroTexto 1">
          <a:extLst>
            <a:ext uri="{FF2B5EF4-FFF2-40B4-BE49-F238E27FC236}">
              <a16:creationId xmlns:a16="http://schemas.microsoft.com/office/drawing/2014/main" id="{00000000-0008-0000-0700-000012000000}"/>
            </a:ext>
          </a:extLst>
        </xdr:cNvPr>
        <xdr:cNvSpPr txBox="1"/>
      </xdr:nvSpPr>
      <xdr:spPr>
        <a:xfrm>
          <a:off x="13989327" y="2458522"/>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52,42</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9" name="CuadroTexto 1">
          <a:extLst>
            <a:ext uri="{FF2B5EF4-FFF2-40B4-BE49-F238E27FC236}">
              <a16:creationId xmlns:a16="http://schemas.microsoft.com/office/drawing/2014/main" id="{00000000-0008-0000-0700-000013000000}"/>
            </a:ext>
          </a:extLst>
        </xdr:cNvPr>
        <xdr:cNvSpPr txBox="1"/>
      </xdr:nvSpPr>
      <xdr:spPr>
        <a:xfrm>
          <a:off x="14759608" y="2456100"/>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108,59</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20" name="CuadroTexto 1">
          <a:extLst>
            <a:ext uri="{FF2B5EF4-FFF2-40B4-BE49-F238E27FC236}">
              <a16:creationId xmlns:a16="http://schemas.microsoft.com/office/drawing/2014/main" id="{00000000-0008-0000-0700-000014000000}"/>
            </a:ext>
          </a:extLst>
        </xdr:cNvPr>
        <xdr:cNvSpPr txBox="1"/>
      </xdr:nvSpPr>
      <xdr:spPr>
        <a:xfrm>
          <a:off x="15670696" y="2440491"/>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112,23</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69,57</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2.768</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8047803" y="1208622"/>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37,48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69,57</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66261</xdr:colOff>
      <xdr:row>28</xdr:row>
      <xdr:rowOff>41414</xdr:rowOff>
    </xdr:from>
    <xdr:to>
      <xdr:col>18</xdr:col>
      <xdr:colOff>803414</xdr:colOff>
      <xdr:row>38</xdr:row>
      <xdr:rowOff>104474</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4"/>
        <a:stretch>
          <a:fillRect/>
        </a:stretch>
      </xdr:blipFill>
      <xdr:spPr>
        <a:xfrm>
          <a:off x="13956196" y="4398066"/>
          <a:ext cx="1581979" cy="155393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56,08</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8874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8914" name="Spinner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138874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38874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00000000-0008-0000-0800-000006000000}"/>
            </a:ext>
          </a:extLst>
        </xdr:cNvPr>
        <xdr:cNvSpPr/>
      </xdr:nvSpPr>
      <xdr:spPr>
        <a:xfrm>
          <a:off x="7639050" y="0"/>
          <a:ext cx="25146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00000000-0008-0000-0800-000007000000}"/>
            </a:ext>
          </a:extLst>
        </xdr:cNvPr>
        <xdr:cNvSpPr/>
      </xdr:nvSpPr>
      <xdr:spPr>
        <a:xfrm>
          <a:off x="101536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00000000-0008-0000-0800-000008000000}"/>
            </a:ext>
          </a:extLst>
        </xdr:cNvPr>
        <xdr:cNvCxnSpPr/>
      </xdr:nvCxnSpPr>
      <xdr:spPr>
        <a:xfrm>
          <a:off x="139872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00000000-0008-0000-0800-000009000000}"/>
            </a:ext>
          </a:extLst>
        </xdr:cNvPr>
        <xdr:cNvCxnSpPr/>
      </xdr:nvCxnSpPr>
      <xdr:spPr>
        <a:xfrm flipV="1">
          <a:off x="139254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00000000-0008-0000-0800-00000A000000}"/>
            </a:ext>
          </a:extLst>
        </xdr:cNvPr>
        <xdr:cNvCxnSpPr/>
      </xdr:nvCxnSpPr>
      <xdr:spPr>
        <a:xfrm flipV="1">
          <a:off x="140434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00000000-0008-0000-0800-00000B000000}"/>
            </a:ext>
          </a:extLst>
        </xdr:cNvPr>
        <xdr:cNvSpPr txBox="1"/>
      </xdr:nvSpPr>
      <xdr:spPr>
        <a:xfrm>
          <a:off x="149151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6,7%</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704685</xdr:colOff>
      <xdr:row>7</xdr:row>
      <xdr:rowOff>72618</xdr:rowOff>
    </xdr:to>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
        <a:stretch>
          <a:fillRect/>
        </a:stretch>
      </xdr:blipFill>
      <xdr:spPr>
        <a:xfrm>
          <a:off x="13956261" y="1128569"/>
          <a:ext cx="233894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00000000-0008-0000-0800-00000D000000}"/>
            </a:ext>
          </a:extLst>
        </xdr:cNvPr>
        <xdr:cNvSpPr txBox="1"/>
      </xdr:nvSpPr>
      <xdr:spPr>
        <a:xfrm>
          <a:off x="141395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33,3%</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00000000-0008-0000-0800-00000E000000}"/>
            </a:ext>
          </a:extLst>
        </xdr:cNvPr>
        <xdr:cNvSpPr txBox="1"/>
      </xdr:nvSpPr>
      <xdr:spPr>
        <a:xfrm>
          <a:off x="156077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53,3%</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00000000-0008-0000-0800-00000F000000}"/>
            </a:ext>
          </a:extLst>
        </xdr:cNvPr>
        <xdr:cNvSpPr txBox="1"/>
      </xdr:nvSpPr>
      <xdr:spPr>
        <a:xfrm>
          <a:off x="139868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52,42</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00000000-0008-0000-0800-000010000000}"/>
            </a:ext>
          </a:extLst>
        </xdr:cNvPr>
        <xdr:cNvSpPr txBox="1"/>
      </xdr:nvSpPr>
      <xdr:spPr>
        <a:xfrm>
          <a:off x="147600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108,59</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00000000-0008-0000-0800-000011000000}"/>
            </a:ext>
          </a:extLst>
        </xdr:cNvPr>
        <xdr:cNvSpPr txBox="1"/>
      </xdr:nvSpPr>
      <xdr:spPr>
        <a:xfrm>
          <a:off x="156740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112,23</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778678</xdr:colOff>
      <xdr:row>15</xdr:row>
      <xdr:rowOff>98726</xdr:rowOff>
    </xdr:to>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924405" y="2372900"/>
          <a:ext cx="2482893" cy="17565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00000000-0008-0000-0800-000014000000}"/>
            </a:ext>
          </a:extLst>
        </xdr:cNvPr>
        <xdr:cNvSpPr txBox="1"/>
      </xdr:nvSpPr>
      <xdr:spPr>
        <a:xfrm>
          <a:off x="164306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00000000-0008-0000-0800-000015000000}"/>
            </a:ext>
          </a:extLst>
        </xdr:cNvPr>
        <xdr:cNvCxnSpPr/>
      </xdr:nvCxnSpPr>
      <xdr:spPr>
        <a:xfrm flipV="1">
          <a:off x="165303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00000000-0008-0000-0800-000016000000}"/>
            </a:ext>
          </a:extLst>
        </xdr:cNvPr>
        <xdr:cNvSpPr txBox="1"/>
      </xdr:nvSpPr>
      <xdr:spPr>
        <a:xfrm>
          <a:off x="164306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00000000-0008-0000-0800-000017000000}"/>
            </a:ext>
          </a:extLst>
        </xdr:cNvPr>
        <xdr:cNvSpPr/>
      </xdr:nvSpPr>
      <xdr:spPr>
        <a:xfrm>
          <a:off x="164306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00000000-0008-0000-0800-000018000000}"/>
            </a:ext>
          </a:extLst>
        </xdr:cNvPr>
        <xdr:cNvSpPr txBox="1"/>
      </xdr:nvSpPr>
      <xdr:spPr>
        <a:xfrm>
          <a:off x="165062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511164"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#miniporrajuLio2024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77094</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6"/>
        <a:stretch>
          <a:fillRect/>
        </a:stretch>
      </xdr:blipFill>
      <xdr:spPr>
        <a:xfrm>
          <a:off x="15706503" y="4552377"/>
          <a:ext cx="574314" cy="1030167"/>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29" name="Gráfico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3" name="Gráfico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4" name="CuadroTexto 1">
          <a:extLst>
            <a:ext uri="{FF2B5EF4-FFF2-40B4-BE49-F238E27FC236}">
              <a16:creationId xmlns:a16="http://schemas.microsoft.com/office/drawing/2014/main" id="{00000000-0008-0000-0800-000022000000}"/>
            </a:ext>
          </a:extLst>
        </xdr:cNvPr>
        <xdr:cNvSpPr txBox="1"/>
      </xdr:nvSpPr>
      <xdr:spPr>
        <a:xfrm>
          <a:off x="197702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2.768</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197768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6" name="CuadroTexto 3">
          <a:extLst>
            <a:ext uri="{FF2B5EF4-FFF2-40B4-BE49-F238E27FC236}">
              <a16:creationId xmlns:a16="http://schemas.microsoft.com/office/drawing/2014/main" id="{00000000-0008-0000-0800-000024000000}"/>
            </a:ext>
          </a:extLst>
        </xdr:cNvPr>
        <xdr:cNvSpPr txBox="1"/>
      </xdr:nvSpPr>
      <xdr:spPr>
        <a:xfrm>
          <a:off x="180569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37,48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7" name="CuadroTexto 3">
          <a:extLst>
            <a:ext uri="{FF2B5EF4-FFF2-40B4-BE49-F238E27FC236}">
              <a16:creationId xmlns:a16="http://schemas.microsoft.com/office/drawing/2014/main" id="{00000000-0008-0000-0800-000025000000}"/>
            </a:ext>
          </a:extLst>
        </xdr:cNvPr>
        <xdr:cNvSpPr txBox="1"/>
      </xdr:nvSpPr>
      <xdr:spPr>
        <a:xfrm>
          <a:off x="180072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69,57</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38" name="CuadroTexto 37">
          <a:extLst>
            <a:ext uri="{FF2B5EF4-FFF2-40B4-BE49-F238E27FC236}">
              <a16:creationId xmlns:a16="http://schemas.microsoft.com/office/drawing/2014/main" id="{00000000-0008-0000-0800-000026000000}"/>
            </a:ext>
          </a:extLst>
        </xdr:cNvPr>
        <xdr:cNvSpPr txBox="1"/>
      </xdr:nvSpPr>
      <xdr:spPr>
        <a:xfrm>
          <a:off x="13945428" y="8417616"/>
          <a:ext cx="5028372" cy="74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9" name="CuadroTexto 38">
          <a:extLst>
            <a:ext uri="{FF2B5EF4-FFF2-40B4-BE49-F238E27FC236}">
              <a16:creationId xmlns:a16="http://schemas.microsoft.com/office/drawing/2014/main" id="{00000000-0008-0000-0800-000027000000}"/>
            </a:ext>
          </a:extLst>
        </xdr:cNvPr>
        <xdr:cNvSpPr txBox="1"/>
      </xdr:nvSpPr>
      <xdr:spPr>
        <a:xfrm>
          <a:off x="138874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40" name="CuadroTexto 39">
          <a:extLst>
            <a:ext uri="{FF2B5EF4-FFF2-40B4-BE49-F238E27FC236}">
              <a16:creationId xmlns:a16="http://schemas.microsoft.com/office/drawing/2014/main" id="{00000000-0008-0000-0800-000028000000}"/>
            </a:ext>
          </a:extLst>
        </xdr:cNvPr>
        <xdr:cNvSpPr txBox="1"/>
      </xdr:nvSpPr>
      <xdr:spPr>
        <a:xfrm>
          <a:off x="138874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1" name="CuadroTexto 40">
          <a:extLst>
            <a:ext uri="{FF2B5EF4-FFF2-40B4-BE49-F238E27FC236}">
              <a16:creationId xmlns:a16="http://schemas.microsoft.com/office/drawing/2014/main" id="{00000000-0008-0000-0800-000029000000}"/>
            </a:ext>
          </a:extLst>
        </xdr:cNvPr>
        <xdr:cNvSpPr txBox="1"/>
      </xdr:nvSpPr>
      <xdr:spPr>
        <a:xfrm>
          <a:off x="164306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2" name="Conector recto 41">
          <a:extLst>
            <a:ext uri="{FF2B5EF4-FFF2-40B4-BE49-F238E27FC236}">
              <a16:creationId xmlns:a16="http://schemas.microsoft.com/office/drawing/2014/main" id="{00000000-0008-0000-0800-00002A000000}"/>
            </a:ext>
          </a:extLst>
        </xdr:cNvPr>
        <xdr:cNvCxnSpPr/>
      </xdr:nvCxnSpPr>
      <xdr:spPr>
        <a:xfrm>
          <a:off x="166170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3" name="Rectángulo 42">
          <a:extLst>
            <a:ext uri="{FF2B5EF4-FFF2-40B4-BE49-F238E27FC236}">
              <a16:creationId xmlns:a16="http://schemas.microsoft.com/office/drawing/2014/main" id="{00000000-0008-0000-0800-00002B000000}"/>
            </a:ext>
          </a:extLst>
        </xdr:cNvPr>
        <xdr:cNvSpPr/>
      </xdr:nvSpPr>
      <xdr:spPr>
        <a:xfrm>
          <a:off x="164306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4" name="Rectángulo 43">
          <a:extLst>
            <a:ext uri="{FF2B5EF4-FFF2-40B4-BE49-F238E27FC236}">
              <a16:creationId xmlns:a16="http://schemas.microsoft.com/office/drawing/2014/main" id="{00000000-0008-0000-0800-00002C000000}"/>
            </a:ext>
          </a:extLst>
        </xdr:cNvPr>
        <xdr:cNvSpPr/>
      </xdr:nvSpPr>
      <xdr:spPr>
        <a:xfrm>
          <a:off x="13889935" y="5996609"/>
          <a:ext cx="5068956" cy="22363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5" name="Rectángulo 44">
          <a:extLst>
            <a:ext uri="{FF2B5EF4-FFF2-40B4-BE49-F238E27FC236}">
              <a16:creationId xmlns:a16="http://schemas.microsoft.com/office/drawing/2014/main" id="{00000000-0008-0000-0800-00002D000000}"/>
            </a:ext>
          </a:extLst>
        </xdr:cNvPr>
        <xdr:cNvSpPr/>
      </xdr:nvSpPr>
      <xdr:spPr>
        <a:xfrm>
          <a:off x="164306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6" name="Rectángulo 45">
          <a:extLst>
            <a:ext uri="{FF2B5EF4-FFF2-40B4-BE49-F238E27FC236}">
              <a16:creationId xmlns:a16="http://schemas.microsoft.com/office/drawing/2014/main" id="{00000000-0008-0000-0800-00002E000000}"/>
            </a:ext>
          </a:extLst>
        </xdr:cNvPr>
        <xdr:cNvSpPr/>
      </xdr:nvSpPr>
      <xdr:spPr>
        <a:xfrm>
          <a:off x="138874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7" name="Rectángulo 46">
          <a:extLst>
            <a:ext uri="{FF2B5EF4-FFF2-40B4-BE49-F238E27FC236}">
              <a16:creationId xmlns:a16="http://schemas.microsoft.com/office/drawing/2014/main" id="{00000000-0008-0000-0800-00002F000000}"/>
            </a:ext>
          </a:extLst>
        </xdr:cNvPr>
        <xdr:cNvSpPr/>
      </xdr:nvSpPr>
      <xdr:spPr>
        <a:xfrm>
          <a:off x="138874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8" name="Rectángulo 47">
          <a:extLst>
            <a:ext uri="{FF2B5EF4-FFF2-40B4-BE49-F238E27FC236}">
              <a16:creationId xmlns:a16="http://schemas.microsoft.com/office/drawing/2014/main" id="{00000000-0008-0000-0800-000030000000}"/>
            </a:ext>
          </a:extLst>
        </xdr:cNvPr>
        <xdr:cNvSpPr/>
      </xdr:nvSpPr>
      <xdr:spPr>
        <a:xfrm>
          <a:off x="164306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9" name="Conector recto 48">
          <a:extLst>
            <a:ext uri="{FF2B5EF4-FFF2-40B4-BE49-F238E27FC236}">
              <a16:creationId xmlns:a16="http://schemas.microsoft.com/office/drawing/2014/main" id="{00000000-0008-0000-0800-000031000000}"/>
            </a:ext>
          </a:extLst>
        </xdr:cNvPr>
        <xdr:cNvCxnSpPr/>
      </xdr:nvCxnSpPr>
      <xdr:spPr>
        <a:xfrm>
          <a:off x="165322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50" name="Conector recto 49">
          <a:extLst>
            <a:ext uri="{FF2B5EF4-FFF2-40B4-BE49-F238E27FC236}">
              <a16:creationId xmlns:a16="http://schemas.microsoft.com/office/drawing/2014/main" id="{00000000-0008-0000-0800-000032000000}"/>
            </a:ext>
          </a:extLst>
        </xdr:cNvPr>
        <xdr:cNvCxnSpPr/>
      </xdr:nvCxnSpPr>
      <xdr:spPr>
        <a:xfrm flipV="1">
          <a:off x="139702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54</xdr:row>
      <xdr:rowOff>0</xdr:rowOff>
    </xdr:from>
    <xdr:to>
      <xdr:col>23</xdr:col>
      <xdr:colOff>0</xdr:colOff>
      <xdr:row>60</xdr:row>
      <xdr:rowOff>0</xdr:rowOff>
    </xdr:to>
    <xdr:sp macro="" textlink="">
      <xdr:nvSpPr>
        <xdr:cNvPr id="51" name="Rectángulo 50">
          <a:extLst>
            <a:ext uri="{FF2B5EF4-FFF2-40B4-BE49-F238E27FC236}">
              <a16:creationId xmlns:a16="http://schemas.microsoft.com/office/drawing/2014/main" id="{00000000-0008-0000-0800-000033000000}"/>
            </a:ext>
          </a:extLst>
        </xdr:cNvPr>
        <xdr:cNvSpPr/>
      </xdr:nvSpPr>
      <xdr:spPr>
        <a:xfrm>
          <a:off x="12440478"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54</xdr:row>
      <xdr:rowOff>0</xdr:rowOff>
    </xdr:from>
    <xdr:to>
      <xdr:col>23</xdr:col>
      <xdr:colOff>701039</xdr:colOff>
      <xdr:row>60</xdr:row>
      <xdr:rowOff>0</xdr:rowOff>
    </xdr:to>
    <xdr:pic>
      <xdr:nvPicPr>
        <xdr:cNvPr id="52" name="Imagen 51">
          <a:extLst>
            <a:ext uri="{FF2B5EF4-FFF2-40B4-BE49-F238E27FC236}">
              <a16:creationId xmlns:a16="http://schemas.microsoft.com/office/drawing/2014/main" id="{00000000-0008-0000-0800-000034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232913"/>
          <a:ext cx="7321826" cy="894522"/>
        </a:xfrm>
        <a:prstGeom prst="rect">
          <a:avLst/>
        </a:prstGeom>
      </xdr:spPr>
    </xdr:pic>
    <xdr:clientData/>
  </xdr:twoCellAnchor>
  <xdr:twoCellAnchor>
    <xdr:from>
      <xdr:col>14</xdr:col>
      <xdr:colOff>761999</xdr:colOff>
      <xdr:row>54</xdr:row>
      <xdr:rowOff>0</xdr:rowOff>
    </xdr:from>
    <xdr:to>
      <xdr:col>22</xdr:col>
      <xdr:colOff>844825</xdr:colOff>
      <xdr:row>60</xdr:row>
      <xdr:rowOff>0</xdr:rowOff>
    </xdr:to>
    <xdr:sp macro="" textlink="">
      <xdr:nvSpPr>
        <xdr:cNvPr id="53" name="Rectángulo 52">
          <a:extLst>
            <a:ext uri="{FF2B5EF4-FFF2-40B4-BE49-F238E27FC236}">
              <a16:creationId xmlns:a16="http://schemas.microsoft.com/office/drawing/2014/main" id="{00000000-0008-0000-0800-000035000000}"/>
            </a:ext>
          </a:extLst>
        </xdr:cNvPr>
        <xdr:cNvSpPr/>
      </xdr:nvSpPr>
      <xdr:spPr>
        <a:xfrm>
          <a:off x="12440477"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37</xdr:row>
      <xdr:rowOff>0</xdr:rowOff>
    </xdr:from>
    <xdr:to>
      <xdr:col>17</xdr:col>
      <xdr:colOff>0</xdr:colOff>
      <xdr:row>54</xdr:row>
      <xdr:rowOff>1</xdr:rowOff>
    </xdr:to>
    <xdr:graphicFrame macro="">
      <xdr:nvGraphicFramePr>
        <xdr:cNvPr id="54" name="Gráfico 53">
          <a:extLst>
            <a:ext uri="{FF2B5EF4-FFF2-40B4-BE49-F238E27FC236}">
              <a16:creationId xmlns:a16="http://schemas.microsoft.com/office/drawing/2014/main" id="{00000000-0008-0000-08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12440478" y="5703213"/>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6" name="Conector recto 55">
          <a:extLst>
            <a:ext uri="{FF2B5EF4-FFF2-40B4-BE49-F238E27FC236}">
              <a16:creationId xmlns:a16="http://schemas.microsoft.com/office/drawing/2014/main" id="{00000000-0008-0000-0800-000038000000}"/>
            </a:ext>
          </a:extLst>
        </xdr:cNvPr>
        <xdr:cNvCxnSpPr/>
      </xdr:nvCxnSpPr>
      <xdr:spPr>
        <a:xfrm>
          <a:off x="12481127" y="5988134"/>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7" name="Rectángulo 56">
          <a:extLst>
            <a:ext uri="{FF2B5EF4-FFF2-40B4-BE49-F238E27FC236}">
              <a16:creationId xmlns:a16="http://schemas.microsoft.com/office/drawing/2014/main" id="{00000000-0008-0000-0800-000039000000}"/>
            </a:ext>
          </a:extLst>
        </xdr:cNvPr>
        <xdr:cNvSpPr/>
      </xdr:nvSpPr>
      <xdr:spPr>
        <a:xfrm>
          <a:off x="138874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60</xdr:row>
      <xdr:rowOff>0</xdr:rowOff>
    </xdr:to>
    <xdr:sp macro="" textlink="">
      <xdr:nvSpPr>
        <xdr:cNvPr id="58" name="Rectángulo 57">
          <a:extLst>
            <a:ext uri="{FF2B5EF4-FFF2-40B4-BE49-F238E27FC236}">
              <a16:creationId xmlns:a16="http://schemas.microsoft.com/office/drawing/2014/main" id="{00000000-0008-0000-0800-00003A000000}"/>
            </a:ext>
          </a:extLst>
        </xdr:cNvPr>
        <xdr:cNvSpPr/>
      </xdr:nvSpPr>
      <xdr:spPr>
        <a:xfrm>
          <a:off x="7636565" y="0"/>
          <a:ext cx="4803913" cy="9127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41413</xdr:colOff>
      <xdr:row>58</xdr:row>
      <xdr:rowOff>16563</xdr:rowOff>
    </xdr:from>
    <xdr:to>
      <xdr:col>15</xdr:col>
      <xdr:colOff>149087</xdr:colOff>
      <xdr:row>59</xdr:row>
      <xdr:rowOff>149085</xdr:rowOff>
    </xdr:to>
    <xdr:sp macro="" textlink="">
      <xdr:nvSpPr>
        <xdr:cNvPr id="60" name="CuadroTexto 59">
          <a:extLst>
            <a:ext uri="{FF2B5EF4-FFF2-40B4-BE49-F238E27FC236}">
              <a16:creationId xmlns:a16="http://schemas.microsoft.com/office/drawing/2014/main" id="{00000000-0008-0000-0800-00003C000000}"/>
            </a:ext>
          </a:extLst>
        </xdr:cNvPr>
        <xdr:cNvSpPr txBox="1"/>
      </xdr:nvSpPr>
      <xdr:spPr>
        <a:xfrm>
          <a:off x="7056783" y="8845824"/>
          <a:ext cx="5532782" cy="281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1">
              <a:latin typeface="Arial Narrow" panose="020B0606020202030204" pitchFamily="34" charset="0"/>
            </a:rPr>
            <a:t>Visita</a:t>
          </a:r>
          <a:r>
            <a:rPr lang="es-ES" sz="1100" b="1" baseline="0">
              <a:latin typeface="Arial Narrow" panose="020B0606020202030204" pitchFamily="34" charset="0"/>
            </a:rPr>
            <a:t> mis PowerAPPs en https://powerappspy-josevidal.streamlit.app/</a:t>
          </a:r>
          <a:endParaRPr lang="es-ES" sz="1100" b="1">
            <a:latin typeface="Arial Narrow" panose="020B0606020202030204" pitchFamily="34" charset="0"/>
          </a:endParaRPr>
        </a:p>
      </xdr:txBody>
    </xdr:sp>
    <xdr:clientData/>
  </xdr:twoCellAnchor>
  <xdr:twoCellAnchor editAs="oneCell">
    <xdr:from>
      <xdr:col>14</xdr:col>
      <xdr:colOff>270695</xdr:colOff>
      <xdr:row>58</xdr:row>
      <xdr:rowOff>12065</xdr:rowOff>
    </xdr:from>
    <xdr:to>
      <xdr:col>14</xdr:col>
      <xdr:colOff>539548</xdr:colOff>
      <xdr:row>59</xdr:row>
      <xdr:rowOff>129926</xdr:rowOff>
    </xdr:to>
    <xdr:pic>
      <xdr:nvPicPr>
        <xdr:cNvPr id="62" name="Imagen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011964" y="8753084"/>
          <a:ext cx="268853" cy="264400"/>
        </a:xfrm>
        <a:prstGeom prst="rect">
          <a:avLst/>
        </a:prstGeom>
      </xdr:spPr>
    </xdr:pic>
    <xdr:clientData/>
  </xdr:twoCellAnchor>
  <xdr:twoCellAnchor editAs="oneCell">
    <xdr:from>
      <xdr:col>17</xdr:col>
      <xdr:colOff>51581</xdr:colOff>
      <xdr:row>28</xdr:row>
      <xdr:rowOff>21982</xdr:rowOff>
    </xdr:from>
    <xdr:to>
      <xdr:col>19</xdr:col>
      <xdr:colOff>7326</xdr:colOff>
      <xdr:row>38</xdr:row>
      <xdr:rowOff>142467</xdr:rowOff>
    </xdr:to>
    <xdr:pic>
      <xdr:nvPicPr>
        <xdr:cNvPr id="59" name="Imagen 58">
          <a:extLst>
            <a:ext uri="{FF2B5EF4-FFF2-40B4-BE49-F238E27FC236}">
              <a16:creationId xmlns:a16="http://schemas.microsoft.com/office/drawing/2014/main" id="{2D8EC2E6-2B82-2562-2A00-89567B8BB991}"/>
            </a:ext>
          </a:extLst>
        </xdr:cNvPr>
        <xdr:cNvPicPr>
          <a:picLocks noChangeAspect="1"/>
        </xdr:cNvPicPr>
      </xdr:nvPicPr>
      <xdr:blipFill>
        <a:blip xmlns:r="http://schemas.openxmlformats.org/officeDocument/2006/relationships" r:embed="rId15"/>
        <a:stretch>
          <a:fillRect/>
        </a:stretch>
      </xdr:blipFill>
      <xdr:spPr>
        <a:xfrm>
          <a:off x="12807754" y="4366847"/>
          <a:ext cx="1523707" cy="1585870"/>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l!$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72,31</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0.54851</cdr:x>
      <cdr:y>0.02848</cdr:y>
    </cdr:from>
    <cdr:to>
      <cdr:x>0.88442</cdr:x>
      <cdr:y>0.18272</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520556" y="50269"/>
          <a:ext cx="1543594" cy="272200"/>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cdr:y>
    </cdr:from>
    <cdr:to>
      <cdr:x>0.57395</cdr:x>
      <cdr:y>0.19423</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0"/>
          <a:ext cx="2637472" cy="34278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75,23</a:t>
          </a:r>
          <a:endParaRPr lang="es-ES" sz="1000" b="1">
            <a:solidFill>
              <a:srgbClr val="C00000"/>
            </a:solidFill>
            <a:latin typeface="Arial Narrow" panose="020B0606020202030204" pitchFamily="34" charset="0"/>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93CD3852-0DBC-4F8C-809D-17110569D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11429CFA-86B6-4171-B218-FF381F17D326}"/>
            </a:ext>
          </a:extLst>
        </xdr:cNvPr>
        <xdr:cNvSpPr txBox="1"/>
      </xdr:nvSpPr>
      <xdr:spPr>
        <a:xfrm>
          <a:off x="14049375"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D6F5F239-9D0D-4F06-9906-6A92DFC515B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49154" name="Spinner 2" hidden="1">
              <a:extLst>
                <a:ext uri="{63B3BB69-23CF-44E3-9099-C40C66FF867C}">
                  <a14:compatExt spid="_x0000_s49154"/>
                </a:ext>
                <a:ext uri="{FF2B5EF4-FFF2-40B4-BE49-F238E27FC236}">
                  <a16:creationId xmlns:a16="http://schemas.microsoft.com/office/drawing/2014/main" id="{3257CF71-585B-4D1E-A5DE-E90D6CA59E7E}"/>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43FBD4C5-33CF-4E42-A8A7-9CBCD2FBB1C6}"/>
            </a:ext>
          </a:extLst>
        </xdr:cNvPr>
        <xdr:cNvSpPr txBox="1"/>
      </xdr:nvSpPr>
      <xdr:spPr>
        <a:xfrm>
          <a:off x="14049375"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7DDD389B-6335-43D3-A43B-41C138D983E2}"/>
            </a:ext>
          </a:extLst>
        </xdr:cNvPr>
        <xdr:cNvSpPr/>
      </xdr:nvSpPr>
      <xdr:spPr>
        <a:xfrm>
          <a:off x="1404937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484B5DBC-FEA2-4BC5-AB6F-BD4B7C91E88E}"/>
            </a:ext>
          </a:extLst>
        </xdr:cNvPr>
        <xdr:cNvSpPr/>
      </xdr:nvSpPr>
      <xdr:spPr>
        <a:xfrm>
          <a:off x="7715250" y="0"/>
          <a:ext cx="25812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EC261E39-5010-4A8A-BCBB-DEEFA79621B4}"/>
            </a:ext>
          </a:extLst>
        </xdr:cNvPr>
        <xdr:cNvSpPr/>
      </xdr:nvSpPr>
      <xdr:spPr>
        <a:xfrm>
          <a:off x="102965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57B069A9-065C-4A8D-8C30-EF1629072A87}"/>
            </a:ext>
          </a:extLst>
        </xdr:cNvPr>
        <xdr:cNvCxnSpPr/>
      </xdr:nvCxnSpPr>
      <xdr:spPr>
        <a:xfrm>
          <a:off x="14149203"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6C25C1F4-25DF-44D2-B8A3-FDECB830F8A9}"/>
            </a:ext>
          </a:extLst>
        </xdr:cNvPr>
        <xdr:cNvCxnSpPr/>
      </xdr:nvCxnSpPr>
      <xdr:spPr>
        <a:xfrm flipV="1">
          <a:off x="14087329"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191773E7-B414-4771-A606-88CC90A6CA8E}"/>
            </a:ext>
          </a:extLst>
        </xdr:cNvPr>
        <xdr:cNvCxnSpPr/>
      </xdr:nvCxnSpPr>
      <xdr:spPr>
        <a:xfrm flipV="1">
          <a:off x="14205327"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A3CB82B5-E73E-48E4-BB0E-37DB8CEE9015}"/>
            </a:ext>
          </a:extLst>
        </xdr:cNvPr>
        <xdr:cNvSpPr txBox="1"/>
      </xdr:nvSpPr>
      <xdr:spPr>
        <a:xfrm>
          <a:off x="15077086"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6,7%</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704686</xdr:colOff>
      <xdr:row>7</xdr:row>
      <xdr:rowOff>72618</xdr:rowOff>
    </xdr:to>
    <xdr:pic>
      <xdr:nvPicPr>
        <xdr:cNvPr id="12" name="Imagen 11">
          <a:extLst>
            <a:ext uri="{FF2B5EF4-FFF2-40B4-BE49-F238E27FC236}">
              <a16:creationId xmlns:a16="http://schemas.microsoft.com/office/drawing/2014/main" id="{6C8202CD-9E7A-4C2E-88F2-2D38057454BD}"/>
            </a:ext>
          </a:extLst>
        </xdr:cNvPr>
        <xdr:cNvPicPr>
          <a:picLocks noChangeAspect="1"/>
        </xdr:cNvPicPr>
      </xdr:nvPicPr>
      <xdr:blipFill>
        <a:blip xmlns:r="http://schemas.openxmlformats.org/officeDocument/2006/relationships" r:embed="rId2"/>
        <a:stretch>
          <a:fillRect/>
        </a:stretch>
      </xdr:blipFill>
      <xdr:spPr>
        <a:xfrm>
          <a:off x="14118186" y="1128569"/>
          <a:ext cx="233132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81093F08-D15C-44E5-B1E3-FE2A0303B2D7}"/>
            </a:ext>
          </a:extLst>
        </xdr:cNvPr>
        <xdr:cNvSpPr txBox="1"/>
      </xdr:nvSpPr>
      <xdr:spPr>
        <a:xfrm>
          <a:off x="14301484"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33,3%</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597D8898-8097-4409-881C-665E97407428}"/>
            </a:ext>
          </a:extLst>
        </xdr:cNvPr>
        <xdr:cNvSpPr txBox="1"/>
      </xdr:nvSpPr>
      <xdr:spPr>
        <a:xfrm>
          <a:off x="15769673"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53,3%</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8880A471-07B5-46E5-8D7E-E15B7B9A5CC3}"/>
            </a:ext>
          </a:extLst>
        </xdr:cNvPr>
        <xdr:cNvSpPr txBox="1"/>
      </xdr:nvSpPr>
      <xdr:spPr>
        <a:xfrm>
          <a:off x="14148767"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52,42</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E94DADF2-94FC-4E85-8685-5252D8D13719}"/>
            </a:ext>
          </a:extLst>
        </xdr:cNvPr>
        <xdr:cNvSpPr txBox="1"/>
      </xdr:nvSpPr>
      <xdr:spPr>
        <a:xfrm>
          <a:off x="14921947"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108,59</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8D4FC7F4-C35A-45CF-AE1B-8D4AB331097B}"/>
            </a:ext>
          </a:extLst>
        </xdr:cNvPr>
        <xdr:cNvSpPr txBox="1"/>
      </xdr:nvSpPr>
      <xdr:spPr>
        <a:xfrm>
          <a:off x="15835934"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112,23</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778679</xdr:colOff>
      <xdr:row>15</xdr:row>
      <xdr:rowOff>98726</xdr:rowOff>
    </xdr:to>
    <xdr:pic>
      <xdr:nvPicPr>
        <xdr:cNvPr id="18" name="Imagen 17">
          <a:extLst>
            <a:ext uri="{FF2B5EF4-FFF2-40B4-BE49-F238E27FC236}">
              <a16:creationId xmlns:a16="http://schemas.microsoft.com/office/drawing/2014/main" id="{8A4F688B-E968-4952-9339-7603928D813D}"/>
            </a:ext>
          </a:extLst>
        </xdr:cNvPr>
        <xdr:cNvPicPr>
          <a:picLocks noChangeAspect="1"/>
        </xdr:cNvPicPr>
      </xdr:nvPicPr>
      <xdr:blipFill>
        <a:blip xmlns:r="http://schemas.openxmlformats.org/officeDocument/2006/relationships" r:embed="rId3"/>
        <a:stretch>
          <a:fillRect/>
        </a:stretch>
      </xdr:blipFill>
      <xdr:spPr>
        <a:xfrm>
          <a:off x="14086330" y="2372900"/>
          <a:ext cx="2437173"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B39EC4DC-13D2-4C29-9B6D-54499FDDF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5AD64E22-83F8-4959-8967-7A1F01D696F8}"/>
            </a:ext>
          </a:extLst>
        </xdr:cNvPr>
        <xdr:cNvSpPr txBox="1"/>
      </xdr:nvSpPr>
      <xdr:spPr>
        <a:xfrm>
          <a:off x="16592550"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F1B16FA7-EE4F-4368-A266-B7E9F775507B}"/>
            </a:ext>
          </a:extLst>
        </xdr:cNvPr>
        <xdr:cNvCxnSpPr/>
      </xdr:nvCxnSpPr>
      <xdr:spPr>
        <a:xfrm flipV="1">
          <a:off x="16692257"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32D4EA05-1254-441D-BB40-83345A03E136}"/>
            </a:ext>
          </a:extLst>
        </xdr:cNvPr>
        <xdr:cNvSpPr txBox="1"/>
      </xdr:nvSpPr>
      <xdr:spPr>
        <a:xfrm>
          <a:off x="16592550"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D8633CC-F18E-4640-8C9C-4C66C1948F61}"/>
            </a:ext>
          </a:extLst>
        </xdr:cNvPr>
        <xdr:cNvSpPr/>
      </xdr:nvSpPr>
      <xdr:spPr>
        <a:xfrm>
          <a:off x="165925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F8C19012-4A65-4CE8-A784-94181751585E}"/>
            </a:ext>
          </a:extLst>
        </xdr:cNvPr>
        <xdr:cNvSpPr txBox="1"/>
      </xdr:nvSpPr>
      <xdr:spPr>
        <a:xfrm>
          <a:off x="16668164"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5C9FA224-D3B2-44DF-8654-A53DC90FA7F8}"/>
            </a:ext>
          </a:extLst>
        </xdr:cNvPr>
        <xdr:cNvSpPr txBox="1"/>
      </xdr:nvSpPr>
      <xdr:spPr>
        <a:xfrm>
          <a:off x="16673089"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#miniporraagosto2024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BA2F79C-FF5F-418E-BA57-9BFCACCE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84A1423A-2EFC-408E-8F12-27F6EA2745D4}"/>
            </a:ext>
          </a:extLst>
        </xdr:cNvPr>
        <xdr:cNvPicPr>
          <a:picLocks noChangeAspect="1"/>
        </xdr:cNvPicPr>
      </xdr:nvPicPr>
      <xdr:blipFill>
        <a:blip xmlns:r="http://schemas.openxmlformats.org/officeDocument/2006/relationships" r:embed="rId6"/>
        <a:stretch>
          <a:fillRect/>
        </a:stretch>
      </xdr:blipFill>
      <xdr:spPr>
        <a:xfrm>
          <a:off x="15868428" y="4552377"/>
          <a:ext cx="581934" cy="1020642"/>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2F42DA59-DC8E-42CA-9152-C9D930746B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56BAE928-6787-4F5B-8C5A-B6D8DBD57F4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39DB69B8-B80E-46A3-A803-780B3FFED2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E594116-3C0E-4168-9292-4EA7AAE404C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F20F21C2-846A-46E1-AC6C-F7F9FB1650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6451BCCE-DBEC-474C-8B9D-93A0CE6CF0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B97B4BD8-F89F-4E35-87EB-9309BD97C035}"/>
            </a:ext>
          </a:extLst>
        </xdr:cNvPr>
        <xdr:cNvSpPr txBox="1"/>
      </xdr:nvSpPr>
      <xdr:spPr>
        <a:xfrm>
          <a:off x="19932161" y="4785213"/>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2.768</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96B5A0B3-C5B8-4C56-992C-A36C65427A27}"/>
            </a:ext>
          </a:extLst>
        </xdr:cNvPr>
        <xdr:cNvSpPr txBox="1"/>
      </xdr:nvSpPr>
      <xdr:spPr>
        <a:xfrm>
          <a:off x="19938757" y="4807194"/>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C328C025-34AD-49DC-9630-77F4C4722FA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CB658D4A-5ABA-47D8-AB06-8DDB076CD9C6}"/>
            </a:ext>
          </a:extLst>
        </xdr:cNvPr>
        <xdr:cNvSpPr txBox="1"/>
      </xdr:nvSpPr>
      <xdr:spPr>
        <a:xfrm>
          <a:off x="18218839"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37,48</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E9E2963C-1482-4269-887C-15C2D09E842D}"/>
            </a:ext>
          </a:extLst>
        </xdr:cNvPr>
        <xdr:cNvSpPr txBox="1"/>
      </xdr:nvSpPr>
      <xdr:spPr>
        <a:xfrm>
          <a:off x="18169145"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69,57</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8" name="CuadroTexto 37">
          <a:extLst>
            <a:ext uri="{FF2B5EF4-FFF2-40B4-BE49-F238E27FC236}">
              <a16:creationId xmlns:a16="http://schemas.microsoft.com/office/drawing/2014/main" id="{7915CC21-DE20-41D7-80DE-2CF167A76699}"/>
            </a:ext>
          </a:extLst>
        </xdr:cNvPr>
        <xdr:cNvSpPr txBox="1"/>
      </xdr:nvSpPr>
      <xdr:spPr>
        <a:xfrm>
          <a:off x="14049375" y="6105525"/>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9" name="CuadroTexto 38">
          <a:extLst>
            <a:ext uri="{FF2B5EF4-FFF2-40B4-BE49-F238E27FC236}">
              <a16:creationId xmlns:a16="http://schemas.microsoft.com/office/drawing/2014/main" id="{B3455C6E-B523-4497-98B4-F0D014947DFA}"/>
            </a:ext>
          </a:extLst>
        </xdr:cNvPr>
        <xdr:cNvSpPr txBox="1"/>
      </xdr:nvSpPr>
      <xdr:spPr>
        <a:xfrm>
          <a:off x="14049375"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0" name="CuadroTexto 39">
          <a:extLst>
            <a:ext uri="{FF2B5EF4-FFF2-40B4-BE49-F238E27FC236}">
              <a16:creationId xmlns:a16="http://schemas.microsoft.com/office/drawing/2014/main" id="{8C57595B-612C-4FA4-A8FA-D9F5EB9A5194}"/>
            </a:ext>
          </a:extLst>
        </xdr:cNvPr>
        <xdr:cNvSpPr txBox="1"/>
      </xdr:nvSpPr>
      <xdr:spPr>
        <a:xfrm>
          <a:off x="16592550"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1" name="Conector recto 40">
          <a:extLst>
            <a:ext uri="{FF2B5EF4-FFF2-40B4-BE49-F238E27FC236}">
              <a16:creationId xmlns:a16="http://schemas.microsoft.com/office/drawing/2014/main" id="{99ABF1B4-ECF4-414D-9D1E-23E6CCE93579}"/>
            </a:ext>
          </a:extLst>
        </xdr:cNvPr>
        <xdr:cNvCxnSpPr/>
      </xdr:nvCxnSpPr>
      <xdr:spPr>
        <a:xfrm>
          <a:off x="16778972"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2" name="Rectángulo 41">
          <a:extLst>
            <a:ext uri="{FF2B5EF4-FFF2-40B4-BE49-F238E27FC236}">
              <a16:creationId xmlns:a16="http://schemas.microsoft.com/office/drawing/2014/main" id="{08939BDD-726B-4E29-92DC-F02342198E67}"/>
            </a:ext>
          </a:extLst>
        </xdr:cNvPr>
        <xdr:cNvSpPr/>
      </xdr:nvSpPr>
      <xdr:spPr>
        <a:xfrm>
          <a:off x="16592550" y="4133850"/>
          <a:ext cx="2543175" cy="197167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3" name="Rectángulo 42">
          <a:extLst>
            <a:ext uri="{FF2B5EF4-FFF2-40B4-BE49-F238E27FC236}">
              <a16:creationId xmlns:a16="http://schemas.microsoft.com/office/drawing/2014/main" id="{EF8DA958-8C0A-4387-970E-E15E00D64237}"/>
            </a:ext>
          </a:extLst>
        </xdr:cNvPr>
        <xdr:cNvSpPr/>
      </xdr:nvSpPr>
      <xdr:spPr>
        <a:xfrm>
          <a:off x="14049375" y="6105525"/>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4" name="Rectángulo 43">
          <a:extLst>
            <a:ext uri="{FF2B5EF4-FFF2-40B4-BE49-F238E27FC236}">
              <a16:creationId xmlns:a16="http://schemas.microsoft.com/office/drawing/2014/main" id="{BC0A8A32-8771-4CC6-A86C-CEF7B9A90F6F}"/>
            </a:ext>
          </a:extLst>
        </xdr:cNvPr>
        <xdr:cNvSpPr/>
      </xdr:nvSpPr>
      <xdr:spPr>
        <a:xfrm>
          <a:off x="16592550"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5" name="Rectángulo 44">
          <a:extLst>
            <a:ext uri="{FF2B5EF4-FFF2-40B4-BE49-F238E27FC236}">
              <a16:creationId xmlns:a16="http://schemas.microsoft.com/office/drawing/2014/main" id="{F07B1857-B5B1-4F0D-BFF9-6CC6008A5B58}"/>
            </a:ext>
          </a:extLst>
        </xdr:cNvPr>
        <xdr:cNvSpPr/>
      </xdr:nvSpPr>
      <xdr:spPr>
        <a:xfrm>
          <a:off x="14049375"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6" name="Rectángulo 45">
          <a:extLst>
            <a:ext uri="{FF2B5EF4-FFF2-40B4-BE49-F238E27FC236}">
              <a16:creationId xmlns:a16="http://schemas.microsoft.com/office/drawing/2014/main" id="{4C53E1A4-2F7C-4B83-AE5F-6D6236AB0F83}"/>
            </a:ext>
          </a:extLst>
        </xdr:cNvPr>
        <xdr:cNvSpPr/>
      </xdr:nvSpPr>
      <xdr:spPr>
        <a:xfrm>
          <a:off x="14049375"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7" name="Rectángulo 46">
          <a:extLst>
            <a:ext uri="{FF2B5EF4-FFF2-40B4-BE49-F238E27FC236}">
              <a16:creationId xmlns:a16="http://schemas.microsoft.com/office/drawing/2014/main" id="{F1EEC6DE-607A-418C-A73F-19E4109D02BB}"/>
            </a:ext>
          </a:extLst>
        </xdr:cNvPr>
        <xdr:cNvSpPr/>
      </xdr:nvSpPr>
      <xdr:spPr>
        <a:xfrm>
          <a:off x="16592551"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8" name="Conector recto 47">
          <a:extLst>
            <a:ext uri="{FF2B5EF4-FFF2-40B4-BE49-F238E27FC236}">
              <a16:creationId xmlns:a16="http://schemas.microsoft.com/office/drawing/2014/main" id="{212E8F04-C137-4E53-985B-54CA7E9ACB4D}"/>
            </a:ext>
          </a:extLst>
        </xdr:cNvPr>
        <xdr:cNvCxnSpPr/>
      </xdr:nvCxnSpPr>
      <xdr:spPr>
        <a:xfrm>
          <a:off x="16694168"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9" name="Conector recto 48">
          <a:extLst>
            <a:ext uri="{FF2B5EF4-FFF2-40B4-BE49-F238E27FC236}">
              <a16:creationId xmlns:a16="http://schemas.microsoft.com/office/drawing/2014/main" id="{60C881DD-060C-4E39-9419-C271DAD0BF09}"/>
            </a:ext>
          </a:extLst>
        </xdr:cNvPr>
        <xdr:cNvCxnSpPr/>
      </xdr:nvCxnSpPr>
      <xdr:spPr>
        <a:xfrm flipV="1">
          <a:off x="14132200" y="6382164"/>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207500</xdr:colOff>
      <xdr:row>47</xdr:row>
      <xdr:rowOff>7327</xdr:rowOff>
    </xdr:from>
    <xdr:to>
      <xdr:col>17</xdr:col>
      <xdr:colOff>0</xdr:colOff>
      <xdr:row>54</xdr:row>
      <xdr:rowOff>0</xdr:rowOff>
    </xdr:to>
    <xdr:pic>
      <xdr:nvPicPr>
        <xdr:cNvPr id="51" name="Imagen 50">
          <a:extLst>
            <a:ext uri="{FF2B5EF4-FFF2-40B4-BE49-F238E27FC236}">
              <a16:creationId xmlns:a16="http://schemas.microsoft.com/office/drawing/2014/main" id="{BC87B600-F329-4826-8079-D815AA3B10AA}"/>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819923" y="7407519"/>
          <a:ext cx="7273289" cy="1069731"/>
        </a:xfrm>
        <a:prstGeom prst="rect">
          <a:avLst/>
        </a:prstGeom>
      </xdr:spPr>
    </xdr:pic>
    <xdr:clientData/>
  </xdr:twoCellAnchor>
  <xdr:twoCellAnchor>
    <xdr:from>
      <xdr:col>14</xdr:col>
      <xdr:colOff>578827</xdr:colOff>
      <xdr:row>58</xdr:row>
      <xdr:rowOff>80596</xdr:rowOff>
    </xdr:from>
    <xdr:to>
      <xdr:col>22</xdr:col>
      <xdr:colOff>661653</xdr:colOff>
      <xdr:row>64</xdr:row>
      <xdr:rowOff>80596</xdr:rowOff>
    </xdr:to>
    <xdr:sp macro="" textlink="">
      <xdr:nvSpPr>
        <xdr:cNvPr id="52" name="Rectángulo 51">
          <a:extLst>
            <a:ext uri="{FF2B5EF4-FFF2-40B4-BE49-F238E27FC236}">
              <a16:creationId xmlns:a16="http://schemas.microsoft.com/office/drawing/2014/main" id="{D1590414-BF13-4333-89E7-2F07CD822E7A}"/>
            </a:ext>
          </a:extLst>
        </xdr:cNvPr>
        <xdr:cNvSpPr/>
      </xdr:nvSpPr>
      <xdr:spPr>
        <a:xfrm>
          <a:off x="11488615" y="9173308"/>
          <a:ext cx="6515865" cy="92319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762000</xdr:colOff>
      <xdr:row>36</xdr:row>
      <xdr:rowOff>153865</xdr:rowOff>
    </xdr:from>
    <xdr:to>
      <xdr:col>17</xdr:col>
      <xdr:colOff>0</xdr:colOff>
      <xdr:row>54</xdr:row>
      <xdr:rowOff>1</xdr:rowOff>
    </xdr:to>
    <xdr:graphicFrame macro="">
      <xdr:nvGraphicFramePr>
        <xdr:cNvPr id="53" name="Gráfico 52">
          <a:extLst>
            <a:ext uri="{FF2B5EF4-FFF2-40B4-BE49-F238E27FC236}">
              <a16:creationId xmlns:a16="http://schemas.microsoft.com/office/drawing/2014/main" id="{5188FD15-FA43-4923-9589-2DEEAA708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4" name="CuadroTexto 53">
          <a:extLst>
            <a:ext uri="{FF2B5EF4-FFF2-40B4-BE49-F238E27FC236}">
              <a16:creationId xmlns:a16="http://schemas.microsoft.com/office/drawing/2014/main" id="{A37B4517-AD3F-4886-A5F0-B18768544BA2}"/>
            </a:ext>
          </a:extLst>
        </xdr:cNvPr>
        <xdr:cNvSpPr txBox="1"/>
      </xdr:nvSpPr>
      <xdr:spPr>
        <a:xfrm>
          <a:off x="12582525" y="5805503"/>
          <a:ext cx="1466850"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5" name="Conector recto 54">
          <a:extLst>
            <a:ext uri="{FF2B5EF4-FFF2-40B4-BE49-F238E27FC236}">
              <a16:creationId xmlns:a16="http://schemas.microsoft.com/office/drawing/2014/main" id="{DF930CE2-31BD-4D9A-9AED-945A3C008B0C}"/>
            </a:ext>
          </a:extLst>
        </xdr:cNvPr>
        <xdr:cNvCxnSpPr/>
      </xdr:nvCxnSpPr>
      <xdr:spPr>
        <a:xfrm>
          <a:off x="12623174" y="6093737"/>
          <a:ext cx="1315628"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6" name="Rectángulo 55">
          <a:extLst>
            <a:ext uri="{FF2B5EF4-FFF2-40B4-BE49-F238E27FC236}">
              <a16:creationId xmlns:a16="http://schemas.microsoft.com/office/drawing/2014/main" id="{9572DB8E-49BF-44CF-8391-27D48E1A7714}"/>
            </a:ext>
          </a:extLst>
        </xdr:cNvPr>
        <xdr:cNvSpPr/>
      </xdr:nvSpPr>
      <xdr:spPr>
        <a:xfrm>
          <a:off x="14049375" y="4133851"/>
          <a:ext cx="2543175" cy="19716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0</xdr:rowOff>
    </xdr:from>
    <xdr:to>
      <xdr:col>15</xdr:col>
      <xdr:colOff>0</xdr:colOff>
      <xdr:row>54</xdr:row>
      <xdr:rowOff>0</xdr:rowOff>
    </xdr:to>
    <xdr:sp macro="" textlink="">
      <xdr:nvSpPr>
        <xdr:cNvPr id="57" name="Rectángulo 56">
          <a:extLst>
            <a:ext uri="{FF2B5EF4-FFF2-40B4-BE49-F238E27FC236}">
              <a16:creationId xmlns:a16="http://schemas.microsoft.com/office/drawing/2014/main" id="{54BA5969-FEFD-4195-AFFA-22CC4EA95123}"/>
            </a:ext>
          </a:extLst>
        </xdr:cNvPr>
        <xdr:cNvSpPr/>
      </xdr:nvSpPr>
      <xdr:spPr>
        <a:xfrm>
          <a:off x="7715250" y="769327"/>
          <a:ext cx="4872404" cy="770792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224588</xdr:colOff>
      <xdr:row>46</xdr:row>
      <xdr:rowOff>131886</xdr:rowOff>
    </xdr:from>
    <xdr:to>
      <xdr:col>11</xdr:col>
      <xdr:colOff>1699847</xdr:colOff>
      <xdr:row>50</xdr:row>
      <xdr:rowOff>139213</xdr:rowOff>
    </xdr:to>
    <xdr:sp macro="" textlink="">
      <xdr:nvSpPr>
        <xdr:cNvPr id="58" name="CuadroTexto 57">
          <a:extLst>
            <a:ext uri="{FF2B5EF4-FFF2-40B4-BE49-F238E27FC236}">
              <a16:creationId xmlns:a16="http://schemas.microsoft.com/office/drawing/2014/main" id="{B960E82A-B4D9-45B1-9784-A0CAECB01214}"/>
            </a:ext>
          </a:extLst>
        </xdr:cNvPr>
        <xdr:cNvSpPr txBox="1"/>
      </xdr:nvSpPr>
      <xdr:spPr>
        <a:xfrm>
          <a:off x="6738223" y="7378213"/>
          <a:ext cx="2391124"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461195</xdr:colOff>
      <xdr:row>51</xdr:row>
      <xdr:rowOff>26719</xdr:rowOff>
    </xdr:from>
    <xdr:to>
      <xdr:col>11</xdr:col>
      <xdr:colOff>99933</xdr:colOff>
      <xdr:row>52</xdr:row>
      <xdr:rowOff>144580</xdr:rowOff>
    </xdr:to>
    <xdr:pic>
      <xdr:nvPicPr>
        <xdr:cNvPr id="59" name="Imagen 58">
          <a:extLst>
            <a:ext uri="{FF2B5EF4-FFF2-40B4-BE49-F238E27FC236}">
              <a16:creationId xmlns:a16="http://schemas.microsoft.com/office/drawing/2014/main" id="{CE91B650-E879-46D2-A24F-41D5697B174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260580" y="8042373"/>
          <a:ext cx="268853" cy="271726"/>
        </a:xfrm>
        <a:prstGeom prst="rect">
          <a:avLst/>
        </a:prstGeom>
      </xdr:spPr>
    </xdr:pic>
    <xdr:clientData/>
  </xdr:twoCellAnchor>
  <xdr:twoCellAnchor editAs="oneCell">
    <xdr:from>
      <xdr:col>17</xdr:col>
      <xdr:colOff>51581</xdr:colOff>
      <xdr:row>28</xdr:row>
      <xdr:rowOff>21982</xdr:rowOff>
    </xdr:from>
    <xdr:to>
      <xdr:col>19</xdr:col>
      <xdr:colOff>7327</xdr:colOff>
      <xdr:row>38</xdr:row>
      <xdr:rowOff>135140</xdr:rowOff>
    </xdr:to>
    <xdr:pic>
      <xdr:nvPicPr>
        <xdr:cNvPr id="60" name="Imagen 59">
          <a:extLst>
            <a:ext uri="{FF2B5EF4-FFF2-40B4-BE49-F238E27FC236}">
              <a16:creationId xmlns:a16="http://schemas.microsoft.com/office/drawing/2014/main" id="{C6CEE3F6-A1DF-441B-A5E2-3E81EB24F74A}"/>
            </a:ext>
          </a:extLst>
        </xdr:cNvPr>
        <xdr:cNvPicPr>
          <a:picLocks noChangeAspect="1"/>
        </xdr:cNvPicPr>
      </xdr:nvPicPr>
      <xdr:blipFill>
        <a:blip xmlns:r="http://schemas.openxmlformats.org/officeDocument/2006/relationships" r:embed="rId15"/>
        <a:stretch>
          <a:fillRect/>
        </a:stretch>
      </xdr:blipFill>
      <xdr:spPr>
        <a:xfrm>
          <a:off x="14100956" y="4460632"/>
          <a:ext cx="1651195" cy="1634960"/>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37" name="CuadroTexto 36">
          <a:extLst>
            <a:ext uri="{FF2B5EF4-FFF2-40B4-BE49-F238E27FC236}">
              <a16:creationId xmlns:a16="http://schemas.microsoft.com/office/drawing/2014/main" id="{A7BC6E63-5B23-4877-B493-82B55872D86F}"/>
            </a:ext>
          </a:extLst>
        </xdr:cNvPr>
        <xdr:cNvSpPr txBox="1"/>
      </xdr:nvSpPr>
      <xdr:spPr>
        <a:xfrm>
          <a:off x="7047864" y="9239249"/>
          <a:ext cx="1964252" cy="167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10</xdr:col>
      <xdr:colOff>0</xdr:colOff>
      <xdr:row>47</xdr:row>
      <xdr:rowOff>0</xdr:rowOff>
    </xdr:from>
    <xdr:to>
      <xdr:col>14</xdr:col>
      <xdr:colOff>762000</xdr:colOff>
      <xdr:row>53</xdr:row>
      <xdr:rowOff>153864</xdr:rowOff>
    </xdr:to>
    <xdr:sp macro="" textlink="">
      <xdr:nvSpPr>
        <xdr:cNvPr id="50" name="Rectángulo 49">
          <a:extLst>
            <a:ext uri="{FF2B5EF4-FFF2-40B4-BE49-F238E27FC236}">
              <a16:creationId xmlns:a16="http://schemas.microsoft.com/office/drawing/2014/main" id="{30A2486B-D065-4900-82AB-9BD6EA2FAAA7}"/>
            </a:ext>
          </a:extLst>
        </xdr:cNvPr>
        <xdr:cNvSpPr/>
      </xdr:nvSpPr>
      <xdr:spPr>
        <a:xfrm>
          <a:off x="6799385" y="7400192"/>
          <a:ext cx="4872403"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5.xml><?xml version="1.0" encoding="utf-8"?>
<c:userShapes xmlns:c="http://schemas.openxmlformats.org/drawingml/2006/chart">
  <cdr:relSizeAnchor xmlns:cdr="http://schemas.openxmlformats.org/drawingml/2006/chartDrawing">
    <cdr:from>
      <cdr:x>0.22299</cdr:x>
      <cdr:y>0</cdr:y>
    </cdr:from>
    <cdr:to>
      <cdr:x>0.34228</cdr:x>
      <cdr:y>0.14146</cdr:y>
    </cdr:to>
    <cdr:sp macro="" textlink="ago!$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92,75</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13,76</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44">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78,99</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14,8%</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0.13147</cdr:y>
    </cdr:from>
    <cdr:to>
      <cdr:x>0.67526</cdr:x>
      <cdr:y>0.22409</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0" y="343876"/>
          <a:ext cx="959827" cy="24227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0.55957</cdr:x>
      <cdr:y>0.11746</cdr:y>
    </cdr:from>
    <cdr:to>
      <cdr:x>0.97423</cdr:x>
      <cdr:y>0.22462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95391" y="307243"/>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t>74,48</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17.xml><?xml version="1.0" encoding="utf-8"?>
<xdr:wsDr xmlns:xdr="http://schemas.openxmlformats.org/drawingml/2006/spreadsheetDrawing" xmlns:a="http://schemas.openxmlformats.org/drawingml/2006/main">
  <xdr:twoCellAnchor>
    <xdr:from>
      <xdr:col>4</xdr:col>
      <xdr:colOff>414130</xdr:colOff>
      <xdr:row>4</xdr:row>
      <xdr:rowOff>66261</xdr:rowOff>
    </xdr:from>
    <xdr:to>
      <xdr:col>5</xdr:col>
      <xdr:colOff>372717</xdr:colOff>
      <xdr:row>5</xdr:row>
      <xdr:rowOff>16565</xdr:rowOff>
    </xdr:to>
    <xdr:sp macro="" textlink="">
      <xdr:nvSpPr>
        <xdr:cNvPr id="2" name="Rectángulo 1">
          <a:extLst>
            <a:ext uri="{FF2B5EF4-FFF2-40B4-BE49-F238E27FC236}">
              <a16:creationId xmlns:a16="http://schemas.microsoft.com/office/drawing/2014/main" id="{00000000-0008-0000-0900-000002000000}"/>
            </a:ext>
          </a:extLst>
        </xdr:cNvPr>
        <xdr:cNvSpPr/>
      </xdr:nvSpPr>
      <xdr:spPr>
        <a:xfrm>
          <a:off x="2252869" y="505239"/>
          <a:ext cx="1524000" cy="149087"/>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563218</xdr:colOff>
      <xdr:row>23</xdr:row>
      <xdr:rowOff>111615</xdr:rowOff>
    </xdr:from>
    <xdr:to>
      <xdr:col>22</xdr:col>
      <xdr:colOff>563217</xdr:colOff>
      <xdr:row>24</xdr:row>
      <xdr:rowOff>99390</xdr:rowOff>
    </xdr:to>
    <xdr:sp macro="" textlink="">
      <xdr:nvSpPr>
        <xdr:cNvPr id="3" name="Rectángulo 2">
          <a:extLst>
            <a:ext uri="{FF2B5EF4-FFF2-40B4-BE49-F238E27FC236}">
              <a16:creationId xmlns:a16="http://schemas.microsoft.com/office/drawing/2014/main" id="{00000000-0008-0000-0900-000003000000}"/>
            </a:ext>
          </a:extLst>
        </xdr:cNvPr>
        <xdr:cNvSpPr/>
      </xdr:nvSpPr>
      <xdr:spPr>
        <a:xfrm>
          <a:off x="15273131" y="3466072"/>
          <a:ext cx="1523999" cy="13686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9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94422</xdr:colOff>
      <xdr:row>29</xdr:row>
      <xdr:rowOff>22166</xdr:rowOff>
    </xdr:from>
    <xdr:to>
      <xdr:col>26</xdr:col>
      <xdr:colOff>190500</xdr:colOff>
      <xdr:row>30</xdr:row>
      <xdr:rowOff>16564</xdr:rowOff>
    </xdr:to>
    <xdr:sp macro="" textlink="">
      <xdr:nvSpPr>
        <xdr:cNvPr id="5" name="Rectángulo 4">
          <a:extLst>
            <a:ext uri="{FF2B5EF4-FFF2-40B4-BE49-F238E27FC236}">
              <a16:creationId xmlns:a16="http://schemas.microsoft.com/office/drawing/2014/main" id="{00000000-0008-0000-0900-000005000000}"/>
            </a:ext>
          </a:extLst>
        </xdr:cNvPr>
        <xdr:cNvSpPr/>
      </xdr:nvSpPr>
      <xdr:spPr>
        <a:xfrm>
          <a:off x="14804335" y="4271144"/>
          <a:ext cx="4668078" cy="143485"/>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1</xdr:row>
      <xdr:rowOff>151086</xdr:rowOff>
    </xdr:from>
    <xdr:to>
      <xdr:col>17</xdr:col>
      <xdr:colOff>114300</xdr:colOff>
      <xdr:row>35</xdr:row>
      <xdr:rowOff>151086</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154042</xdr:colOff>
      <xdr:row>1</xdr:row>
      <xdr:rowOff>151086</xdr:rowOff>
    </xdr:from>
    <xdr:to>
      <xdr:col>22</xdr:col>
      <xdr:colOff>630292</xdr:colOff>
      <xdr:row>35</xdr:row>
      <xdr:rowOff>151086</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346292" y="303486"/>
              <a:ext cx="4286250" cy="518160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17</xdr:col>
      <xdr:colOff>667407</xdr:colOff>
      <xdr:row>8</xdr:row>
      <xdr:rowOff>97221</xdr:rowOff>
    </xdr:from>
    <xdr:to>
      <xdr:col>19</xdr:col>
      <xdr:colOff>162582</xdr:colOff>
      <xdr:row>11</xdr:row>
      <xdr:rowOff>106746</xdr:rowOff>
    </xdr:to>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14856373" y="1305911"/>
          <a:ext cx="1019175" cy="462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Narrow" panose="020B0606020202030204" pitchFamily="34" charset="0"/>
            </a:rPr>
            <a:t>zona</a:t>
          </a:r>
          <a:r>
            <a:rPr lang="es-ES" sz="1100" baseline="0">
              <a:latin typeface="Arial Narrow" panose="020B0606020202030204" pitchFamily="34" charset="0"/>
            </a:rPr>
            <a:t> </a:t>
          </a:r>
        </a:p>
        <a:p>
          <a:pPr algn="ctr"/>
          <a:r>
            <a:rPr lang="es-ES" sz="1100" baseline="0">
              <a:latin typeface="Arial Narrow" panose="020B0606020202030204" pitchFamily="34" charset="0"/>
            </a:rPr>
            <a:t>StarPower</a:t>
          </a:r>
          <a:endParaRPr lang="es-ES" sz="1100">
            <a:latin typeface="Arial Narrow" panose="020B0606020202030204" pitchFamily="34" charset="0"/>
          </a:endParaRPr>
        </a:p>
      </xdr:txBody>
    </xdr:sp>
    <xdr:clientData/>
  </xdr:twoCellAnchor>
  <xdr:twoCellAnchor>
    <xdr:from>
      <xdr:col>18</xdr:col>
      <xdr:colOff>219075</xdr:colOff>
      <xdr:row>11</xdr:row>
      <xdr:rowOff>28247</xdr:rowOff>
    </xdr:from>
    <xdr:to>
      <xdr:col>18</xdr:col>
      <xdr:colOff>590550</xdr:colOff>
      <xdr:row>15</xdr:row>
      <xdr:rowOff>9197</xdr:rowOff>
    </xdr:to>
    <xdr:sp macro="" textlink="">
      <xdr:nvSpPr>
        <xdr:cNvPr id="12" name="Flecha: arriba y abajo 11">
          <a:extLst>
            <a:ext uri="{FF2B5EF4-FFF2-40B4-BE49-F238E27FC236}">
              <a16:creationId xmlns:a16="http://schemas.microsoft.com/office/drawing/2014/main" id="{00000000-0008-0000-0A00-00000C000000}"/>
            </a:ext>
          </a:extLst>
        </xdr:cNvPr>
        <xdr:cNvSpPr/>
      </xdr:nvSpPr>
      <xdr:spPr>
        <a:xfrm>
          <a:off x="15170041" y="1690195"/>
          <a:ext cx="371475" cy="585295"/>
        </a:xfrm>
        <a:prstGeom prst="upDownArrow">
          <a:avLst>
            <a:gd name="adj1" fmla="val 50000"/>
            <a:gd name="adj2" fmla="val 37180"/>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9.xml><?xml version="1.0" encoding="utf-8"?>
<c:userShapes xmlns:c="http://schemas.openxmlformats.org/drawingml/2006/chart">
  <cdr:relSizeAnchor xmlns:cdr="http://schemas.openxmlformats.org/drawingml/2006/chartDrawing">
    <cdr:from>
      <cdr:x>0.76842</cdr:x>
      <cdr:y>0.25057</cdr:y>
    </cdr:from>
    <cdr:to>
      <cdr:x>0.84231</cdr:x>
      <cdr:y>0.87468</cdr:y>
    </cdr:to>
    <cdr:sp macro="" textlink="">
      <cdr:nvSpPr>
        <cdr:cNvPr id="2" name="Forma libre: forma 1">
          <a:extLst xmlns:a="http://schemas.openxmlformats.org/drawingml/2006/main">
            <a:ext uri="{FF2B5EF4-FFF2-40B4-BE49-F238E27FC236}">
              <a16:creationId xmlns:a16="http://schemas.microsoft.com/office/drawing/2014/main" id="{594FAAD6-8B62-3579-B17D-F3EE9A3A073B}"/>
            </a:ext>
          </a:extLst>
        </cdr:cNvPr>
        <cdr:cNvSpPr/>
      </cdr:nvSpPr>
      <cdr:spPr>
        <a:xfrm xmlns:a="http://schemas.openxmlformats.org/drawingml/2006/main">
          <a:off x="5943162" y="1287167"/>
          <a:ext cx="571500" cy="3206006"/>
        </a:xfrm>
        <a:custGeom xmlns:a="http://schemas.openxmlformats.org/drawingml/2006/main">
          <a:avLst/>
          <a:gdLst>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552450 w 1171575"/>
            <a:gd name="connsiteY5" fmla="*/ 66675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16769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37662 w 1171575"/>
            <a:gd name="connsiteY5" fmla="*/ 150388 h 1885950"/>
            <a:gd name="connsiteX6" fmla="*/ 9525 w 1171575"/>
            <a:gd name="connsiteY6" fmla="*/ 0 h 1885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1575" h="1885950">
              <a:moveTo>
                <a:pt x="9525" y="0"/>
              </a:moveTo>
              <a:lnTo>
                <a:pt x="0" y="1885950"/>
              </a:lnTo>
              <a:lnTo>
                <a:pt x="1171575" y="1885950"/>
              </a:lnTo>
              <a:lnTo>
                <a:pt x="1171575" y="695325"/>
              </a:lnTo>
              <a:lnTo>
                <a:pt x="738664" y="408222"/>
              </a:lnTo>
              <a:lnTo>
                <a:pt x="337662" y="150388"/>
              </a:lnTo>
              <a:lnTo>
                <a:pt x="9525" y="0"/>
              </a:lnTo>
              <a:close/>
            </a:path>
          </a:pathLst>
        </a:custGeom>
        <a:solidFill xmlns:a="http://schemas.openxmlformats.org/drawingml/2006/main">
          <a:srgbClr val="92D050">
            <a:alpha val="54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s-ES" sz="1100"/>
        </a:p>
      </cdr:txBody>
    </cdr:sp>
  </cdr:relSizeAnchor>
  <cdr:relSizeAnchor xmlns:cdr="http://schemas.openxmlformats.org/drawingml/2006/chartDrawing">
    <cdr:from>
      <cdr:x>0.73933</cdr:x>
      <cdr:y>0.57286</cdr:y>
    </cdr:from>
    <cdr:to>
      <cdr:x>0.8711</cdr:x>
      <cdr:y>0.66479</cdr:y>
    </cdr:to>
    <cdr:sp macro="" textlink="">
      <cdr:nvSpPr>
        <cdr:cNvPr id="3" name="CuadroTexto 8">
          <a:extLst xmlns:a="http://schemas.openxmlformats.org/drawingml/2006/main">
            <a:ext uri="{FF2B5EF4-FFF2-40B4-BE49-F238E27FC236}">
              <a16:creationId xmlns:a16="http://schemas.microsoft.com/office/drawing/2014/main" id="{A5EF6D38-C860-44C8-A141-84399A43D0A1}"/>
            </a:ext>
          </a:extLst>
        </cdr:cNvPr>
        <cdr:cNvSpPr txBox="1"/>
      </cdr:nvSpPr>
      <cdr:spPr>
        <a:xfrm xmlns:a="http://schemas.openxmlformats.org/drawingml/2006/main">
          <a:off x="5718175" y="2908300"/>
          <a:ext cx="1019175" cy="4667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ES" sz="1100">
              <a:latin typeface="Arial Narrow" panose="020B0606020202030204" pitchFamily="34" charset="0"/>
            </a:rPr>
            <a:t>zona</a:t>
          </a:r>
          <a:r>
            <a:rPr lang="es-ES" sz="1100" baseline="0">
              <a:latin typeface="Arial Narrow" panose="020B0606020202030204" pitchFamily="34" charset="0"/>
            </a:rPr>
            <a:t> </a:t>
          </a:r>
        </a:p>
        <a:p xmlns:a="http://schemas.openxmlformats.org/drawingml/2006/main">
          <a:pPr algn="ctr"/>
          <a:r>
            <a:rPr lang="es-ES" sz="1100" baseline="0">
              <a:latin typeface="Arial Narrow" panose="020B0606020202030204" pitchFamily="34" charset="0"/>
            </a:rPr>
            <a:t>StarPower</a:t>
          </a:r>
          <a:endParaRPr lang="es-ES" sz="1100">
            <a:latin typeface="Arial Narrow" panose="020B0606020202030204" pitchFamily="34" charset="0"/>
          </a:endParaRPr>
        </a:p>
      </cdr:txBody>
    </cdr:sp>
  </cdr:relSizeAnchor>
  <cdr:relSizeAnchor xmlns:cdr="http://schemas.openxmlformats.org/drawingml/2006/chartDrawing">
    <cdr:from>
      <cdr:x>0.65681</cdr:x>
      <cdr:y>0.74359</cdr:y>
    </cdr:from>
    <cdr:to>
      <cdr:x>0.75903</cdr:x>
      <cdr:y>0.78487</cdr:y>
    </cdr:to>
    <cdr:sp macro="" textlink="">
      <cdr:nvSpPr>
        <cdr:cNvPr id="4" name="CuadroTexto 3">
          <a:extLst xmlns:a="http://schemas.openxmlformats.org/drawingml/2006/main">
            <a:ext uri="{FF2B5EF4-FFF2-40B4-BE49-F238E27FC236}">
              <a16:creationId xmlns:a16="http://schemas.microsoft.com/office/drawing/2014/main" id="{9C73842D-51C3-9480-0D55-44DCF3663E55}"/>
            </a:ext>
          </a:extLst>
        </cdr:cNvPr>
        <cdr:cNvSpPr txBox="1"/>
      </cdr:nvSpPr>
      <cdr:spPr>
        <a:xfrm xmlns:a="http://schemas.openxmlformats.org/drawingml/2006/main">
          <a:off x="5080000" y="3775075"/>
          <a:ext cx="790575" cy="2095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1100">
              <a:latin typeface="Arial Narrow" panose="020B0606020202030204" pitchFamily="34" charset="0"/>
            </a:rPr>
            <a:t>mediana</a:t>
          </a:r>
        </a:p>
      </cdr:txBody>
    </cdr:sp>
  </cdr:relSizeAnchor>
</c:userShapes>
</file>

<file path=xl/drawings/drawing20.xml><?xml version="1.0" encoding="utf-8"?>
<xdr:wsDr xmlns:xdr="http://schemas.openxmlformats.org/drawingml/2006/spreadsheetDrawing" xmlns:a="http://schemas.openxmlformats.org/drawingml/2006/main">
  <xdr:twoCellAnchor>
    <xdr:from>
      <xdr:col>12</xdr:col>
      <xdr:colOff>571500</xdr:colOff>
      <xdr:row>7</xdr:row>
      <xdr:rowOff>28572</xdr:rowOff>
    </xdr:from>
    <xdr:to>
      <xdr:col>30</xdr:col>
      <xdr:colOff>609600</xdr:colOff>
      <xdr:row>69</xdr:row>
      <xdr:rowOff>114299</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266700</xdr:colOff>
      <xdr:row>92</xdr:row>
      <xdr:rowOff>57150</xdr:rowOff>
    </xdr:from>
    <xdr:to>
      <xdr:col>30</xdr:col>
      <xdr:colOff>442595</xdr:colOff>
      <xdr:row>104</xdr:row>
      <xdr:rowOff>23495</xdr:rowOff>
    </xdr:to>
    <xdr:sp macro="" textlink="">
      <xdr:nvSpPr>
        <xdr:cNvPr id="3" name="Cuadro de texto 1">
          <a:extLst>
            <a:ext uri="{FF2B5EF4-FFF2-40B4-BE49-F238E27FC236}">
              <a16:creationId xmlns:a16="http://schemas.microsoft.com/office/drawing/2014/main" id="{00000000-0008-0000-0D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21.xml><?xml version="1.0" encoding="utf-8"?>
<c:userShapes xmlns:c="http://schemas.openxmlformats.org/drawingml/2006/chart">
  <cdr:relSizeAnchor xmlns:cdr="http://schemas.openxmlformats.org/drawingml/2006/chartDrawing">
    <cdr:from>
      <cdr:x>0.03858</cdr:x>
      <cdr:y>0.01982</cdr:y>
    </cdr:from>
    <cdr:to>
      <cdr:x>0.67405</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64488" y="177307"/>
          <a:ext cx="7650812" cy="561623"/>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T$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6 mejores resultados hasta el 31 de julio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0.62237</cdr:x>
      <cdr:y>0.38332</cdr:y>
    </cdr:from>
    <cdr:to>
      <cdr:x>0.93002</cdr:x>
      <cdr:y>0.51072</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7493033" y="3429166"/>
          <a:ext cx="3704045" cy="1139706"/>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22.xml><?xml version="1.0" encoding="utf-8"?>
<xdr:wsDr xmlns:xdr="http://schemas.openxmlformats.org/drawingml/2006/spreadsheetDrawing" xmlns:a="http://schemas.openxmlformats.org/drawingml/2006/main">
  <xdr:twoCellAnchor>
    <xdr:from>
      <xdr:col>11</xdr:col>
      <xdr:colOff>114300</xdr:colOff>
      <xdr:row>2</xdr:row>
      <xdr:rowOff>28574</xdr:rowOff>
    </xdr:from>
    <xdr:to>
      <xdr:col>27</xdr:col>
      <xdr:colOff>695325</xdr:colOff>
      <xdr:row>61</xdr:row>
      <xdr:rowOff>123825</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T$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6 mejores resultados hasta el 31 de julio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ut"/>
      <sheetName val="ratios"/>
      <sheetName val="TEC_mes"/>
      <sheetName val="horas_TEC_dia"/>
      <sheetName val="datos"/>
      <sheetName val="omie_dinamic_dia"/>
      <sheetName val="curva_precios_tec_sp2024"/>
      <sheetName val="curva_precios_tec_NO"/>
      <sheetName val="curva_precios_tec"/>
      <sheetName val="precios_tec_evol"/>
      <sheetName val="demanda"/>
      <sheetName val="om seg"/>
      <sheetName val="om prev"/>
      <sheetName val="omie_tec"/>
      <sheetName val="omie_dinamic_mes"/>
      <sheetName val="gas"/>
      <sheetName val="co2"/>
      <sheetName val="omie"/>
      <sheetName val="gen PBF"/>
      <sheetName val="gen PBF solar"/>
      <sheetName val="apunt_solar"/>
      <sheetName val="Hoja2"/>
    </sheetNames>
    <sheetDataSet>
      <sheetData sheetId="0"/>
      <sheetData sheetId="1"/>
      <sheetData sheetId="2"/>
      <sheetData sheetId="3"/>
      <sheetData sheetId="4"/>
      <sheetData sheetId="5">
        <row r="2">
          <cell r="G2">
            <v>5</v>
          </cell>
        </row>
        <row r="9">
          <cell r="AE9">
            <v>1</v>
          </cell>
        </row>
        <row r="10">
          <cell r="W10" t="str">
            <v>flecha</v>
          </cell>
          <cell r="AE10">
            <v>1</v>
          </cell>
        </row>
        <row r="11">
          <cell r="W11" t="str">
            <v>inicio</v>
          </cell>
          <cell r="X11">
            <v>0</v>
          </cell>
          <cell r="Y11">
            <v>0</v>
          </cell>
          <cell r="AE11">
            <v>1</v>
          </cell>
        </row>
        <row r="12">
          <cell r="W12" t="str">
            <v>final</v>
          </cell>
          <cell r="X12">
            <v>0.49818510533949073</v>
          </cell>
          <cell r="Y12">
            <v>0.86707070116449014</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-0.91269158740350276</v>
          </cell>
          <cell r="AC21">
            <v>0.40864907473634904</v>
          </cell>
        </row>
        <row r="37">
          <cell r="X37">
            <v>0</v>
          </cell>
          <cell r="Y37">
            <v>0</v>
          </cell>
        </row>
        <row r="38">
          <cell r="X38">
            <v>0.97858090432547218</v>
          </cell>
          <cell r="Y38">
            <v>-0.20586260876988119</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0"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4" xr16:uid="{BFFF6891-1C40-41D2-9A82-DD1CBFBFCF1A}" autoFormatId="16" applyNumberFormats="0" applyBorderFormats="0" applyFontFormats="0" applyPatternFormats="0" applyAlignmentFormats="0" applyWidthHeightFormats="0">
  <queryTableRefresh nextId="15">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14"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5"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19"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21"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6"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6"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28"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growShrinkType="overwriteClear" adjustColumnWidth="0" connectionId="24"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8" growShrinkType="overwriteClear" adjustColumnWidth="0" connectionId="23" xr16:uid="{7F11ED40-F569-4516-B14E-0B094BD398BC}"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9" connectionId="18" xr16:uid="{0A760252-5EEA-4EAB-92D3-30248BCF95F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0"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2"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7"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1"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7"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9"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2"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9540789C-6113-43F8-8C6D-E2C8239642E9}"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13A37737-55AE-4063-BF09-19FA7962EA51}"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4"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42"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41"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43"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35" xr16:uid="{BC9603E9-8E45-4DA1-9F50-CC13BF30F243}"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6"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39"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3"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40"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6" connectionId="38"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14" unboundColumnsRight="3">
    <queryTableFields count="12">
      <queryTableField id="1" name="Nombre " tableColumnId="5"/>
      <queryTableField id="2" name="Ene 2024" tableColumnId="2"/>
      <queryTableField id="3" name="Feb 2024" tableColumnId="3"/>
      <queryTableField id="4" name="Mar 2024" tableColumnId="4"/>
      <queryTableField id="7" name="Abr 2024" tableColumnId="7"/>
      <queryTableField id="10" name="May 2024" tableColumnId="10"/>
      <queryTableField id="11" name="Jun 2024" tableColumnId="1"/>
      <queryTableField id="12" name="Jul 2024" tableColumnId="11"/>
      <queryTableField id="13" name="Ago 2024" tableColumnId="12"/>
      <queryTableField id="8" dataBound="0" tableColumnId="8"/>
      <queryTableField id="5" dataBound="0" tableColumnId="6"/>
      <queryTableField id="9" dataBound="0" tableColumnId="9"/>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4" unboundColumnsRight="2">
    <queryTableFields count="10">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3" name="Jul 2024" tableColumnId="1"/>
      <queryTableField id="10" dataBound="0" tableColumnId="11"/>
      <queryTableField id="5" dataBound="0" tableColumnId="6"/>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atosExternos_1" connectionId="3" xr16:uid="{B8BB58AF-68F5-4AF6-82BD-78605C9BECF7}" autoFormatId="16" applyNumberFormats="0" applyBorderFormats="0" applyFontFormats="0" applyPatternFormats="0" applyAlignmentFormats="0" applyWidthHeightFormats="0">
  <queryTableRefresh nextId="7" unboundColumnsRight="1">
    <queryTableFields count="6">
      <queryTableField id="1" name="Nombre " tableColumnId="5"/>
      <queryTableField id="2" name="Ene 2024" tableColumnId="2"/>
      <queryTableField id="3" name="Feb 2024" tableColumnId="3"/>
      <queryTableField id="4" name="Mar 2024" tableColumnId="4"/>
      <queryTableField id="6" name="Abr 2024" tableColumnId="7"/>
      <queryTableField id="5" dataBound="0" tableColumnId="6"/>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atosExternos_1" connectionId="30"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334" tableType="queryTable" totalsRowShown="0">
  <autoFilter ref="A1:H334"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EB39C885-09BB-4BDE-8F6D-885260533224}" uniqueName="8" name="Nick (o nombre corto)" queryTableFieldId="14" dataDxfId="8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217"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239"/>
    <tableColumn id="3" xr3:uid="{3861983E-9572-444C-947C-E7D57298824B}" uniqueName="3" name="valor" queryTableFieldId="3" dataDxfId="23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237"/>
    <tableColumn id="4" xr3:uid="{0C82DB85-0579-4D6B-8D4B-97B2C42C2143}" uniqueName="4" name="valor" queryTableFieldId="4" dataDxfId="23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235"/>
    <tableColumn id="3" xr3:uid="{5803D351-2AA9-49F6-B78D-A534B1C937AC}" uniqueName="3" name="valor" queryTableFieldId="3" dataDxfId="23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tableColumns count="2">
    <tableColumn id="3" xr3:uid="{4B7C16BC-1A11-41A4-BAFD-48611CAE3010}" uniqueName="3" name="fecha" queryTableFieldId="1" dataDxfId="233"/>
    <tableColumn id="2" xr3:uid="{DF3CB2F5-3FE0-469D-802E-73C3788B7999}" uniqueName="2" name="valor" queryTableFieldId="2" dataDxfId="23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231" dataDxfId="230">
  <tableColumns count="2">
    <tableColumn id="3" xr3:uid="{958CB32F-1519-4445-A7B6-7A507919C51D}" uniqueName="3" name="fecha" queryTableFieldId="1" dataDxfId="229"/>
    <tableColumn id="2" xr3:uid="{2E071D30-423C-42F3-9B58-84AE7F983B6F}" uniqueName="2" name="valor" queryTableFieldId="2" dataDxfId="228"/>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34" tableType="queryTable" totalsRowShown="0" headerRowDxfId="227" dataDxfId="226">
  <tableColumns count="2">
    <tableColumn id="3" xr3:uid="{D412FE74-06AC-4C73-A25E-1825DDE9DDF2}" uniqueName="3" name="fecha" queryTableFieldId="1" dataDxfId="225"/>
    <tableColumn id="2" xr3:uid="{1BC2D732-1DC6-47E5-B808-0EEEB12A5F4D}" uniqueName="2" name="valor" queryTableFieldId="2" dataDxfId="22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916822B-2CD6-4191-BD00-7176B460DA84}" name="omie_julio" displayName="omie_julio" ref="V4:W35" tableType="queryTable" totalsRowShown="0" headerRowDxfId="223">
  <tableColumns count="2">
    <tableColumn id="3" xr3:uid="{17EFC80D-C413-4738-91A8-6E4A15C3F558}" uniqueName="3" name="fecha" queryTableFieldId="1" dataDxfId="222"/>
    <tableColumn id="2" xr3:uid="{D8674625-135B-44E6-BB4A-DC53C2AFB103}" uniqueName="2" name="valor" queryTableFieldId="2" dataDxfId="22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9377613-B51C-4219-8259-5EF82D06C914}" name="omie_agosto" displayName="omie_agosto" ref="Y4:Z9" tableType="queryTable" totalsRowShown="0">
  <autoFilter ref="Y4:Z9" xr:uid="{49377613-B51C-4219-8259-5EF82D06C914}"/>
  <tableColumns count="2">
    <tableColumn id="3" xr3:uid="{21620963-A071-4312-9C8C-2E8DF23C68B9}" uniqueName="3" name="fecha" queryTableFieldId="1" dataDxfId="117"/>
    <tableColumn id="2" xr3:uid="{49228BEA-DA9C-414C-9DC1-6E94566A29D3}" uniqueName="2" name="valor" queryTableFieldId="2" dataDxfId="116"/>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220">
      <calculatedColumnFormula>apuestas_ene24[[#This Row],[Apuesta Miniporra]]-$B$3</calculatedColumnFormula>
    </tableColumn>
    <tableColumn id="8" xr3:uid="{5839308A-FF43-4FE6-994A-69FC2FBFD373}" uniqueName="8" name="desvio %" queryTableFieldId="8" dataDxfId="219"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218"/>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217"/>
    <tableColumn id="2" xr3:uid="{112BE060-2A41-4409-AC9E-4B10C5D827B0}" uniqueName="2" name="€/MWh" queryTableFieldId="2" dataDxfId="21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215"/>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214">
      <calculatedColumnFormula>apuestas_feb24[[#This Row],[Apuesta Miniporra]]-$B$3</calculatedColumnFormula>
    </tableColumn>
    <tableColumn id="8" xr3:uid="{81DC3DE0-9675-4AB8-94EE-E87E41FFB9E2}" uniqueName="8" name="desvio %" queryTableFieldId="8" dataDxfId="213"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212"/>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211"/>
    <tableColumn id="2" xr3:uid="{63125885-0138-47A5-A14A-5B38B8782CBD}" uniqueName="2" name="€/MWh" queryTableFieldId="2" dataDxfId="210"/>
  </tableColumns>
  <tableStyleInfo name="TableStyleMedium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209"/>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208">
      <calculatedColumnFormula>apuestas_mar24[[#This Row],[Apuesta Miniporra]]-$B$3</calculatedColumnFormula>
    </tableColumn>
    <tableColumn id="8" xr3:uid="{EEC73F00-D21C-421E-9E94-1D3BF5D79A01}" uniqueName="8" name="desvio %" queryTableFieldId="7" dataDxfId="207"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206"/>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205"/>
    <tableColumn id="2" xr3:uid="{7DFE6567-AD6C-4D7F-9DE9-A9257B71CA31}" uniqueName="2" name="€/MWh" queryTableFieldId="2" dataDxfId="204"/>
  </tableColumns>
  <tableStyleInfo name="TableStyleMedium10"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203"/>
    <tableColumn id="2" xr3:uid="{63CC34E9-E87C-4C59-918A-26E8527564EE}" uniqueName="2" name="Nombre" queryTableFieldId="2" dataDxfId="202"/>
    <tableColumn id="3" xr3:uid="{D5309798-70CB-45EE-B7CE-DC81AAD9AF3E}" uniqueName="3" name="Apuesta Miniporra" queryTableFieldId="3" dataDxfId="201"/>
    <tableColumn id="4" xr3:uid="{6D244967-2AD4-4F80-AA3B-75E23E623EFF}" uniqueName="4" name="Comentario opcional sobre el mes (a ver si hay algún razonamiento, o pura potra!)" queryTableFieldId="4" dataDxfId="200"/>
    <tableColumn id="5" xr3:uid="{C7C1000D-440B-453E-A51D-A3D4A385C5DE}" uniqueName="5" name="Nick" queryTableFieldId="5" dataDxfId="199"/>
    <tableColumn id="7" xr3:uid="{DAE7AFD6-9B39-445C-950A-CA2CE06CADF7}" uniqueName="7" name="desvio" queryTableFieldId="6" dataDxfId="198">
      <calculatedColumnFormula>apuestas_abr24[[#This Row],[Apuesta Miniporra]]-$B$3</calculatedColumnFormula>
    </tableColumn>
    <tableColumn id="8" xr3:uid="{A30B4056-BA32-4443-9D36-347085E457DB}" uniqueName="8" name="desvio %" queryTableFieldId="7" dataDxfId="197" dataCellStyle="Porcentaje">
      <calculatedColumnFormula>ABS(apuestas_abr24[[#This Row],[desvio]])/$B$3</calculatedColumnFormula>
    </tableColumn>
    <tableColumn id="9" xr3:uid="{A5092CA8-C510-4F02-93C3-3191A125BC94}" uniqueName="9" name="orden" queryTableFieldId="8" dataDxfId="196">
      <calculatedColumnFormula>_xlfn.RANK.EQ(apuestas_abr24[[#This Row],[desvio %]],apuestas_abr24[desvio %],1)</calculatedColumnFormula>
    </tableColumn>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195"/>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194">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193"/>
    <tableColumn id="2" xr3:uid="{6221ADDE-CB24-4A6A-96BA-57541B44C061}" uniqueName="2" name="€/MWh" queryTableFieldId="2" dataDxfId="192"/>
  </tableColumns>
  <tableStyleInfo name="TableStyleMedium10"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191"/>
    <tableColumn id="2" xr3:uid="{B5F7B107-5DDF-4C32-8615-14256617EF80}" uniqueName="2" name="Nombre" queryTableFieldId="2" dataDxfId="190"/>
    <tableColumn id="3" xr3:uid="{9A9D4B3D-3CA1-488F-B979-8F3D3E7E0FA3}" uniqueName="3" name="Apuesta Miniporra" queryTableFieldId="3" dataDxfId="189"/>
    <tableColumn id="4" xr3:uid="{4C308168-16E2-4D1E-A900-60D706F4AFE9}" uniqueName="4" name="Comentario opcional sobre el mes (a ver si hay algún razonamiento, o pura potra!)" queryTableFieldId="4" dataDxfId="188"/>
    <tableColumn id="5" xr3:uid="{194CBFA1-FDCF-4266-AAB7-44FFFA28F384}" uniqueName="5" name="Nick" queryTableFieldId="5" dataDxfId="187"/>
    <tableColumn id="7" xr3:uid="{51F8B782-841B-4580-B595-E4DC3B0D5138}" uniqueName="7" name="desvio" queryTableFieldId="6" dataDxfId="186">
      <calculatedColumnFormula>apuestas_may24[[#This Row],[Apuesta Miniporra]]-$B$3</calculatedColumnFormula>
    </tableColumn>
    <tableColumn id="8" xr3:uid="{313F1E8F-57D2-4E48-BCD1-079F75DE6779}" uniqueName="8" name="desvio %" queryTableFieldId="7" dataDxfId="185" dataCellStyle="Porcentaje">
      <calculatedColumnFormula>ABS(apuestas_may24[[#This Row],[desvio]])/$B$3</calculatedColumnFormula>
    </tableColumn>
    <tableColumn id="9" xr3:uid="{777E69ED-5E6E-476B-8031-58AFB11670EF}" uniqueName="9" name="orden" queryTableFieldId="8" dataDxfId="184">
      <calculatedColumnFormula>_xlfn.RANK.EQ(apuestas_may24[[#This Row],[desvio %]],apuestas_may24[desvio %],1)</calculatedColumn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183"/>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182">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181"/>
    <tableColumn id="2" xr3:uid="{0862D624-82CA-418C-8D1D-90D12B43D2C0}" uniqueName="2" name="Nombre" queryTableFieldId="2" dataDxfId="180"/>
    <tableColumn id="3" xr3:uid="{6D8DD44C-F12E-40C3-8FBC-3D50B196D54D}" uniqueName="3" name="Apuesta Miniporra" queryTableFieldId="3" dataDxfId="85"/>
    <tableColumn id="4" xr3:uid="{FBD7911B-6AA1-49D9-9D70-654CAC54530E}" uniqueName="4" name="Comentario opcional sobre el mes (a ver si hay algún razonamiento, o pura potra!)" queryTableFieldId="4" dataDxfId="179"/>
    <tableColumn id="5" xr3:uid="{FD3DBE29-3F14-4282-A720-773697844872}" uniqueName="5" name="Nick" queryTableFieldId="5" dataDxfId="178"/>
    <tableColumn id="7" xr3:uid="{76267DB3-4E70-4246-A439-DA7D5371FE83}" uniqueName="7" name="desvio" queryTableFieldId="6" dataDxfId="84">
      <calculatedColumnFormula>apuestas_jun24[[#This Row],[Apuesta Miniporra]]-$B$3</calculatedColumnFormula>
    </tableColumn>
    <tableColumn id="8" xr3:uid="{CC4EF30D-60B5-4DEE-8EA7-837A39EFC2B6}" uniqueName="8" name="desvio %" queryTableFieldId="7" dataDxfId="83" dataCellStyle="Porcentaje">
      <calculatedColumnFormula>ABS(apuestas_jun24[[#This Row],[desvio]])/$B$3</calculatedColumnFormula>
    </tableColumn>
    <tableColumn id="9" xr3:uid="{6DD54322-AA0F-4AB5-AD49-29681F0B3307}" uniqueName="9" name="orden" queryTableFieldId="8" dataDxfId="82">
      <calculatedColumnFormula>_xlfn.RANK.EQ(apuestas_jun24[[#This Row],[desvio %]],apuestas_jun24[desvio %],1)</calculatedColumnFormula>
    </tableColumn>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177" dataDxfId="176" dataCellStyle="Porcentaje">
  <autoFilter ref="P6:Q36" xr:uid="{B925CE4A-9DB1-48C6-8628-348F1D747C81}"/>
  <tableColumns count="2">
    <tableColumn id="1" xr3:uid="{0852FBB8-A0B5-4443-B502-FE411EE21673}" name="dia" dataDxfId="175" dataCellStyle="Porcentaje"/>
    <tableColumn id="2" xr3:uid="{57C455C0-7EBB-428C-AC90-8CB177CA04C5}" name="€/MWh" dataDxfId="174" dataCellStyle="Porcentaje"/>
  </tableColumns>
  <tableStyleInfo name="TableStyleMedium10"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E44495-34DD-4F26-AF17-3E709DCE4ECF}" name="resultados_jul" displayName="resultados_jul" ref="J6:O58" totalsRowShown="0">
  <sortState xmlns:xlrd2="http://schemas.microsoft.com/office/spreadsheetml/2017/richdata2" ref="J7:N40">
    <sortCondition descending="1" ref="L8:L42"/>
  </sortState>
  <tableColumns count="6">
    <tableColumn id="6" xr3:uid="{3771A7B6-4836-4A9D-AFA9-8B6CDAE7FAE3}" name="Mes" dataDxfId="173"/>
    <tableColumn id="5" xr3:uid="{44F61175-7FBD-44FC-BEA0-3CB09B07D5E8}" name="Posición">
      <calculatedColumnFormula>INDEX(apuestas_juL24[orden],MATCH(resultados_jul[Apuesta MiniPorra],apuestas_juL24[Apuesta Miniporra],0))</calculatedColumnFormula>
    </tableColumn>
    <tableColumn id="1" xr3:uid="{4E2A446B-9DBE-4B9A-A6E9-829521ABCE73}" name="Nombre ">
      <calculatedColumnFormula>apuestas_juL24[[#This Row],[Nombre]]</calculatedColumnFormula>
    </tableColumn>
    <tableColumn id="2" xr3:uid="{A1FAC3A5-68BB-41EA-A397-3B00674418EF}" name="Apuesta MiniPorra" dataDxfId="172">
      <calculatedColumnFormula>apuestas_juL24[[#This Row],[Apuesta Miniporra]]</calculatedColumnFormula>
    </tableColumn>
    <tableColumn id="3" xr3:uid="{76011829-488A-4B20-9954-A2BFBA62AC15}" name="Desvío">
      <calculatedColumnFormula>INDEX(apuestas_juL24[desvio],MATCH(resultados_jul[[#This Row],[Apuesta MiniPorra]],apuestas_juL24[Apuesta Miniporra],0))</calculatedColumnFormula>
    </tableColumn>
    <tableColumn id="4" xr3:uid="{1F3DE9FE-10B2-4796-9587-9C68B814EDFC}" name="% Desvío">
      <calculatedColumnFormula>INDEX(apuestas_juL24[desvio %],MATCH(resultados_jul[[#This Row],[Apuesta MiniPorra]],apuestas_juL24[Apuesta Miniporra],0))</calculatedColumnFormula>
    </tableColumn>
  </tableColumns>
  <tableStyleInfo name="TableStyleMedium1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2D97B43-2FDF-48D1-AF4C-C009705844CB}" name="apuestas_juL24" displayName="apuestas_juL24" ref="A6:H58" tableType="queryTable" totalsRowShown="0">
  <autoFilter ref="A6:H58" xr:uid="{B6B13BDB-3E3E-4A3C-AB91-832241C754AA}"/>
  <sortState xmlns:xlrd2="http://schemas.microsoft.com/office/spreadsheetml/2017/richdata2" ref="A7:H58">
    <sortCondition descending="1" ref="C6:C58"/>
  </sortState>
  <tableColumns count="8">
    <tableColumn id="6" xr3:uid="{BF2206FB-78E2-46A7-877B-6F58021DE948}" uniqueName="6" name="Mes de apuesta" queryTableFieldId="1" dataDxfId="171"/>
    <tableColumn id="2" xr3:uid="{3C95EF88-792A-4B03-A48D-FAABB8D319ED}" uniqueName="2" name="Nombre" queryTableFieldId="2" dataDxfId="170"/>
    <tableColumn id="3" xr3:uid="{5E1666B4-DEFF-4B09-B7CE-FEDB4DF2FD45}" uniqueName="3" name="Apuesta Miniporra" queryTableFieldId="3" dataDxfId="80"/>
    <tableColumn id="4" xr3:uid="{AAB1CC2D-E687-4CBB-97D2-3018F3751ECE}" uniqueName="4" name="Comentario opcional sobre el mes (a ver si hay algún razonamiento, o pura potra!)" queryTableFieldId="4" dataDxfId="169"/>
    <tableColumn id="5" xr3:uid="{A4F4CFCF-C1CA-454D-BF76-66054E59A27D}" uniqueName="5" name="Nick" queryTableFieldId="5" dataDxfId="168"/>
    <tableColumn id="7" xr3:uid="{85DD35A9-F592-49C7-97D0-F57D87B808D7}" uniqueName="7" name="desvio" queryTableFieldId="6" dataDxfId="79">
      <calculatedColumnFormula>apuestas_juL24[[#This Row],[Apuesta Miniporra]]-$B$3</calculatedColumnFormula>
    </tableColumn>
    <tableColumn id="8" xr3:uid="{EB8155C7-CC5C-4C72-8642-6A3E2FDB2607}" uniqueName="8" name="desvio %" queryTableFieldId="7" dataDxfId="78" dataCellStyle="Porcentaje">
      <calculatedColumnFormula>ABS(apuestas_juL24[[#This Row],[desvio]])/$B$3</calculatedColumnFormula>
    </tableColumn>
    <tableColumn id="9" xr3:uid="{22D7C25C-F560-48FF-8160-EA1162876DC1}" uniqueName="9" name="orden" queryTableFieldId="8" dataDxfId="77">
      <calculatedColumnFormula>_xlfn.RANK.EQ(apuestas_juL24[[#This Row],[desvio %]],apuestas_juL24[desvio %],1)</calculatedColumnFormula>
    </tableColumn>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F71E86A-AA01-4974-9089-938AA76C0889}" name="Tabla4247" displayName="Tabla4247" ref="P6:Q37" totalsRowShown="0" headerRowDxfId="167" dataDxfId="166" dataCellStyle="Porcentaje">
  <tableColumns count="2">
    <tableColumn id="1" xr3:uid="{0603D470-0C98-429E-A818-BEADE992FD9C}" name="dia" dataDxfId="165" dataCellStyle="Porcentaje"/>
    <tableColumn id="2" xr3:uid="{282910E0-1DAE-4B53-B433-80DD2EADB27D}" name="€/MWh" dataDxfId="164" dataCellStyle="Porcentaje">
      <calculatedColumnFormula>IF(ISBLANK(omie!S5),"",omie!T5)</calculatedColumnFormula>
    </tableColumn>
  </tableColumns>
  <tableStyleInfo name="TableStyleMedium10"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2654BC-76A5-4838-ADAC-4880053A9CC0}" name="resultados_ago" displayName="resultados_ago" ref="J6:O47" totalsRowShown="0">
  <sortState xmlns:xlrd2="http://schemas.microsoft.com/office/spreadsheetml/2017/richdata2" ref="J7:N40">
    <sortCondition descending="1" ref="L8:L42"/>
  </sortState>
  <tableColumns count="6">
    <tableColumn id="6" xr3:uid="{A7CF9ABD-3E31-487D-B438-595FC220B27F}" name="Mes" dataDxfId="127"/>
    <tableColumn id="5" xr3:uid="{95E8599B-2DC7-452D-9922-89FFA28E682B}" name="Posición">
      <calculatedColumnFormula>INDEX(apuestas_ago[orden],MATCH(resultados_ago[Apuesta MiniPorra],apuestas_ago[Apuesta Miniporra],0))</calculatedColumnFormula>
    </tableColumn>
    <tableColumn id="1" xr3:uid="{0F765919-18DD-496C-83CF-A8BB1059DE0D}" name="Nombre ">
      <calculatedColumnFormula>apuestas_ago[[#This Row],[Nombre]]</calculatedColumnFormula>
    </tableColumn>
    <tableColumn id="2" xr3:uid="{EFC32DA7-EB9B-4C3B-8704-9D12564E9F8C}" name="Apuesta MiniPorra" dataDxfId="126">
      <calculatedColumnFormula>apuestas_ago[[#This Row],[Apuesta Miniporra]]</calculatedColumnFormula>
    </tableColumn>
    <tableColumn id="3" xr3:uid="{49882635-BAF0-4248-993E-642D838CD09D}" name="Desvío">
      <calculatedColumnFormula>INDEX(apuestas_ago[desvio],MATCH(resultados_ago[[#This Row],[Apuesta MiniPorra]],apuestas_ago[Apuesta Miniporra],0))</calculatedColumnFormula>
    </tableColumn>
    <tableColumn id="4" xr3:uid="{9FCD869A-0E06-4BF5-BCA5-BE1F021F62BE}" name="% Desvío">
      <calculatedColumnFormula>INDEX(apuestas_ago[desvio %],MATCH(resultados_ago[[#This Row],[Apuesta MiniPorra]],apuestas_ago[Apuesta Miniporra],0))</calculatedColumnFormula>
    </tableColumn>
  </tableColumns>
  <tableStyleInfo name="TableStyleMedium1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70A35859-7B01-40CF-B32F-A83F11226874}" name="apuestas_ago" displayName="apuestas_ago" ref="A6:H47" tableType="queryTable" totalsRowShown="0">
  <autoFilter ref="A6:H47" xr:uid="{B6B13BDB-3E3E-4A3C-AB91-832241C754AA}"/>
  <sortState xmlns:xlrd2="http://schemas.microsoft.com/office/spreadsheetml/2017/richdata2" ref="A7:H47">
    <sortCondition descending="1" ref="C6:C47"/>
  </sortState>
  <tableColumns count="8">
    <tableColumn id="6" xr3:uid="{DE33B277-9FAD-40E7-921C-E7D90EFD6B56}" uniqueName="6" name="Mes de apuesta" queryTableFieldId="1" dataDxfId="125"/>
    <tableColumn id="2" xr3:uid="{79480BAA-12FF-4CCA-B87F-26662F8DC9C8}" uniqueName="2" name="Nombre" queryTableFieldId="2" dataDxfId="124"/>
    <tableColumn id="3" xr3:uid="{38960EFD-A1AC-42B9-B494-E9D87E32D545}" uniqueName="3" name="Apuesta Miniporra" queryTableFieldId="3" dataDxfId="3"/>
    <tableColumn id="4" xr3:uid="{77135B89-C04D-4F5F-8A25-AD55EF545A21}" uniqueName="4" name="Comentario opcional sobre el mes (a ver si hay algún razonamiento, o pura potra!)" queryTableFieldId="4" dataDxfId="123"/>
    <tableColumn id="5" xr3:uid="{2DD49D7F-8B6C-472E-AD73-C1A0DEB88EB6}" uniqueName="5" name="Nick" queryTableFieldId="5" dataDxfId="122"/>
    <tableColumn id="7" xr3:uid="{3E178D95-D6D0-489E-8BEB-BB2BEE7CE6E3}" uniqueName="7" name="desvio" queryTableFieldId="6" dataDxfId="2">
      <calculatedColumnFormula>apuestas_ago[[#This Row],[Apuesta Miniporra]]-$B$3</calculatedColumnFormula>
    </tableColumn>
    <tableColumn id="8" xr3:uid="{A1DF79F7-2B81-4165-9CE5-4565ED270850}" uniqueName="8" name="desvio %" queryTableFieldId="7" dataDxfId="1" dataCellStyle="Porcentaje">
      <calculatedColumnFormula>ABS(apuestas_ago[[#This Row],[desvio]])/$B$3</calculatedColumnFormula>
    </tableColumn>
    <tableColumn id="9" xr3:uid="{6B4580DE-71F9-4107-95C8-C2DACD17F21B}" uniqueName="9" name="orden" queryTableFieldId="8" dataDxfId="0">
      <calculatedColumnFormula>_xlfn.RANK.EQ(apuestas_ago[[#This Row],[desvio %]],apuestas_ago[desvio %],1)</calculatedColumnFormula>
    </tableColumn>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D10C12F3-3A83-43A0-9A1E-05221DEFAC1F}" name="Tabla424751" displayName="Tabla424751" ref="P6:Q37" totalsRowShown="0" headerRowDxfId="121" dataDxfId="120" dataCellStyle="Porcentaje">
  <tableColumns count="2">
    <tableColumn id="1" xr3:uid="{2E77994E-75A3-44E5-8849-746D4C1F4C26}" name="dia" dataDxfId="119" dataCellStyle="Porcentaje"/>
    <tableColumn id="2" xr3:uid="{29D3D0DA-F6D3-4E28-9ABE-0CEF5601A5BC}" name="€/MWh" dataDxfId="118" dataCellStyle="Porcentaje">
      <calculatedColumnFormula>IF(ISBLANK(omie!S5),"",omie!T5)</calculatedColumnFormula>
    </tableColumn>
  </tableColumns>
  <tableStyleInfo name="TableStyleMedium10"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9" totalsRowShown="0" headerRowDxfId="163">
  <tableColumns count="2">
    <tableColumn id="1" xr3:uid="{35DF48D8-C743-4C9F-921B-A1FC958186C3}" name="dia" dataDxfId="162"/>
    <tableColumn id="2" xr3:uid="{9841945D-0A16-4A16-BCE9-26670D0633AA}" name="€/MWh" dataDxfId="161">
      <calculatedColumnFormula>IFERROR(ago!Q7,"")</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48" totalsRowShown="0" headerRowDxfId="160" dataDxfId="159">
  <tableColumns count="8">
    <tableColumn id="9" xr3:uid="{135DEB76-9113-4ED8-912B-5FC429B3735E}" name="Pos" dataDxfId="158">
      <calculatedColumnFormula>ago!K7</calculatedColumnFormula>
    </tableColumn>
    <tableColumn id="1" xr3:uid="{C1077472-5E08-4542-8973-2E3208450262}" name="Participante">
      <calculatedColumnFormula>ago!L7</calculatedColumnFormula>
    </tableColumn>
    <tableColumn id="2" xr3:uid="{52380920-90EB-44DF-AA67-8F826EBB8692}" name="apuesta" dataDxfId="114">
      <calculatedColumnFormula>ago!M7</calculatedColumnFormula>
    </tableColumn>
    <tableColumn id="3" xr3:uid="{B12D294F-B954-460C-9AAC-22D64E4B1BA8}" name="dif s/anterior" dataDxfId="115">
      <calculatedColumnFormula>M8-M9</calculatedColumnFormula>
    </tableColumn>
    <tableColumn id="4" xr3:uid="{3B455DC0-3CC7-4D0E-9042-001BF98F1C84}" name="limite inf" dataDxfId="157">
      <calculatedColumnFormula>M8-N8/2</calculatedColumnFormula>
    </tableColumn>
    <tableColumn id="5" xr3:uid="{DBF6BFE5-E5D0-45E7-AAEA-30CB0336EC13}" name="límite sup" dataDxfId="156">
      <calculatedColumnFormula>O7</calculatedColumnFormula>
    </tableColumn>
    <tableColumn id="7" xr3:uid="{E358B585-EA18-47BB-8FEF-852FB94FA3A9}" name="omie inf" dataDxfId="155">
      <calculatedColumnFormula>R9</calculatedColumnFormula>
    </tableColumn>
    <tableColumn id="8" xr3:uid="{E8A57C89-FBDF-4AA4-A9A8-15408D1067F9}" name="omie sup" dataDxfId="154">
      <calculatedColumnFormula>W8/$O$3</calculatedColumnFormula>
    </tableColumn>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111" totalsRowShown="0">
  <autoFilter ref="A58:B111" xr:uid="{CA4B3FBD-9D31-4C05-977F-B736454840C8}"/>
  <sortState xmlns:xlrd2="http://schemas.microsoft.com/office/spreadsheetml/2017/richdata2" ref="A59:B111">
    <sortCondition ref="A58:A111"/>
  </sortState>
  <tableColumns count="2">
    <tableColumn id="1" xr3:uid="{3E62C92D-D748-45CF-88B7-8B98A8B46DC7}" name="Nombre"/>
    <tableColumn id="2" xr3:uid="{46A62D0D-047B-48D2-9360-A3811F668D89}" name="apuesta" dataDxfId="15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113"/>
    <tableColumn id="2" xr3:uid="{B74B277F-3EA1-4B86-BA13-AB707542DEC3}" uniqueName="2" name="RE media" queryTableFieldId="2" dataDxfId="112"/>
    <tableColumn id="3" xr3:uid="{7AF76DDC-047D-4719-8689-D2F7BFC8F171}" uniqueName="3" name="TCC media" queryTableFieldId="3" dataDxfId="111"/>
    <tableColumn id="4" xr3:uid="{356021E6-447F-4237-9628-8EE14FDF0DF6}" uniqueName="4" name="HI media" queryTableFieldId="4" dataDxfId="110"/>
    <tableColumn id="5" xr3:uid="{722AEE7E-A90E-44DF-ADF8-F2B0FA8C07FC}" uniqueName="5" name="OMIE" queryTableFieldId="5" dataDxfId="109"/>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108"/>
    <tableColumn id="2" xr3:uid="{0D2884B0-F8E6-4046-960C-92B6BB12AD60}" uniqueName="2" name="Mibgas D+1" queryTableFieldId="2" dataDxfId="107"/>
    <tableColumn id="3" xr3:uid="{F403C042-6C6B-4265-9744-654D84EC9366}" uniqueName="3" name="Media mensual" queryTableFieldId="3" dataDxfId="106"/>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105"/>
    <tableColumn id="2" xr3:uid="{0AAC8E48-3106-45C5-BD15-5C2D7DCC0492}" uniqueName="2" name="€/Ton" queryTableFieldId="2" dataDxfId="104"/>
    <tableColumn id="3" xr3:uid="{663199BC-268D-4661-9652-DF21A4887E93}" uniqueName="3" name="Media mensual" queryTableFieldId="3" dataDxfId="103"/>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102"/>
    <tableColumn id="2" xr3:uid="{86358F3D-5E83-44C8-96D1-7642D890E1CC}" uniqueName="2" name="Omie media mensual (€/MWh)" queryTableFieldId="2" dataDxfId="101"/>
    <tableColumn id="3" xr3:uid="{2965D49F-4277-4D41-BC17-2FFA3690E718}" uniqueName="3" name="Omie media diaria" queryTableFieldId="3" dataDxfId="100"/>
    <tableColumn id="4" xr3:uid="{8F682861-559E-4A0A-8B35-1534F8A5F69F}" uniqueName="4" name="% Horas RE" queryTableFieldId="4" dataDxfId="99"/>
    <tableColumn id="5" xr3:uid="{344D2180-B89F-4486-BC79-F47F0F44DADB}" uniqueName="5" name="Media RE" queryTableFieldId="5" dataDxfId="98"/>
    <tableColumn id="6" xr3:uid="{A36E75B8-8FD4-4C99-9725-6E3DA266953A}" uniqueName="6" name="% Horas TCC" queryTableFieldId="6" dataDxfId="97"/>
    <tableColumn id="7" xr3:uid="{43A6144B-7FD2-40F0-B6ED-D5E57CDFBAB3}" uniqueName="7" name="Media TCC" queryTableFieldId="7" dataDxfId="96"/>
    <tableColumn id="8" xr3:uid="{DA09BE26-A2F1-42A9-BA4D-7C9AE9DBD543}" uniqueName="8" name="% Horas HI" queryTableFieldId="8" dataDxfId="95"/>
    <tableColumn id="9" xr3:uid="{A91EC14A-FF51-4D62-91D0-937E724D6271}" uniqueName="9" name="Media HI" queryTableFieldId="9" dataDxfId="94"/>
    <tableColumn id="16" xr3:uid="{BF6E5F0C-B5E4-4FC0-A159-657DA0ABF921}" uniqueName="16" name="demanda GWh" queryTableFieldId="17" dataDxfId="93"/>
    <tableColumn id="1" xr3:uid="{B592C603-FE74-4AAC-A7C1-ECEAD3B3AE21}" uniqueName="1" name="Precio RE" queryTableFieldId="11" dataDxfId="92"/>
    <tableColumn id="11" xr3:uid="{C1508DD3-459F-4835-BBDF-8C2A8B2FDFE7}" uniqueName="11" name="Precio medio RE" queryTableFieldId="12" dataDxfId="91"/>
    <tableColumn id="12" xr3:uid="{9026679D-B662-4523-973E-EA357394609B}" uniqueName="12" name="Precio TCC" queryTableFieldId="13" dataDxfId="90"/>
    <tableColumn id="13" xr3:uid="{CC7FB6CB-EEDE-4ED3-9DA5-F327C6E5A005}" uniqueName="13" name="Precio medio TCC" queryTableFieldId="14" dataDxfId="89"/>
    <tableColumn id="14" xr3:uid="{A9F3EF14-38B3-40EF-99B0-680C34ED4F7C}" uniqueName="14" name="Precio HI" queryTableFieldId="15" dataDxfId="88"/>
    <tableColumn id="15" xr3:uid="{8AA8DD72-56CF-4570-AB9C-E4009ED6B6EF}" uniqueName="15" name="Precio medio HI" queryTableFieldId="16" dataDxfId="87"/>
    <tableColumn id="17" xr3:uid="{B2E69756-B019-4223-9637-3598684CE6DE}" uniqueName="17" name="demanda grafico" queryTableFieldId="19" dataDxfId="86">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38F2DC-722C-4482-A979-60E12AD3BD68}" name="resultados_ene_2" displayName="resultados_ene_2" ref="A1:F36" tableType="queryTable" totalsRowShown="0" headerRowDxfId="152">
  <autoFilter ref="A1:F36" xr:uid="{5738F2DC-722C-4482-A979-60E12AD3BD68}"/>
  <sortState xmlns:xlrd2="http://schemas.microsoft.com/office/spreadsheetml/2017/richdata2" ref="A2:F36">
    <sortCondition ref="C1:C36"/>
  </sortState>
  <tableColumns count="6">
    <tableColumn id="1" xr3:uid="{F3AF217F-3448-48AE-819D-46E0FE835685}" uniqueName="1" name="Mes" queryTableFieldId="6"/>
    <tableColumn id="6" xr3:uid="{D221F512-6864-428F-B9F1-7453F9E784EC}" uniqueName="6" name="Posición" queryTableFieldId="1"/>
    <tableColumn id="2" xr3:uid="{039B5DC7-6059-46C8-8F25-63E4A98116E7}" uniqueName="2" name="Nombre " queryTableFieldId="2"/>
    <tableColumn id="3" xr3:uid="{3CB36CF8-8A33-44C1-91CF-57490CD6E6F1}" uniqueName="3" name="Apuesta MiniPorra" queryTableFieldId="3"/>
    <tableColumn id="4" xr3:uid="{C111E5C1-E1BF-440F-BD64-BFB544C7D5A4}" uniqueName="4" name="Desvío" queryTableFieldId="4"/>
    <tableColumn id="5" xr3:uid="{D0D1DAED-DC19-44A5-AF6B-79AB5EC9F463}" uniqueName="5" name="% Desvío" queryTableFieldId="5" dataCellStyle="Porcentaje"/>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151">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150" dataCellStyle="Porcentaje"/>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149">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148"/>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147" dataCellStyle="Porcentaje"/>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146">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145" dataCellStyle="Porcentaje"/>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144"/>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143"/>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L93" tableType="queryTable" totalsRowShown="0">
  <autoFilter ref="A1:L93" xr:uid="{99D01F56-7781-4CA0-B998-CED85D915683}"/>
  <sortState xmlns:xlrd2="http://schemas.microsoft.com/office/spreadsheetml/2017/richdata2" ref="A2:L93">
    <sortCondition ref="K1:K93"/>
  </sortState>
  <tableColumns count="12">
    <tableColumn id="5" xr3:uid="{D7A0D433-F982-4BB2-AE1F-A9386DB3D1D0}" uniqueName="5" name="Nombre " queryTableFieldId="1" dataDxfId="11"/>
    <tableColumn id="2" xr3:uid="{583BE58D-8152-40D3-BE00-AD7915726B0B}" uniqueName="2" name="Ene 2024" queryTableFieldId="2" dataDxfId="10"/>
    <tableColumn id="3" xr3:uid="{41CBAE96-76E5-4B9D-A5F6-77FDE00D2338}" uniqueName="3" name="Feb 2024" queryTableFieldId="3" dataDxfId="9"/>
    <tableColumn id="4" xr3:uid="{E538AD52-275E-4F9B-BA8A-EB2FCDED4E22}" uniqueName="4" name="Mar 2024" queryTableFieldId="4" dataDxfId="8"/>
    <tableColumn id="7" xr3:uid="{09C0F218-4378-4196-BFFD-09E25AA6D116}" uniqueName="7" name="Abr 2024" queryTableFieldId="7" dataDxfId="7"/>
    <tableColumn id="10" xr3:uid="{1A14C075-3AB5-4763-9E69-7B2B32063E39}" uniqueName="10" name="May 2024" queryTableFieldId="10" dataDxfId="6"/>
    <tableColumn id="1" xr3:uid="{D7BB0E91-62F4-4F0A-B459-A6CF10198D5A}" uniqueName="1" name="Jun 2024" queryTableFieldId="11"/>
    <tableColumn id="11" xr3:uid="{1FF7780B-3E7F-4CC1-B86D-BEF3CC466DC2}" uniqueName="11" name="Jul 2024" queryTableFieldId="12"/>
    <tableColumn id="12" xr3:uid="{0CAAFEDF-BC4E-4D30-839D-8E0E2373D4C5}" uniqueName="12" name="Ago 2024" queryTableFieldId="13"/>
    <tableColumn id="8" xr3:uid="{CF39BE51-3759-4AF8-86DF-695E3E5DBE90}" uniqueName="8" name="contar" queryTableFieldId="8" dataDxfId="5">
      <calculatedColumnFormula>$Y$2- COUNTIF(acumulado_porcentaje[[#This Row],[Ene 2024]:[Ago 2024]],"")</calculatedColumnFormula>
    </tableColumn>
    <tableColumn id="6" xr3:uid="{F422233D-9EA7-4ED2-BEAE-280E8F52F342}" uniqueName="6" name="%_desvio" queryTableFieldId="5" dataDxfId="4" dataCellStyle="Porcentaje">
      <calculatedColumnFormula>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J92" tableType="queryTable" totalsRowShown="0">
  <autoFilter ref="A1:J92" xr:uid="{B838869A-1230-415F-BD15-2C39570C416F}"/>
  <sortState xmlns:xlrd2="http://schemas.microsoft.com/office/spreadsheetml/2017/richdata2" ref="A2:J92">
    <sortCondition ref="J1:J92"/>
  </sortState>
  <tableColumns count="10">
    <tableColumn id="5" xr3:uid="{E5AB4977-2336-4DD1-8375-20FB68CD8070}" uniqueName="5" name="Nombre " queryTableFieldId="1" dataDxfId="142"/>
    <tableColumn id="2" xr3:uid="{273CF2E4-AA71-4A38-8B09-B8C4341C8BDA}" uniqueName="2" name="Ene 2024" queryTableFieldId="2" dataDxfId="141"/>
    <tableColumn id="3" xr3:uid="{10CBB1D1-D219-4B55-BDE4-8EBED44AAD0D}" uniqueName="3" name="Feb 2024" queryTableFieldId="3" dataDxfId="140"/>
    <tableColumn id="4" xr3:uid="{E635CB03-C1F9-4F40-971A-E2B6D93952B0}" uniqueName="4" name="Mar 2024" queryTableFieldId="4" dataDxfId="139"/>
    <tableColumn id="7" xr3:uid="{C792BDFC-C6BD-4506-95F2-264CB023586B}" uniqueName="7" name="Abr 2024" queryTableFieldId="7" dataDxfId="138"/>
    <tableColumn id="8" xr3:uid="{076F50CE-D8CB-4583-BF97-B98AF7B51650}" uniqueName="8" name="May 2024" queryTableFieldId="11"/>
    <tableColumn id="9" xr3:uid="{75E9DDD2-FEED-45B5-9DB7-6DF2ACEECBAF}" uniqueName="9" name="Jun 2024" queryTableFieldId="12"/>
    <tableColumn id="1" xr3:uid="{C7BB0502-6AFA-400F-811D-C4FB87CEB76D}" uniqueName="1" name="Jul 2024" queryTableFieldId="13"/>
    <tableColumn id="11" xr3:uid="{D61730BA-7F95-4BFA-B76C-7E30D023B6F2}" uniqueName="11" name="contar" queryTableFieldId="10" dataDxfId="137">
      <calculatedColumnFormula>acum_porc!$Y$2- COUNTIF(acumulado_absoluto[[#This Row],[Ene 2024]:[Jul 2024]],"")</calculatedColumnFormula>
    </tableColumn>
    <tableColumn id="6" xr3:uid="{650181F5-E014-4486-A01F-0C1AF56FBFCD}" uniqueName="6" name="min" queryTableFieldId="5" dataDxfId="136">
      <calculatedColumnFormula>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calculatedColumnFormula>
    </tableColumn>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ableType="queryTable" totalsRowShown="0">
  <autoFilter ref="A1:F64" xr:uid="{1AC15776-3B16-4651-8B0B-E14FB0675A2E}"/>
  <tableColumns count="6">
    <tableColumn id="5" xr3:uid="{6369EE80-96C8-4269-958E-F699720BE8DC}" uniqueName="5" name="Nombre " queryTableFieldId="1" dataDxfId="135"/>
    <tableColumn id="2" xr3:uid="{DA5AD0F9-3C4A-4B14-A66A-EBE608E14AA8}" uniqueName="2" name="Ene 2024" queryTableFieldId="2" dataDxfId="134"/>
    <tableColumn id="3" xr3:uid="{B787E4BE-874B-4009-BA0D-80194F8C68DE}" uniqueName="3" name="Feb 2024" queryTableFieldId="3" dataDxfId="133"/>
    <tableColumn id="4" xr3:uid="{A7428946-38B4-4AB4-9D18-6C838A9D5D0A}" uniqueName="4" name="Mar 2024" queryTableFieldId="4" dataDxfId="132"/>
    <tableColumn id="7" xr3:uid="{5EB3169B-8C9C-4FEA-A8EE-C2B6CA065642}" uniqueName="7" name="Abr 2024" queryTableFieldId="6"/>
    <tableColumn id="6" xr3:uid="{7F64FAE5-E722-4B80-ADFA-5A66E4A2C6B0}" uniqueName="6" name="porras" queryTableFieldId="5" dataDxfId="131">
      <calculatedColumnFormula>COUNTA(acumulado_porcentaje_SIN_MAYO[[#This Row],[Ene 2024]:[Abr 2024]])</calculatedColumnFormula>
    </tableColumn>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86" tableType="queryTable" totalsRowShown="0">
  <autoFilter ref="A1:C86" xr:uid="{BEFB6CA3-7FEF-4445-A951-D80FD188F387}"/>
  <tableColumns count="3">
    <tableColumn id="4" xr3:uid="{C17A4293-7835-4681-A02B-6A7DA0D49887}" uniqueName="4" name="Nombre" queryTableFieldId="1" dataDxfId="130"/>
    <tableColumn id="2" xr3:uid="{14F77757-EE54-4FB2-9C68-4DD49DBC430F}" uniqueName="2" name="Apellidos" queryTableFieldId="2" dataDxfId="129"/>
    <tableColumn id="3" xr3:uid="{363B3867-DD54-4836-9944-787B922003EA}" uniqueName="3" name="Nick (o nombre corto)" queryTableFieldId="3" dataDxfId="128"/>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trlProp" Target="../ctrlProps/ctrlProp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5.xml"/><Relationship Id="rId5" Type="http://schemas.openxmlformats.org/officeDocument/2006/relationships/table" Target="../tables/table1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ctrlProp" Target="../ctrlProps/ctrlProp6.xml"/><Relationship Id="rId7" Type="http://schemas.openxmlformats.org/officeDocument/2006/relationships/table" Target="../tables/table18.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7.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ctrlProp" Target="../ctrlProps/ctrlProp9.xml"/><Relationship Id="rId7" Type="http://schemas.openxmlformats.org/officeDocument/2006/relationships/table" Target="../tables/table20.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2.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ctrlProp" Target="../ctrlProps/ctrlProp13.xml"/><Relationship Id="rId7" Type="http://schemas.openxmlformats.org/officeDocument/2006/relationships/table" Target="../tables/table23.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ctrlProp" Target="../ctrlProps/ctrlProp17.xml"/><Relationship Id="rId7" Type="http://schemas.openxmlformats.org/officeDocument/2006/relationships/table" Target="../tables/table26.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28.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ctrlProp" Target="../ctrlProps/ctrlProp21.xml"/><Relationship Id="rId7" Type="http://schemas.openxmlformats.org/officeDocument/2006/relationships/table" Target="../tables/table29.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ctrlProp" Target="../ctrlProps/ctrlProp25.xml"/><Relationship Id="rId7" Type="http://schemas.openxmlformats.org/officeDocument/2006/relationships/table" Target="../tables/table32.xml"/><Relationship Id="rId2" Type="http://schemas.openxmlformats.org/officeDocument/2006/relationships/vmlDrawing" Target="../drawings/vmlDrawing9.vml"/><Relationship Id="rId1" Type="http://schemas.openxmlformats.org/officeDocument/2006/relationships/drawing" Target="../drawings/drawing14.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table" Target="../tables/table3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18.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table" Target="../tables/table38.xml"/><Relationship Id="rId4" Type="http://schemas.openxmlformats.org/officeDocument/2006/relationships/table" Target="../tables/table4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table" Target="../tables/table42.xml"/><Relationship Id="rId6" Type="http://schemas.openxmlformats.org/officeDocument/2006/relationships/table" Target="../tables/table47.xml"/><Relationship Id="rId5" Type="http://schemas.openxmlformats.org/officeDocument/2006/relationships/table" Target="../tables/table46.xml"/><Relationship Id="rId4" Type="http://schemas.openxmlformats.org/officeDocument/2006/relationships/table" Target="../tables/table45.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2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drawing" Target="../drawings/drawing22.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334"/>
  <sheetViews>
    <sheetView topLeftCell="A16" workbookViewId="0">
      <selection activeCell="D16" sqref="D16"/>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26.28515625" bestFit="1" customWidth="1"/>
    <col min="10" max="10" width="21.5703125" bestFit="1" customWidth="1"/>
    <col min="11" max="11" width="81.140625" bestFit="1" customWidth="1"/>
    <col min="12" max="12" width="20.85546875" bestFit="1" customWidth="1"/>
  </cols>
  <sheetData>
    <row r="1" spans="1:8" x14ac:dyDescent="0.2">
      <c r="A1" t="s">
        <v>16</v>
      </c>
      <c r="B1" t="s">
        <v>233</v>
      </c>
      <c r="C1" t="s">
        <v>485</v>
      </c>
      <c r="D1" t="s">
        <v>17</v>
      </c>
      <c r="E1" t="s">
        <v>18</v>
      </c>
      <c r="F1" t="s">
        <v>19</v>
      </c>
      <c r="G1" t="s">
        <v>20</v>
      </c>
      <c r="H1" t="s">
        <v>21</v>
      </c>
    </row>
    <row r="2" spans="1:8" x14ac:dyDescent="0.2">
      <c r="A2" s="20">
        <v>45504.441643518519</v>
      </c>
      <c r="B2" t="s">
        <v>382</v>
      </c>
      <c r="C2" t="s">
        <v>182</v>
      </c>
      <c r="D2" t="s">
        <v>118</v>
      </c>
      <c r="E2" t="s">
        <v>967</v>
      </c>
      <c r="F2" t="s">
        <v>968</v>
      </c>
      <c r="G2" t="s">
        <v>118</v>
      </c>
      <c r="H2" s="152" t="s">
        <v>969</v>
      </c>
    </row>
    <row r="3" spans="1:8" x14ac:dyDescent="0.2">
      <c r="A3" s="20">
        <v>45504.299409722225</v>
      </c>
      <c r="B3" t="s">
        <v>204</v>
      </c>
      <c r="C3" t="s">
        <v>378</v>
      </c>
      <c r="D3" t="s">
        <v>118</v>
      </c>
      <c r="E3" t="s">
        <v>967</v>
      </c>
      <c r="F3" t="s">
        <v>970</v>
      </c>
      <c r="G3" t="s">
        <v>971</v>
      </c>
      <c r="H3" s="152" t="s">
        <v>37</v>
      </c>
    </row>
    <row r="4" spans="1:8" x14ac:dyDescent="0.2">
      <c r="A4" s="20">
        <v>45504.099895833337</v>
      </c>
      <c r="B4" t="s">
        <v>28</v>
      </c>
      <c r="C4" t="s">
        <v>323</v>
      </c>
      <c r="D4" t="s">
        <v>118</v>
      </c>
      <c r="E4" t="s">
        <v>967</v>
      </c>
      <c r="F4" t="s">
        <v>972</v>
      </c>
      <c r="G4" t="s">
        <v>973</v>
      </c>
      <c r="H4" s="152" t="s">
        <v>2</v>
      </c>
    </row>
    <row r="5" spans="1:8" x14ac:dyDescent="0.2">
      <c r="A5" s="20">
        <v>45504.014270833337</v>
      </c>
      <c r="B5" t="s">
        <v>342</v>
      </c>
      <c r="C5" t="s">
        <v>211</v>
      </c>
      <c r="D5" t="s">
        <v>118</v>
      </c>
      <c r="E5" t="s">
        <v>967</v>
      </c>
      <c r="F5" t="s">
        <v>1048</v>
      </c>
      <c r="G5" t="s">
        <v>118</v>
      </c>
      <c r="H5" s="152" t="s">
        <v>213</v>
      </c>
    </row>
    <row r="6" spans="1:8" x14ac:dyDescent="0.2">
      <c r="A6" s="20">
        <v>45504.003078703703</v>
      </c>
      <c r="B6" t="s">
        <v>28</v>
      </c>
      <c r="C6" t="s">
        <v>441</v>
      </c>
      <c r="D6" t="s">
        <v>118</v>
      </c>
      <c r="E6" t="s">
        <v>967</v>
      </c>
      <c r="F6" t="s">
        <v>975</v>
      </c>
      <c r="G6" t="s">
        <v>118</v>
      </c>
      <c r="H6" s="152" t="s">
        <v>535</v>
      </c>
    </row>
    <row r="7" spans="1:8" x14ac:dyDescent="0.2">
      <c r="A7" s="20">
        <v>45503.956157407411</v>
      </c>
      <c r="B7" t="s">
        <v>435</v>
      </c>
      <c r="C7" t="s">
        <v>976</v>
      </c>
      <c r="D7" t="s">
        <v>118</v>
      </c>
      <c r="E7" t="s">
        <v>967</v>
      </c>
      <c r="F7" t="s">
        <v>977</v>
      </c>
      <c r="G7" t="s">
        <v>978</v>
      </c>
      <c r="H7" s="152" t="s">
        <v>979</v>
      </c>
    </row>
    <row r="8" spans="1:8" x14ac:dyDescent="0.2">
      <c r="A8" s="20">
        <v>45503.876168981478</v>
      </c>
      <c r="B8" t="s">
        <v>730</v>
      </c>
      <c r="C8" t="s">
        <v>731</v>
      </c>
      <c r="D8" t="s">
        <v>118</v>
      </c>
      <c r="E8" t="s">
        <v>967</v>
      </c>
      <c r="F8" t="s">
        <v>982</v>
      </c>
      <c r="G8" t="s">
        <v>118</v>
      </c>
      <c r="H8" s="152" t="s">
        <v>734</v>
      </c>
    </row>
    <row r="9" spans="1:8" x14ac:dyDescent="0.2">
      <c r="A9" s="20">
        <v>45503.690648148149</v>
      </c>
      <c r="B9" t="s">
        <v>577</v>
      </c>
      <c r="C9" t="s">
        <v>578</v>
      </c>
      <c r="D9" t="s">
        <v>118</v>
      </c>
      <c r="E9" t="s">
        <v>967</v>
      </c>
      <c r="F9" t="s">
        <v>983</v>
      </c>
      <c r="G9" t="s">
        <v>118</v>
      </c>
      <c r="H9" s="152" t="s">
        <v>581</v>
      </c>
    </row>
    <row r="10" spans="1:8" x14ac:dyDescent="0.2">
      <c r="A10" s="20">
        <v>45503.587465277778</v>
      </c>
      <c r="B10" t="s">
        <v>855</v>
      </c>
      <c r="C10" t="s">
        <v>856</v>
      </c>
      <c r="D10" t="s">
        <v>118</v>
      </c>
      <c r="E10" t="s">
        <v>967</v>
      </c>
      <c r="F10" t="s">
        <v>984</v>
      </c>
      <c r="G10" t="s">
        <v>118</v>
      </c>
      <c r="H10" s="152" t="s">
        <v>858</v>
      </c>
    </row>
    <row r="11" spans="1:8" x14ac:dyDescent="0.2">
      <c r="A11" s="20">
        <v>45503.551215277781</v>
      </c>
      <c r="B11" t="s">
        <v>67</v>
      </c>
      <c r="C11" t="s">
        <v>68</v>
      </c>
      <c r="D11" t="s">
        <v>118</v>
      </c>
      <c r="E11" t="s">
        <v>967</v>
      </c>
      <c r="F11" t="s">
        <v>985</v>
      </c>
      <c r="G11" t="s">
        <v>118</v>
      </c>
      <c r="H11" s="152" t="s">
        <v>67</v>
      </c>
    </row>
    <row r="12" spans="1:8" x14ac:dyDescent="0.2">
      <c r="A12" s="20">
        <v>45503.537719907406</v>
      </c>
      <c r="B12" t="s">
        <v>72</v>
      </c>
      <c r="C12" t="s">
        <v>124</v>
      </c>
      <c r="D12" t="s">
        <v>118</v>
      </c>
      <c r="E12" t="s">
        <v>967</v>
      </c>
      <c r="F12" t="s">
        <v>986</v>
      </c>
      <c r="G12" t="s">
        <v>987</v>
      </c>
      <c r="H12" s="152" t="s">
        <v>542</v>
      </c>
    </row>
    <row r="13" spans="1:8" x14ac:dyDescent="0.2">
      <c r="A13" s="20">
        <v>45503.50582175926</v>
      </c>
      <c r="B13" t="s">
        <v>28</v>
      </c>
      <c r="C13" t="s">
        <v>390</v>
      </c>
      <c r="D13" t="s">
        <v>118</v>
      </c>
      <c r="E13" t="s">
        <v>967</v>
      </c>
      <c r="F13" t="s">
        <v>205</v>
      </c>
      <c r="G13" t="s">
        <v>988</v>
      </c>
      <c r="H13" s="152" t="s">
        <v>242</v>
      </c>
    </row>
    <row r="14" spans="1:8" x14ac:dyDescent="0.2">
      <c r="A14" s="20">
        <v>45503.471689814818</v>
      </c>
      <c r="B14" t="s">
        <v>135</v>
      </c>
      <c r="C14" t="s">
        <v>389</v>
      </c>
      <c r="D14" t="s">
        <v>118</v>
      </c>
      <c r="E14" t="s">
        <v>967</v>
      </c>
      <c r="F14" t="s">
        <v>989</v>
      </c>
      <c r="G14" t="s">
        <v>990</v>
      </c>
      <c r="H14" s="152" t="s">
        <v>456</v>
      </c>
    </row>
    <row r="15" spans="1:8" x14ac:dyDescent="0.2">
      <c r="A15" s="20">
        <v>45503.469178240739</v>
      </c>
      <c r="B15" t="s">
        <v>282</v>
      </c>
      <c r="C15" t="s">
        <v>819</v>
      </c>
      <c r="D15" t="s">
        <v>118</v>
      </c>
      <c r="E15" t="s">
        <v>967</v>
      </c>
      <c r="F15" t="s">
        <v>991</v>
      </c>
      <c r="G15" t="s">
        <v>992</v>
      </c>
      <c r="H15" s="152" t="s">
        <v>865</v>
      </c>
    </row>
    <row r="16" spans="1:8" x14ac:dyDescent="0.2">
      <c r="A16" s="20">
        <v>45503.446736111109</v>
      </c>
      <c r="B16" t="s">
        <v>175</v>
      </c>
      <c r="C16" t="s">
        <v>23</v>
      </c>
      <c r="D16" t="s">
        <v>118</v>
      </c>
      <c r="E16" t="s">
        <v>967</v>
      </c>
      <c r="F16" t="s">
        <v>993</v>
      </c>
      <c r="G16" t="s">
        <v>994</v>
      </c>
      <c r="H16" s="152" t="s">
        <v>178</v>
      </c>
    </row>
    <row r="17" spans="1:8" x14ac:dyDescent="0.2">
      <c r="A17" s="20">
        <v>45503.446284722224</v>
      </c>
      <c r="B17" t="s">
        <v>138</v>
      </c>
      <c r="C17" t="s">
        <v>139</v>
      </c>
      <c r="D17" t="s">
        <v>118</v>
      </c>
      <c r="E17" t="s">
        <v>967</v>
      </c>
      <c r="F17" t="s">
        <v>995</v>
      </c>
      <c r="G17" t="s">
        <v>118</v>
      </c>
      <c r="H17" s="152" t="s">
        <v>451</v>
      </c>
    </row>
    <row r="18" spans="1:8" x14ac:dyDescent="0.2">
      <c r="A18" s="20">
        <v>45503.371157407404</v>
      </c>
      <c r="B18" t="s">
        <v>33</v>
      </c>
      <c r="C18" t="s">
        <v>725</v>
      </c>
      <c r="D18" t="s">
        <v>118</v>
      </c>
      <c r="E18" t="s">
        <v>967</v>
      </c>
      <c r="F18" t="s">
        <v>296</v>
      </c>
      <c r="G18" t="s">
        <v>118</v>
      </c>
      <c r="H18" s="152" t="s">
        <v>728</v>
      </c>
    </row>
    <row r="19" spans="1:8" x14ac:dyDescent="0.2">
      <c r="A19" s="20">
        <v>45503.284641203703</v>
      </c>
      <c r="B19" t="s">
        <v>124</v>
      </c>
      <c r="C19" t="s">
        <v>166</v>
      </c>
      <c r="D19" t="s">
        <v>118</v>
      </c>
      <c r="E19" t="s">
        <v>967</v>
      </c>
      <c r="F19" t="s">
        <v>996</v>
      </c>
      <c r="G19" t="s">
        <v>118</v>
      </c>
      <c r="H19" s="152" t="s">
        <v>124</v>
      </c>
    </row>
    <row r="20" spans="1:8" x14ac:dyDescent="0.2">
      <c r="A20" s="20">
        <v>45502.823055555556</v>
      </c>
      <c r="B20" t="s">
        <v>124</v>
      </c>
      <c r="C20" t="s">
        <v>125</v>
      </c>
      <c r="D20" t="s">
        <v>118</v>
      </c>
      <c r="E20" t="s">
        <v>967</v>
      </c>
      <c r="F20" t="s">
        <v>911</v>
      </c>
      <c r="G20" t="s">
        <v>118</v>
      </c>
      <c r="H20" s="152" t="s">
        <v>124</v>
      </c>
    </row>
    <row r="21" spans="1:8" x14ac:dyDescent="0.2">
      <c r="A21" s="20">
        <v>45502.812407407408</v>
      </c>
      <c r="B21" t="s">
        <v>188</v>
      </c>
      <c r="C21" t="s">
        <v>737</v>
      </c>
      <c r="D21" t="s">
        <v>118</v>
      </c>
      <c r="E21" t="s">
        <v>967</v>
      </c>
      <c r="F21" t="s">
        <v>997</v>
      </c>
      <c r="G21" t="s">
        <v>932</v>
      </c>
      <c r="H21" s="152" t="s">
        <v>740</v>
      </c>
    </row>
    <row r="22" spans="1:8" x14ac:dyDescent="0.2">
      <c r="A22" s="20">
        <v>45502.687731481485</v>
      </c>
      <c r="B22" t="s">
        <v>531</v>
      </c>
      <c r="C22" t="s">
        <v>293</v>
      </c>
      <c r="D22" t="s">
        <v>118</v>
      </c>
      <c r="E22" t="s">
        <v>967</v>
      </c>
      <c r="F22" t="s">
        <v>998</v>
      </c>
      <c r="G22" t="s">
        <v>118</v>
      </c>
      <c r="H22" s="152" t="s">
        <v>531</v>
      </c>
    </row>
    <row r="23" spans="1:8" x14ac:dyDescent="0.2">
      <c r="A23" s="20">
        <v>45502.668981481482</v>
      </c>
      <c r="B23" t="s">
        <v>383</v>
      </c>
      <c r="C23" t="s">
        <v>326</v>
      </c>
      <c r="D23" t="s">
        <v>118</v>
      </c>
      <c r="E23" t="s">
        <v>967</v>
      </c>
      <c r="F23" t="s">
        <v>999</v>
      </c>
      <c r="G23" t="s">
        <v>118</v>
      </c>
      <c r="H23" s="152" t="s">
        <v>328</v>
      </c>
    </row>
    <row r="24" spans="1:8" x14ac:dyDescent="0.2">
      <c r="A24" s="20">
        <v>45502.562858796293</v>
      </c>
      <c r="B24" t="s">
        <v>76</v>
      </c>
      <c r="C24" t="s">
        <v>77</v>
      </c>
      <c r="D24" t="s">
        <v>118</v>
      </c>
      <c r="E24" t="s">
        <v>967</v>
      </c>
      <c r="F24" t="s">
        <v>1000</v>
      </c>
      <c r="G24" t="s">
        <v>118</v>
      </c>
      <c r="H24" s="152" t="s">
        <v>76</v>
      </c>
    </row>
    <row r="25" spans="1:8" x14ac:dyDescent="0.2">
      <c r="A25" s="20">
        <v>45502.484282407408</v>
      </c>
      <c r="B25" t="s">
        <v>103</v>
      </c>
      <c r="C25" t="s">
        <v>104</v>
      </c>
      <c r="D25" t="s">
        <v>118</v>
      </c>
      <c r="E25" t="s">
        <v>967</v>
      </c>
      <c r="F25" t="s">
        <v>1002</v>
      </c>
      <c r="G25" t="s">
        <v>118</v>
      </c>
      <c r="H25" s="152" t="s">
        <v>1001</v>
      </c>
    </row>
    <row r="26" spans="1:8" x14ac:dyDescent="0.2">
      <c r="A26" s="20">
        <v>45502.356365740743</v>
      </c>
      <c r="B26" t="s">
        <v>298</v>
      </c>
      <c r="C26" t="s">
        <v>386</v>
      </c>
      <c r="D26" t="s">
        <v>118</v>
      </c>
      <c r="E26" t="s">
        <v>967</v>
      </c>
      <c r="F26" t="s">
        <v>1003</v>
      </c>
      <c r="G26" t="s">
        <v>118</v>
      </c>
      <c r="H26" s="152" t="s">
        <v>300</v>
      </c>
    </row>
    <row r="27" spans="1:8" x14ac:dyDescent="0.2">
      <c r="A27" s="20">
        <v>45501.566666666666</v>
      </c>
      <c r="B27" t="s">
        <v>384</v>
      </c>
      <c r="C27" t="s">
        <v>315</v>
      </c>
      <c r="D27" t="s">
        <v>118</v>
      </c>
      <c r="E27" t="s">
        <v>967</v>
      </c>
      <c r="F27" t="s">
        <v>1004</v>
      </c>
      <c r="G27" t="s">
        <v>118</v>
      </c>
      <c r="H27" s="152" t="s">
        <v>1005</v>
      </c>
    </row>
    <row r="28" spans="1:8" x14ac:dyDescent="0.2">
      <c r="A28" s="20">
        <v>45499.440625000003</v>
      </c>
      <c r="B28" t="s">
        <v>525</v>
      </c>
      <c r="C28" t="s">
        <v>691</v>
      </c>
      <c r="D28" t="s">
        <v>118</v>
      </c>
      <c r="E28" t="s">
        <v>967</v>
      </c>
      <c r="F28" t="s">
        <v>1006</v>
      </c>
      <c r="G28" t="s">
        <v>118</v>
      </c>
      <c r="H28" s="152" t="s">
        <v>1007</v>
      </c>
    </row>
    <row r="29" spans="1:8" x14ac:dyDescent="0.2">
      <c r="A29" s="20">
        <v>45499.402870370373</v>
      </c>
      <c r="B29" t="s">
        <v>28</v>
      </c>
      <c r="C29" t="s">
        <v>29</v>
      </c>
      <c r="D29" t="s">
        <v>118</v>
      </c>
      <c r="E29" t="s">
        <v>967</v>
      </c>
      <c r="F29" t="s">
        <v>1008</v>
      </c>
      <c r="G29" t="s">
        <v>1009</v>
      </c>
      <c r="H29" s="152" t="s">
        <v>1010</v>
      </c>
    </row>
    <row r="30" spans="1:8" x14ac:dyDescent="0.2">
      <c r="A30" s="20">
        <v>45499.399293981478</v>
      </c>
      <c r="B30" t="s">
        <v>1011</v>
      </c>
      <c r="C30" t="s">
        <v>1012</v>
      </c>
      <c r="D30" t="s">
        <v>118</v>
      </c>
      <c r="E30" t="s">
        <v>967</v>
      </c>
      <c r="F30" t="s">
        <v>1013</v>
      </c>
      <c r="G30" t="s">
        <v>1014</v>
      </c>
      <c r="H30" s="152" t="s">
        <v>1015</v>
      </c>
    </row>
    <row r="31" spans="1:8" x14ac:dyDescent="0.2">
      <c r="A31" s="20">
        <v>45498.992349537039</v>
      </c>
      <c r="B31" t="s">
        <v>195</v>
      </c>
      <c r="C31" t="s">
        <v>196</v>
      </c>
      <c r="D31" t="s">
        <v>118</v>
      </c>
      <c r="E31" t="s">
        <v>967</v>
      </c>
      <c r="F31" t="s">
        <v>974</v>
      </c>
      <c r="G31" t="s">
        <v>118</v>
      </c>
      <c r="H31" s="152" t="s">
        <v>199</v>
      </c>
    </row>
    <row r="32" spans="1:8" x14ac:dyDescent="0.2">
      <c r="A32" s="20">
        <v>45498.967905092592</v>
      </c>
      <c r="B32" t="s">
        <v>902</v>
      </c>
      <c r="C32" t="s">
        <v>1016</v>
      </c>
      <c r="D32" t="s">
        <v>118</v>
      </c>
      <c r="E32" t="s">
        <v>967</v>
      </c>
      <c r="F32" t="s">
        <v>1017</v>
      </c>
      <c r="G32" t="s">
        <v>118</v>
      </c>
      <c r="H32" s="152" t="s">
        <v>940</v>
      </c>
    </row>
    <row r="33" spans="1:8" x14ac:dyDescent="0.2">
      <c r="A33" s="20">
        <v>45498.660011574073</v>
      </c>
      <c r="B33" t="s">
        <v>160</v>
      </c>
      <c r="C33" t="s">
        <v>635</v>
      </c>
      <c r="D33" t="s">
        <v>118</v>
      </c>
      <c r="E33" t="s">
        <v>967</v>
      </c>
      <c r="F33" t="s">
        <v>1018</v>
      </c>
      <c r="G33" t="s">
        <v>118</v>
      </c>
      <c r="H33" s="152" t="s">
        <v>1019</v>
      </c>
    </row>
    <row r="34" spans="1:8" x14ac:dyDescent="0.2">
      <c r="A34" s="20">
        <v>45498.619444444441</v>
      </c>
      <c r="B34" t="s">
        <v>902</v>
      </c>
      <c r="C34" t="s">
        <v>903</v>
      </c>
      <c r="D34" t="s">
        <v>118</v>
      </c>
      <c r="E34" t="s">
        <v>967</v>
      </c>
      <c r="F34" t="s">
        <v>1021</v>
      </c>
      <c r="G34" t="s">
        <v>118</v>
      </c>
      <c r="H34" s="152" t="s">
        <v>906</v>
      </c>
    </row>
    <row r="35" spans="1:8" x14ac:dyDescent="0.2">
      <c r="A35" s="20">
        <v>45498.565532407411</v>
      </c>
      <c r="B35" t="s">
        <v>868</v>
      </c>
      <c r="C35" t="s">
        <v>869</v>
      </c>
      <c r="D35" t="s">
        <v>118</v>
      </c>
      <c r="E35" t="s">
        <v>967</v>
      </c>
      <c r="F35" t="s">
        <v>1023</v>
      </c>
      <c r="G35" t="s">
        <v>1024</v>
      </c>
      <c r="H35" s="152" t="s">
        <v>1025</v>
      </c>
    </row>
    <row r="36" spans="1:8" x14ac:dyDescent="0.2">
      <c r="A36" s="20">
        <v>45498.518923611111</v>
      </c>
      <c r="B36" t="s">
        <v>385</v>
      </c>
      <c r="C36" t="s">
        <v>379</v>
      </c>
      <c r="D36" t="s">
        <v>118</v>
      </c>
      <c r="E36" t="s">
        <v>967</v>
      </c>
      <c r="F36" t="s">
        <v>1026</v>
      </c>
      <c r="G36" t="s">
        <v>118</v>
      </c>
      <c r="H36" s="152" t="s">
        <v>102</v>
      </c>
    </row>
    <row r="37" spans="1:8" x14ac:dyDescent="0.2">
      <c r="A37" s="20">
        <v>45498.460868055554</v>
      </c>
      <c r="B37" t="s">
        <v>769</v>
      </c>
      <c r="C37" t="s">
        <v>1027</v>
      </c>
      <c r="D37" t="s">
        <v>118</v>
      </c>
      <c r="E37" t="s">
        <v>967</v>
      </c>
      <c r="F37" t="s">
        <v>1028</v>
      </c>
      <c r="G37" t="s">
        <v>771</v>
      </c>
      <c r="H37" s="152" t="s">
        <v>772</v>
      </c>
    </row>
    <row r="38" spans="1:8" x14ac:dyDescent="0.2">
      <c r="A38" s="20">
        <v>45498.45784722222</v>
      </c>
      <c r="B38" t="s">
        <v>130</v>
      </c>
      <c r="C38" t="s">
        <v>86</v>
      </c>
      <c r="D38" t="s">
        <v>118</v>
      </c>
      <c r="E38" t="s">
        <v>967</v>
      </c>
      <c r="F38" t="s">
        <v>1029</v>
      </c>
      <c r="G38" t="s">
        <v>1030</v>
      </c>
      <c r="H38" s="152" t="s">
        <v>462</v>
      </c>
    </row>
    <row r="39" spans="1:8" x14ac:dyDescent="0.2">
      <c r="A39" s="20">
        <v>45498.397685185184</v>
      </c>
      <c r="B39" t="s">
        <v>120</v>
      </c>
      <c r="C39" t="s">
        <v>121</v>
      </c>
      <c r="D39" t="s">
        <v>118</v>
      </c>
      <c r="E39" t="s">
        <v>967</v>
      </c>
      <c r="F39" t="s">
        <v>1031</v>
      </c>
      <c r="G39" t="s">
        <v>118</v>
      </c>
      <c r="H39" s="152" t="s">
        <v>123</v>
      </c>
    </row>
    <row r="40" spans="1:8" x14ac:dyDescent="0.2">
      <c r="A40" s="20">
        <v>45498.37871527778</v>
      </c>
      <c r="B40" t="s">
        <v>357</v>
      </c>
      <c r="C40" t="s">
        <v>358</v>
      </c>
      <c r="D40" t="s">
        <v>118</v>
      </c>
      <c r="E40" t="s">
        <v>967</v>
      </c>
      <c r="F40" t="s">
        <v>1032</v>
      </c>
      <c r="G40" t="s">
        <v>118</v>
      </c>
      <c r="H40" s="152" t="s">
        <v>357</v>
      </c>
    </row>
    <row r="41" spans="1:8" x14ac:dyDescent="0.2">
      <c r="A41" s="20">
        <v>45498.376527777778</v>
      </c>
      <c r="B41" t="s">
        <v>664</v>
      </c>
      <c r="C41" t="s">
        <v>665</v>
      </c>
      <c r="D41" t="s">
        <v>118</v>
      </c>
      <c r="E41" t="s">
        <v>967</v>
      </c>
      <c r="F41" t="s">
        <v>1033</v>
      </c>
      <c r="G41" t="s">
        <v>118</v>
      </c>
      <c r="H41" s="152" t="s">
        <v>664</v>
      </c>
    </row>
    <row r="42" spans="1:8" x14ac:dyDescent="0.2">
      <c r="A42" s="20">
        <v>45498.358101851853</v>
      </c>
      <c r="B42" t="s">
        <v>131</v>
      </c>
      <c r="C42" t="s">
        <v>132</v>
      </c>
      <c r="D42" t="s">
        <v>118</v>
      </c>
      <c r="E42" t="s">
        <v>967</v>
      </c>
      <c r="F42" t="s">
        <v>105</v>
      </c>
      <c r="G42" t="s">
        <v>1034</v>
      </c>
      <c r="H42" s="152" t="s">
        <v>1035</v>
      </c>
    </row>
    <row r="43" spans="1:8" x14ac:dyDescent="0.2">
      <c r="A43" s="20">
        <v>45473.796759259261</v>
      </c>
      <c r="B43" t="s">
        <v>342</v>
      </c>
      <c r="C43" t="s">
        <v>211</v>
      </c>
      <c r="D43" t="s">
        <v>118</v>
      </c>
      <c r="E43" t="s">
        <v>820</v>
      </c>
      <c r="F43" t="s">
        <v>963</v>
      </c>
      <c r="G43" t="s">
        <v>118</v>
      </c>
      <c r="H43" s="152" t="s">
        <v>213</v>
      </c>
    </row>
    <row r="44" spans="1:8" x14ac:dyDescent="0.2">
      <c r="A44" s="20">
        <v>45472.980173611111</v>
      </c>
      <c r="B44" t="s">
        <v>175</v>
      </c>
      <c r="C44" t="s">
        <v>23</v>
      </c>
      <c r="D44" t="s">
        <v>118</v>
      </c>
      <c r="E44" t="s">
        <v>820</v>
      </c>
      <c r="F44" t="s">
        <v>853</v>
      </c>
      <c r="G44" t="s">
        <v>854</v>
      </c>
      <c r="H44" s="152" t="s">
        <v>178</v>
      </c>
    </row>
    <row r="45" spans="1:8" x14ac:dyDescent="0.2">
      <c r="A45" s="20">
        <v>45472.953935185185</v>
      </c>
      <c r="B45" t="s">
        <v>855</v>
      </c>
      <c r="C45" t="s">
        <v>856</v>
      </c>
      <c r="D45" t="s">
        <v>118</v>
      </c>
      <c r="E45" t="s">
        <v>820</v>
      </c>
      <c r="F45" t="s">
        <v>857</v>
      </c>
      <c r="G45" t="s">
        <v>118</v>
      </c>
      <c r="H45" s="152" t="s">
        <v>858</v>
      </c>
    </row>
    <row r="46" spans="1:8" x14ac:dyDescent="0.2">
      <c r="A46" s="20">
        <v>45472.889525462961</v>
      </c>
      <c r="B46" t="s">
        <v>28</v>
      </c>
      <c r="C46" t="s">
        <v>441</v>
      </c>
      <c r="D46" t="s">
        <v>118</v>
      </c>
      <c r="E46" t="s">
        <v>820</v>
      </c>
      <c r="F46" t="s">
        <v>859</v>
      </c>
      <c r="G46" t="s">
        <v>118</v>
      </c>
      <c r="H46" s="152" t="s">
        <v>535</v>
      </c>
    </row>
    <row r="47" spans="1:8" x14ac:dyDescent="0.2">
      <c r="A47" s="20">
        <v>45472.877488425926</v>
      </c>
      <c r="B47" t="s">
        <v>33</v>
      </c>
      <c r="C47" t="s">
        <v>725</v>
      </c>
      <c r="D47" t="s">
        <v>118</v>
      </c>
      <c r="E47" t="s">
        <v>820</v>
      </c>
      <c r="F47" t="s">
        <v>860</v>
      </c>
      <c r="G47" t="s">
        <v>861</v>
      </c>
      <c r="H47" s="152" t="s">
        <v>728</v>
      </c>
    </row>
    <row r="48" spans="1:8" x14ac:dyDescent="0.2">
      <c r="A48" s="20">
        <v>45472.727187500001</v>
      </c>
      <c r="B48" t="s">
        <v>115</v>
      </c>
      <c r="C48" t="s">
        <v>391</v>
      </c>
      <c r="D48" t="s">
        <v>118</v>
      </c>
      <c r="E48" t="s">
        <v>820</v>
      </c>
      <c r="F48" t="s">
        <v>862</v>
      </c>
      <c r="G48" t="s">
        <v>118</v>
      </c>
      <c r="H48" s="152" t="s">
        <v>194</v>
      </c>
    </row>
    <row r="49" spans="1:8" x14ac:dyDescent="0.2">
      <c r="A49" s="20">
        <v>45472.576817129629</v>
      </c>
      <c r="B49" t="s">
        <v>282</v>
      </c>
      <c r="C49" t="s">
        <v>819</v>
      </c>
      <c r="D49" t="s">
        <v>118</v>
      </c>
      <c r="E49" t="s">
        <v>820</v>
      </c>
      <c r="F49" t="s">
        <v>863</v>
      </c>
      <c r="G49" t="s">
        <v>864</v>
      </c>
      <c r="H49" s="152" t="s">
        <v>865</v>
      </c>
    </row>
    <row r="50" spans="1:8" x14ac:dyDescent="0.2">
      <c r="A50" s="20">
        <v>45472.563935185186</v>
      </c>
      <c r="B50" t="s">
        <v>76</v>
      </c>
      <c r="C50" t="s">
        <v>77</v>
      </c>
      <c r="D50" t="s">
        <v>118</v>
      </c>
      <c r="E50" t="s">
        <v>820</v>
      </c>
      <c r="F50" t="s">
        <v>866</v>
      </c>
      <c r="G50" t="s">
        <v>867</v>
      </c>
      <c r="H50" s="152" t="s">
        <v>76</v>
      </c>
    </row>
    <row r="51" spans="1:8" x14ac:dyDescent="0.2">
      <c r="A51" s="20">
        <v>45472.460740740738</v>
      </c>
      <c r="B51" t="s">
        <v>868</v>
      </c>
      <c r="C51" t="s">
        <v>869</v>
      </c>
      <c r="D51" t="s">
        <v>118</v>
      </c>
      <c r="E51" t="s">
        <v>820</v>
      </c>
      <c r="F51" t="s">
        <v>870</v>
      </c>
      <c r="G51" t="s">
        <v>871</v>
      </c>
      <c r="H51" s="152" t="s">
        <v>872</v>
      </c>
    </row>
    <row r="52" spans="1:8" x14ac:dyDescent="0.2">
      <c r="A52" s="20">
        <v>45472.372013888889</v>
      </c>
      <c r="B52" t="s">
        <v>873</v>
      </c>
      <c r="C52" t="s">
        <v>874</v>
      </c>
      <c r="D52" t="s">
        <v>118</v>
      </c>
      <c r="E52" t="s">
        <v>820</v>
      </c>
      <c r="F52" t="s">
        <v>875</v>
      </c>
      <c r="G52" t="s">
        <v>118</v>
      </c>
      <c r="H52" s="152" t="s">
        <v>873</v>
      </c>
    </row>
    <row r="53" spans="1:8" x14ac:dyDescent="0.2">
      <c r="A53" s="20">
        <v>45472.259421296294</v>
      </c>
      <c r="B53" t="s">
        <v>204</v>
      </c>
      <c r="C53" t="s">
        <v>378</v>
      </c>
      <c r="D53" t="s">
        <v>118</v>
      </c>
      <c r="E53" t="s">
        <v>820</v>
      </c>
      <c r="F53" t="s">
        <v>876</v>
      </c>
      <c r="G53" t="s">
        <v>877</v>
      </c>
      <c r="H53" s="152" t="s">
        <v>37</v>
      </c>
    </row>
    <row r="54" spans="1:8" x14ac:dyDescent="0.2">
      <c r="A54" s="20">
        <v>45472.210659722223</v>
      </c>
      <c r="B54" t="s">
        <v>531</v>
      </c>
      <c r="C54" t="s">
        <v>293</v>
      </c>
      <c r="D54" t="s">
        <v>118</v>
      </c>
      <c r="E54" t="s">
        <v>820</v>
      </c>
      <c r="F54" t="s">
        <v>959</v>
      </c>
      <c r="G54" t="s">
        <v>118</v>
      </c>
      <c r="H54" s="152" t="s">
        <v>878</v>
      </c>
    </row>
    <row r="55" spans="1:8" x14ac:dyDescent="0.2">
      <c r="A55" s="20">
        <v>45472.056064814817</v>
      </c>
      <c r="B55" t="s">
        <v>879</v>
      </c>
      <c r="C55" t="s">
        <v>880</v>
      </c>
      <c r="D55" t="s">
        <v>118</v>
      </c>
      <c r="E55" t="s">
        <v>820</v>
      </c>
      <c r="F55" t="s">
        <v>205</v>
      </c>
      <c r="G55" t="s">
        <v>881</v>
      </c>
      <c r="H55" s="152" t="s">
        <v>882</v>
      </c>
    </row>
    <row r="56" spans="1:8" x14ac:dyDescent="0.2">
      <c r="A56" s="20">
        <v>45472.055</v>
      </c>
      <c r="B56" t="s">
        <v>28</v>
      </c>
      <c r="C56" t="s">
        <v>323</v>
      </c>
      <c r="D56" t="s">
        <v>118</v>
      </c>
      <c r="E56" t="s">
        <v>820</v>
      </c>
      <c r="F56" t="s">
        <v>883</v>
      </c>
      <c r="G56" t="s">
        <v>884</v>
      </c>
      <c r="H56" s="152" t="s">
        <v>2</v>
      </c>
    </row>
    <row r="57" spans="1:8" x14ac:dyDescent="0.2">
      <c r="A57" s="20">
        <v>45472.027106481481</v>
      </c>
      <c r="B57" t="s">
        <v>135</v>
      </c>
      <c r="C57" t="s">
        <v>389</v>
      </c>
      <c r="D57" t="s">
        <v>118</v>
      </c>
      <c r="E57" t="s">
        <v>820</v>
      </c>
      <c r="F57" t="s">
        <v>885</v>
      </c>
      <c r="G57" t="s">
        <v>886</v>
      </c>
      <c r="H57" s="152" t="s">
        <v>456</v>
      </c>
    </row>
    <row r="58" spans="1:8" x14ac:dyDescent="0.2">
      <c r="A58" s="20">
        <v>45471.892245370371</v>
      </c>
      <c r="B58" t="s">
        <v>382</v>
      </c>
      <c r="C58" t="s">
        <v>182</v>
      </c>
      <c r="D58" t="s">
        <v>118</v>
      </c>
      <c r="E58" t="s">
        <v>820</v>
      </c>
      <c r="F58" t="s">
        <v>887</v>
      </c>
      <c r="G58" t="s">
        <v>118</v>
      </c>
      <c r="H58" s="152" t="s">
        <v>888</v>
      </c>
    </row>
    <row r="59" spans="1:8" x14ac:dyDescent="0.2">
      <c r="A59" s="20">
        <v>45471.740798611114</v>
      </c>
      <c r="B59" t="s">
        <v>384</v>
      </c>
      <c r="C59" t="s">
        <v>315</v>
      </c>
      <c r="D59" t="s">
        <v>118</v>
      </c>
      <c r="E59" t="s">
        <v>820</v>
      </c>
      <c r="F59" t="s">
        <v>889</v>
      </c>
      <c r="G59" t="s">
        <v>118</v>
      </c>
      <c r="H59" s="152" t="s">
        <v>317</v>
      </c>
    </row>
    <row r="60" spans="1:8" x14ac:dyDescent="0.2">
      <c r="A60" s="20">
        <v>45471.57099537037</v>
      </c>
      <c r="B60" t="s">
        <v>730</v>
      </c>
      <c r="C60" t="s">
        <v>731</v>
      </c>
      <c r="D60" t="s">
        <v>118</v>
      </c>
      <c r="E60" t="s">
        <v>820</v>
      </c>
      <c r="F60" t="s">
        <v>890</v>
      </c>
      <c r="G60" t="s">
        <v>118</v>
      </c>
      <c r="H60" s="152" t="s">
        <v>734</v>
      </c>
    </row>
    <row r="61" spans="1:8" x14ac:dyDescent="0.2">
      <c r="A61" s="20">
        <v>45471.518680555557</v>
      </c>
      <c r="B61" t="s">
        <v>388</v>
      </c>
      <c r="C61" t="s">
        <v>148</v>
      </c>
      <c r="D61" t="s">
        <v>118</v>
      </c>
      <c r="E61" t="s">
        <v>820</v>
      </c>
      <c r="F61" t="s">
        <v>891</v>
      </c>
      <c r="G61" t="s">
        <v>118</v>
      </c>
      <c r="H61" s="152" t="s">
        <v>151</v>
      </c>
    </row>
    <row r="62" spans="1:8" x14ac:dyDescent="0.2">
      <c r="A62" s="20">
        <v>45471.462106481478</v>
      </c>
      <c r="B62" t="s">
        <v>72</v>
      </c>
      <c r="C62" t="s">
        <v>124</v>
      </c>
      <c r="D62" t="s">
        <v>118</v>
      </c>
      <c r="E62" t="s">
        <v>820</v>
      </c>
      <c r="F62" t="s">
        <v>892</v>
      </c>
      <c r="G62" t="s">
        <v>893</v>
      </c>
      <c r="H62" s="152" t="s">
        <v>542</v>
      </c>
    </row>
    <row r="63" spans="1:8" x14ac:dyDescent="0.2">
      <c r="A63" s="20">
        <v>45471.434328703705</v>
      </c>
      <c r="B63" t="s">
        <v>298</v>
      </c>
      <c r="C63" t="s">
        <v>386</v>
      </c>
      <c r="D63" t="s">
        <v>118</v>
      </c>
      <c r="E63" t="s">
        <v>820</v>
      </c>
      <c r="F63" t="s">
        <v>894</v>
      </c>
      <c r="G63" t="s">
        <v>118</v>
      </c>
      <c r="H63" s="152" t="s">
        <v>467</v>
      </c>
    </row>
    <row r="64" spans="1:8" x14ac:dyDescent="0.2">
      <c r="A64" s="20">
        <v>45471.338854166665</v>
      </c>
      <c r="B64" t="s">
        <v>625</v>
      </c>
      <c r="C64" t="s">
        <v>626</v>
      </c>
      <c r="D64" t="s">
        <v>118</v>
      </c>
      <c r="E64" t="s">
        <v>820</v>
      </c>
      <c r="F64" t="s">
        <v>895</v>
      </c>
      <c r="G64" t="s">
        <v>118</v>
      </c>
      <c r="H64" s="152" t="s">
        <v>761</v>
      </c>
    </row>
    <row r="65" spans="1:8" x14ac:dyDescent="0.2">
      <c r="A65" s="20">
        <v>45470.89130787037</v>
      </c>
      <c r="B65" t="s">
        <v>383</v>
      </c>
      <c r="C65" t="s">
        <v>326</v>
      </c>
      <c r="D65" t="s">
        <v>118</v>
      </c>
      <c r="E65" t="s">
        <v>820</v>
      </c>
      <c r="F65" t="s">
        <v>896</v>
      </c>
      <c r="G65" t="s">
        <v>118</v>
      </c>
      <c r="H65" s="152" t="s">
        <v>328</v>
      </c>
    </row>
    <row r="66" spans="1:8" x14ac:dyDescent="0.2">
      <c r="A66" s="20">
        <v>45470.42496527778</v>
      </c>
      <c r="B66" t="s">
        <v>28</v>
      </c>
      <c r="C66" t="s">
        <v>897</v>
      </c>
      <c r="D66" t="s">
        <v>118</v>
      </c>
      <c r="E66" t="s">
        <v>820</v>
      </c>
      <c r="F66" t="s">
        <v>898</v>
      </c>
      <c r="G66" t="s">
        <v>118</v>
      </c>
      <c r="H66" s="152" t="s">
        <v>899</v>
      </c>
    </row>
    <row r="67" spans="1:8" x14ac:dyDescent="0.2">
      <c r="A67" s="20">
        <v>45470.280069444445</v>
      </c>
      <c r="B67" t="s">
        <v>664</v>
      </c>
      <c r="C67" t="s">
        <v>665</v>
      </c>
      <c r="D67" t="s">
        <v>118</v>
      </c>
      <c r="E67" t="s">
        <v>820</v>
      </c>
      <c r="F67" t="s">
        <v>900</v>
      </c>
      <c r="G67" t="s">
        <v>118</v>
      </c>
      <c r="H67" s="152" t="s">
        <v>664</v>
      </c>
    </row>
    <row r="68" spans="1:8" x14ac:dyDescent="0.2">
      <c r="A68" s="20">
        <v>45468.945520833331</v>
      </c>
      <c r="B68" t="s">
        <v>160</v>
      </c>
      <c r="C68" t="s">
        <v>635</v>
      </c>
      <c r="D68" t="s">
        <v>118</v>
      </c>
      <c r="E68" t="s">
        <v>820</v>
      </c>
      <c r="F68" t="s">
        <v>901</v>
      </c>
      <c r="G68" t="s">
        <v>118</v>
      </c>
      <c r="H68" s="152" t="s">
        <v>637</v>
      </c>
    </row>
    <row r="69" spans="1:8" x14ac:dyDescent="0.2">
      <c r="A69" s="20">
        <v>45468.944247685184</v>
      </c>
      <c r="B69" t="s">
        <v>902</v>
      </c>
      <c r="C69" t="s">
        <v>903</v>
      </c>
      <c r="D69" t="s">
        <v>118</v>
      </c>
      <c r="E69" t="s">
        <v>820</v>
      </c>
      <c r="F69" t="s">
        <v>904</v>
      </c>
      <c r="G69" t="s">
        <v>905</v>
      </c>
      <c r="H69" s="152" t="s">
        <v>906</v>
      </c>
    </row>
    <row r="70" spans="1:8" x14ac:dyDescent="0.2">
      <c r="A70" s="20">
        <v>45468.860219907408</v>
      </c>
      <c r="B70" t="s">
        <v>54</v>
      </c>
      <c r="C70" t="s">
        <v>907</v>
      </c>
      <c r="D70" t="s">
        <v>118</v>
      </c>
      <c r="E70" t="s">
        <v>820</v>
      </c>
      <c r="F70" t="s">
        <v>908</v>
      </c>
      <c r="G70" t="s">
        <v>118</v>
      </c>
      <c r="H70" s="152" t="s">
        <v>909</v>
      </c>
    </row>
    <row r="71" spans="1:8" x14ac:dyDescent="0.2">
      <c r="A71" s="20">
        <v>45468.757349537038</v>
      </c>
      <c r="B71" t="s">
        <v>131</v>
      </c>
      <c r="C71" t="s">
        <v>132</v>
      </c>
      <c r="D71" t="s">
        <v>118</v>
      </c>
      <c r="E71" t="s">
        <v>820</v>
      </c>
      <c r="F71" t="s">
        <v>105</v>
      </c>
      <c r="G71" t="s">
        <v>118</v>
      </c>
      <c r="H71" s="152" t="s">
        <v>464</v>
      </c>
    </row>
    <row r="72" spans="1:8" x14ac:dyDescent="0.2">
      <c r="A72" s="20">
        <v>45468.74664351852</v>
      </c>
      <c r="B72" t="s">
        <v>120</v>
      </c>
      <c r="C72" t="s">
        <v>121</v>
      </c>
      <c r="D72" t="s">
        <v>118</v>
      </c>
      <c r="E72" t="s">
        <v>820</v>
      </c>
      <c r="F72" t="s">
        <v>910</v>
      </c>
      <c r="G72" t="s">
        <v>118</v>
      </c>
      <c r="H72" s="152" t="s">
        <v>123</v>
      </c>
    </row>
    <row r="73" spans="1:8" x14ac:dyDescent="0.2">
      <c r="A73" s="20">
        <v>45468.735891203702</v>
      </c>
      <c r="B73" t="s">
        <v>124</v>
      </c>
      <c r="C73" t="s">
        <v>125</v>
      </c>
      <c r="D73" t="s">
        <v>118</v>
      </c>
      <c r="E73" t="s">
        <v>820</v>
      </c>
      <c r="F73" t="s">
        <v>911</v>
      </c>
      <c r="G73" t="s">
        <v>912</v>
      </c>
      <c r="H73" s="152" t="s">
        <v>561</v>
      </c>
    </row>
    <row r="74" spans="1:8" x14ac:dyDescent="0.2">
      <c r="A74" s="20">
        <v>45468.681527777779</v>
      </c>
      <c r="B74" t="s">
        <v>130</v>
      </c>
      <c r="C74" t="s">
        <v>86</v>
      </c>
      <c r="D74" t="s">
        <v>118</v>
      </c>
      <c r="E74" t="s">
        <v>820</v>
      </c>
      <c r="F74" t="s">
        <v>960</v>
      </c>
      <c r="G74" t="s">
        <v>913</v>
      </c>
      <c r="H74" s="152" t="s">
        <v>462</v>
      </c>
    </row>
    <row r="75" spans="1:8" x14ac:dyDescent="0.2">
      <c r="A75" s="20">
        <v>45468.649652777778</v>
      </c>
      <c r="B75" t="s">
        <v>160</v>
      </c>
      <c r="C75" t="s">
        <v>630</v>
      </c>
      <c r="D75" t="s">
        <v>118</v>
      </c>
      <c r="E75" t="s">
        <v>820</v>
      </c>
      <c r="F75" t="s">
        <v>914</v>
      </c>
      <c r="G75" t="s">
        <v>915</v>
      </c>
      <c r="H75" s="152" t="s">
        <v>633</v>
      </c>
    </row>
    <row r="76" spans="1:8" x14ac:dyDescent="0.2">
      <c r="A76" s="20">
        <v>45468.538055555553</v>
      </c>
      <c r="B76" t="s">
        <v>916</v>
      </c>
      <c r="C76" t="s">
        <v>917</v>
      </c>
      <c r="D76" t="s">
        <v>118</v>
      </c>
      <c r="E76" t="s">
        <v>820</v>
      </c>
      <c r="F76" t="s">
        <v>918</v>
      </c>
      <c r="G76" t="s">
        <v>118</v>
      </c>
      <c r="H76" s="152" t="s">
        <v>919</v>
      </c>
    </row>
    <row r="77" spans="1:8" x14ac:dyDescent="0.2">
      <c r="A77" s="20">
        <v>45468.532627314817</v>
      </c>
      <c r="B77" t="s">
        <v>28</v>
      </c>
      <c r="C77" t="s">
        <v>390</v>
      </c>
      <c r="D77" t="s">
        <v>118</v>
      </c>
      <c r="E77" t="s">
        <v>820</v>
      </c>
      <c r="F77" t="s">
        <v>920</v>
      </c>
      <c r="G77" t="s">
        <v>118</v>
      </c>
      <c r="H77" s="152" t="s">
        <v>242</v>
      </c>
    </row>
    <row r="78" spans="1:8" x14ac:dyDescent="0.2">
      <c r="A78" s="20">
        <v>45468.531643518516</v>
      </c>
      <c r="B78" t="s">
        <v>773</v>
      </c>
      <c r="C78" t="s">
        <v>774</v>
      </c>
      <c r="D78" t="s">
        <v>118</v>
      </c>
      <c r="E78" t="s">
        <v>820</v>
      </c>
      <c r="F78" t="s">
        <v>921</v>
      </c>
      <c r="G78" t="s">
        <v>922</v>
      </c>
      <c r="H78" s="152" t="s">
        <v>923</v>
      </c>
    </row>
    <row r="79" spans="1:8" x14ac:dyDescent="0.2">
      <c r="A79" s="20">
        <v>45468.531087962961</v>
      </c>
      <c r="B79" t="s">
        <v>769</v>
      </c>
      <c r="C79" t="s">
        <v>1027</v>
      </c>
      <c r="D79" t="s">
        <v>118</v>
      </c>
      <c r="E79" t="s">
        <v>820</v>
      </c>
      <c r="F79" t="s">
        <v>924</v>
      </c>
      <c r="G79" t="s">
        <v>771</v>
      </c>
      <c r="H79" s="152" t="s">
        <v>772</v>
      </c>
    </row>
    <row r="80" spans="1:8" x14ac:dyDescent="0.2">
      <c r="A80" s="20">
        <v>45468.514803240738</v>
      </c>
      <c r="B80" t="s">
        <v>138</v>
      </c>
      <c r="C80" t="s">
        <v>139</v>
      </c>
      <c r="D80" t="s">
        <v>118</v>
      </c>
      <c r="E80" t="s">
        <v>820</v>
      </c>
      <c r="F80" t="s">
        <v>964</v>
      </c>
      <c r="G80" t="s">
        <v>118</v>
      </c>
      <c r="H80" s="152" t="s">
        <v>451</v>
      </c>
    </row>
    <row r="81" spans="1:8" x14ac:dyDescent="0.2">
      <c r="A81" s="20">
        <v>45468.480613425927</v>
      </c>
      <c r="B81" t="s">
        <v>103</v>
      </c>
      <c r="C81" t="s">
        <v>104</v>
      </c>
      <c r="D81" t="s">
        <v>118</v>
      </c>
      <c r="E81" t="s">
        <v>820</v>
      </c>
      <c r="F81" t="s">
        <v>926</v>
      </c>
      <c r="G81" t="s">
        <v>118</v>
      </c>
      <c r="H81" s="152" t="s">
        <v>103</v>
      </c>
    </row>
    <row r="82" spans="1:8" x14ac:dyDescent="0.2">
      <c r="A82" s="20">
        <v>45468.479097222225</v>
      </c>
      <c r="B82" t="s">
        <v>195</v>
      </c>
      <c r="C82" t="s">
        <v>196</v>
      </c>
      <c r="D82" t="s">
        <v>118</v>
      </c>
      <c r="E82" t="s">
        <v>820</v>
      </c>
      <c r="F82" t="s">
        <v>927</v>
      </c>
      <c r="G82" t="s">
        <v>118</v>
      </c>
      <c r="H82" s="152" t="s">
        <v>199</v>
      </c>
    </row>
    <row r="83" spans="1:8" x14ac:dyDescent="0.2">
      <c r="A83" s="20">
        <v>45468.478495370371</v>
      </c>
      <c r="B83" t="s">
        <v>385</v>
      </c>
      <c r="C83" t="s">
        <v>379</v>
      </c>
      <c r="D83" t="s">
        <v>118</v>
      </c>
      <c r="E83" t="s">
        <v>820</v>
      </c>
      <c r="F83" t="s">
        <v>928</v>
      </c>
      <c r="G83" t="s">
        <v>118</v>
      </c>
      <c r="H83" s="152" t="s">
        <v>929</v>
      </c>
    </row>
    <row r="84" spans="1:8" x14ac:dyDescent="0.2">
      <c r="A84" s="20">
        <v>45468.445891203701</v>
      </c>
      <c r="B84" t="s">
        <v>46</v>
      </c>
      <c r="C84" t="s">
        <v>47</v>
      </c>
      <c r="D84" t="s">
        <v>118</v>
      </c>
      <c r="E84" t="s">
        <v>820</v>
      </c>
      <c r="F84" t="s">
        <v>930</v>
      </c>
      <c r="G84" t="s">
        <v>118</v>
      </c>
      <c r="H84" s="152" t="s">
        <v>159</v>
      </c>
    </row>
    <row r="85" spans="1:8" x14ac:dyDescent="0.2">
      <c r="A85" s="20">
        <v>45468.397893518515</v>
      </c>
      <c r="B85" t="s">
        <v>188</v>
      </c>
      <c r="C85" t="s">
        <v>737</v>
      </c>
      <c r="D85" t="s">
        <v>118</v>
      </c>
      <c r="E85" t="s">
        <v>820</v>
      </c>
      <c r="F85" t="s">
        <v>931</v>
      </c>
      <c r="G85" t="s">
        <v>932</v>
      </c>
      <c r="H85" s="152" t="s">
        <v>740</v>
      </c>
    </row>
    <row r="86" spans="1:8" x14ac:dyDescent="0.2">
      <c r="A86" s="20">
        <v>45468.393750000003</v>
      </c>
      <c r="B86" t="s">
        <v>204</v>
      </c>
      <c r="C86" t="s">
        <v>515</v>
      </c>
      <c r="D86" t="s">
        <v>118</v>
      </c>
      <c r="E86" t="s">
        <v>820</v>
      </c>
      <c r="F86" t="s">
        <v>925</v>
      </c>
      <c r="G86" t="s">
        <v>933</v>
      </c>
      <c r="H86" s="152" t="s">
        <v>351</v>
      </c>
    </row>
    <row r="87" spans="1:8" x14ac:dyDescent="0.2">
      <c r="A87" s="20">
        <v>45468.393599537034</v>
      </c>
      <c r="B87" t="s">
        <v>934</v>
      </c>
      <c r="C87" t="s">
        <v>935</v>
      </c>
      <c r="D87" t="s">
        <v>118</v>
      </c>
      <c r="E87" t="s">
        <v>820</v>
      </c>
      <c r="F87" t="s">
        <v>936</v>
      </c>
      <c r="G87" t="s">
        <v>118</v>
      </c>
      <c r="H87" s="152" t="s">
        <v>937</v>
      </c>
    </row>
    <row r="88" spans="1:8" x14ac:dyDescent="0.2">
      <c r="A88" s="20">
        <v>45468.379166666666</v>
      </c>
      <c r="B88" t="s">
        <v>902</v>
      </c>
      <c r="C88" t="s">
        <v>1016</v>
      </c>
      <c r="D88" t="s">
        <v>118</v>
      </c>
      <c r="E88" t="s">
        <v>820</v>
      </c>
      <c r="F88" t="s">
        <v>938</v>
      </c>
      <c r="G88" t="s">
        <v>939</v>
      </c>
      <c r="H88" s="152" t="s">
        <v>940</v>
      </c>
    </row>
    <row r="89" spans="1:8" x14ac:dyDescent="0.2">
      <c r="A89" s="20">
        <v>45468.368368055555</v>
      </c>
      <c r="B89" t="s">
        <v>160</v>
      </c>
      <c r="C89" t="s">
        <v>332</v>
      </c>
      <c r="D89" t="s">
        <v>118</v>
      </c>
      <c r="E89" t="s">
        <v>820</v>
      </c>
      <c r="F89" t="s">
        <v>941</v>
      </c>
      <c r="G89" t="s">
        <v>942</v>
      </c>
      <c r="H89" s="152" t="s">
        <v>160</v>
      </c>
    </row>
    <row r="90" spans="1:8" x14ac:dyDescent="0.2">
      <c r="A90" s="20">
        <v>45468.351099537038</v>
      </c>
      <c r="B90" t="s">
        <v>28</v>
      </c>
      <c r="C90" t="s">
        <v>29</v>
      </c>
      <c r="D90" t="s">
        <v>118</v>
      </c>
      <c r="E90" t="s">
        <v>820</v>
      </c>
      <c r="F90" t="s">
        <v>284</v>
      </c>
      <c r="G90" t="s">
        <v>118</v>
      </c>
      <c r="H90" s="152" t="s">
        <v>271</v>
      </c>
    </row>
    <row r="91" spans="1:8" x14ac:dyDescent="0.2">
      <c r="A91" s="20">
        <v>45468.349236111113</v>
      </c>
      <c r="B91" t="s">
        <v>67</v>
      </c>
      <c r="C91" t="s">
        <v>68</v>
      </c>
      <c r="D91" t="s">
        <v>118</v>
      </c>
      <c r="E91" t="s">
        <v>820</v>
      </c>
      <c r="F91" t="s">
        <v>943</v>
      </c>
      <c r="G91" t="s">
        <v>944</v>
      </c>
      <c r="H91" s="152" t="s">
        <v>67</v>
      </c>
    </row>
    <row r="92" spans="1:8" x14ac:dyDescent="0.2">
      <c r="A92" s="20">
        <v>45453.618252314816</v>
      </c>
      <c r="B92" t="s">
        <v>844</v>
      </c>
      <c r="C92" t="s">
        <v>845</v>
      </c>
      <c r="D92" t="s">
        <v>118</v>
      </c>
      <c r="E92" t="s">
        <v>820</v>
      </c>
      <c r="F92" t="s">
        <v>847</v>
      </c>
      <c r="G92" t="s">
        <v>848</v>
      </c>
      <c r="H92" s="152" t="s">
        <v>846</v>
      </c>
    </row>
    <row r="93" spans="1:8" x14ac:dyDescent="0.2">
      <c r="A93" s="20">
        <v>45453.478101851855</v>
      </c>
      <c r="B93" t="s">
        <v>841</v>
      </c>
      <c r="C93" t="s">
        <v>842</v>
      </c>
      <c r="D93" t="s">
        <v>118</v>
      </c>
      <c r="E93" t="s">
        <v>820</v>
      </c>
      <c r="F93" t="s">
        <v>849</v>
      </c>
      <c r="G93" t="s">
        <v>118</v>
      </c>
      <c r="H93" s="152" t="s">
        <v>843</v>
      </c>
    </row>
    <row r="94" spans="1:8" x14ac:dyDescent="0.2">
      <c r="A94" s="20">
        <v>45447.583368055559</v>
      </c>
      <c r="B94" t="s">
        <v>817</v>
      </c>
      <c r="C94" t="s">
        <v>818</v>
      </c>
      <c r="D94" t="s">
        <v>118</v>
      </c>
      <c r="E94" t="s">
        <v>820</v>
      </c>
      <c r="F94" t="s">
        <v>821</v>
      </c>
      <c r="G94" t="s">
        <v>822</v>
      </c>
      <c r="H94" s="152" t="s">
        <v>817</v>
      </c>
    </row>
    <row r="95" spans="1:8" x14ac:dyDescent="0.2">
      <c r="A95" s="20">
        <v>45443.796226851853</v>
      </c>
      <c r="B95" t="s">
        <v>145</v>
      </c>
      <c r="C95" t="s">
        <v>380</v>
      </c>
      <c r="D95" t="s">
        <v>118</v>
      </c>
      <c r="E95" t="s">
        <v>682</v>
      </c>
      <c r="F95" t="s">
        <v>823</v>
      </c>
      <c r="G95" t="s">
        <v>804</v>
      </c>
      <c r="H95" s="152" t="s">
        <v>805</v>
      </c>
    </row>
    <row r="96" spans="1:8" x14ac:dyDescent="0.2">
      <c r="A96" s="20">
        <v>45443.591805555552</v>
      </c>
      <c r="B96" t="s">
        <v>282</v>
      </c>
      <c r="C96" t="s">
        <v>819</v>
      </c>
      <c r="D96" t="s">
        <v>118</v>
      </c>
      <c r="E96" t="s">
        <v>682</v>
      </c>
      <c r="F96" t="s">
        <v>824</v>
      </c>
      <c r="G96" t="s">
        <v>807</v>
      </c>
      <c r="H96" s="152" t="s">
        <v>808</v>
      </c>
    </row>
    <row r="97" spans="1:8" x14ac:dyDescent="0.2">
      <c r="A97" s="20">
        <v>45442.992766203701</v>
      </c>
      <c r="B97" t="s">
        <v>342</v>
      </c>
      <c r="C97" t="s">
        <v>211</v>
      </c>
      <c r="D97" t="s">
        <v>118</v>
      </c>
      <c r="E97" t="s">
        <v>682</v>
      </c>
      <c r="F97" t="s">
        <v>825</v>
      </c>
      <c r="G97" t="s">
        <v>118</v>
      </c>
      <c r="H97" s="152" t="s">
        <v>213</v>
      </c>
    </row>
    <row r="98" spans="1:8" x14ac:dyDescent="0.2">
      <c r="A98" s="20">
        <v>45442.972094907411</v>
      </c>
      <c r="B98" t="s">
        <v>124</v>
      </c>
      <c r="C98" t="s">
        <v>166</v>
      </c>
      <c r="D98" t="s">
        <v>118</v>
      </c>
      <c r="E98" t="s">
        <v>682</v>
      </c>
      <c r="F98" t="s">
        <v>826</v>
      </c>
      <c r="G98" t="s">
        <v>118</v>
      </c>
      <c r="H98" s="152" t="s">
        <v>124</v>
      </c>
    </row>
    <row r="99" spans="1:8" x14ac:dyDescent="0.2">
      <c r="A99" s="20">
        <v>45442.867418981485</v>
      </c>
      <c r="B99" t="s">
        <v>204</v>
      </c>
      <c r="C99" t="s">
        <v>515</v>
      </c>
      <c r="D99" t="s">
        <v>118</v>
      </c>
      <c r="E99" t="s">
        <v>682</v>
      </c>
      <c r="F99" t="s">
        <v>827</v>
      </c>
      <c r="G99" t="s">
        <v>809</v>
      </c>
      <c r="H99" s="152" t="s">
        <v>351</v>
      </c>
    </row>
    <row r="100" spans="1:8" x14ac:dyDescent="0.2">
      <c r="A100" s="20">
        <v>45442.845254629632</v>
      </c>
      <c r="B100" t="s">
        <v>175</v>
      </c>
      <c r="C100" t="s">
        <v>23</v>
      </c>
      <c r="D100" t="s">
        <v>118</v>
      </c>
      <c r="E100" t="s">
        <v>682</v>
      </c>
      <c r="F100" t="s">
        <v>800</v>
      </c>
      <c r="G100" t="s">
        <v>801</v>
      </c>
      <c r="H100" s="152" t="s">
        <v>178</v>
      </c>
    </row>
    <row r="101" spans="1:8" x14ac:dyDescent="0.2">
      <c r="A101" s="20">
        <v>45442.780740740738</v>
      </c>
      <c r="B101" t="s">
        <v>28</v>
      </c>
      <c r="C101" t="s">
        <v>323</v>
      </c>
      <c r="D101" t="s">
        <v>118</v>
      </c>
      <c r="E101" t="s">
        <v>682</v>
      </c>
      <c r="F101" t="s">
        <v>828</v>
      </c>
      <c r="G101" t="s">
        <v>810</v>
      </c>
      <c r="H101" s="152" t="s">
        <v>2</v>
      </c>
    </row>
    <row r="102" spans="1:8" x14ac:dyDescent="0.2">
      <c r="A102" s="20">
        <v>45442.739571759259</v>
      </c>
      <c r="B102" t="s">
        <v>28</v>
      </c>
      <c r="C102" t="s">
        <v>441</v>
      </c>
      <c r="D102" t="s">
        <v>118</v>
      </c>
      <c r="E102" t="s">
        <v>682</v>
      </c>
      <c r="F102" t="s">
        <v>683</v>
      </c>
      <c r="G102" t="s">
        <v>118</v>
      </c>
      <c r="H102" s="152" t="s">
        <v>535</v>
      </c>
    </row>
    <row r="103" spans="1:8" x14ac:dyDescent="0.2">
      <c r="A103" s="20">
        <v>45442.716412037036</v>
      </c>
      <c r="B103" t="s">
        <v>135</v>
      </c>
      <c r="C103" t="s">
        <v>389</v>
      </c>
      <c r="D103" t="s">
        <v>118</v>
      </c>
      <c r="E103" t="s">
        <v>682</v>
      </c>
      <c r="F103" t="s">
        <v>684</v>
      </c>
      <c r="G103" t="s">
        <v>685</v>
      </c>
      <c r="H103" s="152" t="s">
        <v>456</v>
      </c>
    </row>
    <row r="104" spans="1:8" x14ac:dyDescent="0.2">
      <c r="A104" s="20">
        <v>45442.589004629626</v>
      </c>
      <c r="B104" t="s">
        <v>28</v>
      </c>
      <c r="C104" t="s">
        <v>686</v>
      </c>
      <c r="D104" t="s">
        <v>118</v>
      </c>
      <c r="E104" t="s">
        <v>682</v>
      </c>
      <c r="F104" t="s">
        <v>687</v>
      </c>
      <c r="G104" t="s">
        <v>688</v>
      </c>
      <c r="H104" s="152" t="s">
        <v>689</v>
      </c>
    </row>
    <row r="105" spans="1:8" x14ac:dyDescent="0.2">
      <c r="A105" s="20">
        <v>45442.555324074077</v>
      </c>
      <c r="B105" t="s">
        <v>72</v>
      </c>
      <c r="C105" t="s">
        <v>562</v>
      </c>
      <c r="D105" t="s">
        <v>118</v>
      </c>
      <c r="E105" t="s">
        <v>682</v>
      </c>
      <c r="F105" t="s">
        <v>690</v>
      </c>
      <c r="G105" t="s">
        <v>118</v>
      </c>
      <c r="H105" s="152" t="s">
        <v>566</v>
      </c>
    </row>
    <row r="106" spans="1:8" x14ac:dyDescent="0.2">
      <c r="A106" s="20">
        <v>45442.494826388887</v>
      </c>
      <c r="B106" t="s">
        <v>525</v>
      </c>
      <c r="C106" t="s">
        <v>691</v>
      </c>
      <c r="D106" t="s">
        <v>118</v>
      </c>
      <c r="E106" t="s">
        <v>682</v>
      </c>
      <c r="F106" t="s">
        <v>692</v>
      </c>
      <c r="G106" t="s">
        <v>118</v>
      </c>
      <c r="H106" s="152" t="s">
        <v>693</v>
      </c>
    </row>
    <row r="107" spans="1:8" x14ac:dyDescent="0.2">
      <c r="A107" s="20">
        <v>45442.370821759258</v>
      </c>
      <c r="B107" t="s">
        <v>204</v>
      </c>
      <c r="C107" t="s">
        <v>378</v>
      </c>
      <c r="D107" t="s">
        <v>118</v>
      </c>
      <c r="E107" t="s">
        <v>682</v>
      </c>
      <c r="F107" t="s">
        <v>694</v>
      </c>
      <c r="G107" t="s">
        <v>695</v>
      </c>
      <c r="H107" s="152" t="s">
        <v>37</v>
      </c>
    </row>
    <row r="108" spans="1:8" x14ac:dyDescent="0.2">
      <c r="A108" s="20">
        <v>45442.358819444446</v>
      </c>
      <c r="B108" t="s">
        <v>112</v>
      </c>
      <c r="C108" t="s">
        <v>395</v>
      </c>
      <c r="D108" t="s">
        <v>118</v>
      </c>
      <c r="E108" t="s">
        <v>682</v>
      </c>
      <c r="F108" t="s">
        <v>696</v>
      </c>
      <c r="G108" t="s">
        <v>697</v>
      </c>
      <c r="H108" s="152" t="s">
        <v>698</v>
      </c>
    </row>
    <row r="109" spans="1:8" x14ac:dyDescent="0.2">
      <c r="A109" s="20">
        <v>45442.346099537041</v>
      </c>
      <c r="B109" t="s">
        <v>72</v>
      </c>
      <c r="C109" t="s">
        <v>552</v>
      </c>
      <c r="D109" t="s">
        <v>118</v>
      </c>
      <c r="E109" t="s">
        <v>682</v>
      </c>
      <c r="F109" t="s">
        <v>699</v>
      </c>
      <c r="G109" t="s">
        <v>700</v>
      </c>
      <c r="H109" s="152" t="s">
        <v>701</v>
      </c>
    </row>
    <row r="110" spans="1:8" x14ac:dyDescent="0.2">
      <c r="A110" s="20">
        <v>45441.860567129632</v>
      </c>
      <c r="B110" t="s">
        <v>76</v>
      </c>
      <c r="C110" t="s">
        <v>77</v>
      </c>
      <c r="D110" t="s">
        <v>118</v>
      </c>
      <c r="E110" t="s">
        <v>682</v>
      </c>
      <c r="F110" t="s">
        <v>702</v>
      </c>
      <c r="G110" t="s">
        <v>118</v>
      </c>
      <c r="H110" s="152" t="s">
        <v>76</v>
      </c>
    </row>
    <row r="111" spans="1:8" x14ac:dyDescent="0.2">
      <c r="A111" s="20">
        <v>45441.837650462963</v>
      </c>
      <c r="B111" t="s">
        <v>357</v>
      </c>
      <c r="C111" t="s">
        <v>358</v>
      </c>
      <c r="D111" t="s">
        <v>118</v>
      </c>
      <c r="E111" t="s">
        <v>682</v>
      </c>
      <c r="F111" t="s">
        <v>703</v>
      </c>
      <c r="G111" t="s">
        <v>118</v>
      </c>
      <c r="H111" s="152" t="s">
        <v>357</v>
      </c>
    </row>
    <row r="112" spans="1:8" x14ac:dyDescent="0.2">
      <c r="A112" s="20">
        <v>45441.571400462963</v>
      </c>
      <c r="B112" t="s">
        <v>282</v>
      </c>
      <c r="C112" t="s">
        <v>704</v>
      </c>
      <c r="D112" t="s">
        <v>118</v>
      </c>
      <c r="E112" t="s">
        <v>682</v>
      </c>
      <c r="F112" t="s">
        <v>705</v>
      </c>
      <c r="G112" t="s">
        <v>706</v>
      </c>
      <c r="H112" s="152" t="s">
        <v>707</v>
      </c>
    </row>
    <row r="113" spans="1:8" x14ac:dyDescent="0.2">
      <c r="A113" s="20">
        <v>45441.453761574077</v>
      </c>
      <c r="B113" t="s">
        <v>72</v>
      </c>
      <c r="C113" t="s">
        <v>708</v>
      </c>
      <c r="D113" t="s">
        <v>118</v>
      </c>
      <c r="E113" t="s">
        <v>682</v>
      </c>
      <c r="F113" t="s">
        <v>709</v>
      </c>
      <c r="G113" t="s">
        <v>118</v>
      </c>
      <c r="H113" s="152" t="s">
        <v>710</v>
      </c>
    </row>
    <row r="114" spans="1:8" x14ac:dyDescent="0.2">
      <c r="A114" s="20">
        <v>45441.388356481482</v>
      </c>
      <c r="B114" t="s">
        <v>28</v>
      </c>
      <c r="C114" t="s">
        <v>390</v>
      </c>
      <c r="D114" t="s">
        <v>118</v>
      </c>
      <c r="E114" t="s">
        <v>682</v>
      </c>
      <c r="F114" t="s">
        <v>711</v>
      </c>
      <c r="G114" t="s">
        <v>712</v>
      </c>
      <c r="H114" s="152" t="s">
        <v>242</v>
      </c>
    </row>
    <row r="115" spans="1:8" x14ac:dyDescent="0.2">
      <c r="A115" s="20">
        <v>45441.356458333335</v>
      </c>
      <c r="B115" t="s">
        <v>525</v>
      </c>
      <c r="C115" t="s">
        <v>526</v>
      </c>
      <c r="D115" t="s">
        <v>118</v>
      </c>
      <c r="E115" t="s">
        <v>682</v>
      </c>
      <c r="F115" t="s">
        <v>713</v>
      </c>
      <c r="G115" t="s">
        <v>714</v>
      </c>
      <c r="H115" s="152" t="s">
        <v>525</v>
      </c>
    </row>
    <row r="116" spans="1:8" x14ac:dyDescent="0.2">
      <c r="A116" s="20">
        <v>45441.35465277778</v>
      </c>
      <c r="B116" t="s">
        <v>72</v>
      </c>
      <c r="C116" t="s">
        <v>124</v>
      </c>
      <c r="D116" t="s">
        <v>118</v>
      </c>
      <c r="E116" t="s">
        <v>682</v>
      </c>
      <c r="F116" t="s">
        <v>797</v>
      </c>
      <c r="G116" t="s">
        <v>716</v>
      </c>
      <c r="H116" s="152" t="s">
        <v>542</v>
      </c>
    </row>
    <row r="117" spans="1:8" x14ac:dyDescent="0.2">
      <c r="A117" s="20">
        <v>45441.316516203704</v>
      </c>
      <c r="B117" t="s">
        <v>717</v>
      </c>
      <c r="C117" t="s">
        <v>718</v>
      </c>
      <c r="D117" t="s">
        <v>118</v>
      </c>
      <c r="E117" t="s">
        <v>682</v>
      </c>
      <c r="F117" t="s">
        <v>719</v>
      </c>
      <c r="G117" t="s">
        <v>118</v>
      </c>
      <c r="H117" s="152" t="s">
        <v>720</v>
      </c>
    </row>
    <row r="118" spans="1:8" x14ac:dyDescent="0.2">
      <c r="A118" s="20">
        <v>45441.016157407408</v>
      </c>
      <c r="B118" t="s">
        <v>135</v>
      </c>
      <c r="C118" t="s">
        <v>389</v>
      </c>
      <c r="D118" t="s">
        <v>118</v>
      </c>
      <c r="E118" t="s">
        <v>798</v>
      </c>
      <c r="F118" t="s">
        <v>721</v>
      </c>
      <c r="G118" t="s">
        <v>722</v>
      </c>
      <c r="H118" s="152" t="s">
        <v>723</v>
      </c>
    </row>
    <row r="119" spans="1:8" x14ac:dyDescent="0.2">
      <c r="A119" s="20">
        <v>45440.98578703704</v>
      </c>
      <c r="B119" t="s">
        <v>124</v>
      </c>
      <c r="C119" t="s">
        <v>125</v>
      </c>
      <c r="D119" t="s">
        <v>118</v>
      </c>
      <c r="E119" t="s">
        <v>682</v>
      </c>
      <c r="F119" t="s">
        <v>568</v>
      </c>
      <c r="G119" t="s">
        <v>724</v>
      </c>
      <c r="H119" s="152" t="s">
        <v>124</v>
      </c>
    </row>
    <row r="120" spans="1:8" x14ac:dyDescent="0.2">
      <c r="A120" s="20">
        <v>45440.964849537035</v>
      </c>
      <c r="B120" t="s">
        <v>33</v>
      </c>
      <c r="C120" t="s">
        <v>725</v>
      </c>
      <c r="D120" t="s">
        <v>118</v>
      </c>
      <c r="E120" t="s">
        <v>682</v>
      </c>
      <c r="F120" t="s">
        <v>726</v>
      </c>
      <c r="G120" t="s">
        <v>727</v>
      </c>
      <c r="H120" s="152" t="s">
        <v>728</v>
      </c>
    </row>
    <row r="121" spans="1:8" x14ac:dyDescent="0.2">
      <c r="A121" s="20">
        <v>45440.823553240742</v>
      </c>
      <c r="B121" t="s">
        <v>305</v>
      </c>
      <c r="C121" t="s">
        <v>306</v>
      </c>
      <c r="D121" t="s">
        <v>118</v>
      </c>
      <c r="E121" t="s">
        <v>682</v>
      </c>
      <c r="F121" t="s">
        <v>715</v>
      </c>
      <c r="G121" t="s">
        <v>729</v>
      </c>
      <c r="H121" s="152" t="s">
        <v>309</v>
      </c>
    </row>
    <row r="122" spans="1:8" x14ac:dyDescent="0.2">
      <c r="A122" s="20">
        <v>45440.813252314816</v>
      </c>
      <c r="B122" t="s">
        <v>730</v>
      </c>
      <c r="C122" t="s">
        <v>731</v>
      </c>
      <c r="D122" t="s">
        <v>118</v>
      </c>
      <c r="E122" t="s">
        <v>682</v>
      </c>
      <c r="F122" t="s">
        <v>732</v>
      </c>
      <c r="G122" t="s">
        <v>733</v>
      </c>
      <c r="H122" s="152" t="s">
        <v>734</v>
      </c>
    </row>
    <row r="123" spans="1:8" x14ac:dyDescent="0.2">
      <c r="A123" s="20">
        <v>45440.782361111109</v>
      </c>
      <c r="B123" t="s">
        <v>298</v>
      </c>
      <c r="C123" t="s">
        <v>386</v>
      </c>
      <c r="D123" t="s">
        <v>118</v>
      </c>
      <c r="E123" t="s">
        <v>682</v>
      </c>
      <c r="F123" t="s">
        <v>735</v>
      </c>
      <c r="G123" t="s">
        <v>118</v>
      </c>
      <c r="H123" s="152" t="s">
        <v>300</v>
      </c>
    </row>
    <row r="124" spans="1:8" x14ac:dyDescent="0.2">
      <c r="A124" s="20">
        <v>45440.507245370369</v>
      </c>
      <c r="B124" t="s">
        <v>388</v>
      </c>
      <c r="C124" t="s">
        <v>148</v>
      </c>
      <c r="D124" t="s">
        <v>118</v>
      </c>
      <c r="E124" t="s">
        <v>682</v>
      </c>
      <c r="F124" t="s">
        <v>736</v>
      </c>
      <c r="G124" t="s">
        <v>118</v>
      </c>
      <c r="H124" s="152" t="s">
        <v>151</v>
      </c>
    </row>
    <row r="125" spans="1:8" x14ac:dyDescent="0.2">
      <c r="A125" s="20">
        <v>45440.4609837963</v>
      </c>
      <c r="B125" t="s">
        <v>188</v>
      </c>
      <c r="C125" t="s">
        <v>737</v>
      </c>
      <c r="D125" t="s">
        <v>118</v>
      </c>
      <c r="E125" t="s">
        <v>682</v>
      </c>
      <c r="F125" t="s">
        <v>738</v>
      </c>
      <c r="G125" t="s">
        <v>739</v>
      </c>
      <c r="H125" s="152" t="s">
        <v>740</v>
      </c>
    </row>
    <row r="126" spans="1:8" x14ac:dyDescent="0.2">
      <c r="A126" s="20">
        <v>45440.439930555556</v>
      </c>
      <c r="B126" t="s">
        <v>120</v>
      </c>
      <c r="C126" t="s">
        <v>121</v>
      </c>
      <c r="D126" t="s">
        <v>118</v>
      </c>
      <c r="E126" t="s">
        <v>682</v>
      </c>
      <c r="F126" t="s">
        <v>741</v>
      </c>
      <c r="G126" t="s">
        <v>118</v>
      </c>
      <c r="H126" s="152" t="s">
        <v>123</v>
      </c>
    </row>
    <row r="127" spans="1:8" x14ac:dyDescent="0.2">
      <c r="A127" s="20">
        <v>45439.97855324074</v>
      </c>
      <c r="B127" t="s">
        <v>577</v>
      </c>
      <c r="C127" t="s">
        <v>578</v>
      </c>
      <c r="D127" t="s">
        <v>118</v>
      </c>
      <c r="E127" t="s">
        <v>682</v>
      </c>
      <c r="F127" t="s">
        <v>742</v>
      </c>
      <c r="G127" t="s">
        <v>743</v>
      </c>
      <c r="H127" s="152" t="s">
        <v>581</v>
      </c>
    </row>
    <row r="128" spans="1:8" x14ac:dyDescent="0.2">
      <c r="A128" s="20">
        <v>45439.543113425927</v>
      </c>
      <c r="B128" t="s">
        <v>160</v>
      </c>
      <c r="C128" t="s">
        <v>630</v>
      </c>
      <c r="D128" t="s">
        <v>118</v>
      </c>
      <c r="E128" t="s">
        <v>682</v>
      </c>
      <c r="F128" t="s">
        <v>744</v>
      </c>
      <c r="G128" t="s">
        <v>118</v>
      </c>
      <c r="H128" s="152" t="s">
        <v>633</v>
      </c>
    </row>
    <row r="129" spans="1:8" x14ac:dyDescent="0.2">
      <c r="A129" s="20">
        <v>45438.569675925923</v>
      </c>
      <c r="B129" t="s">
        <v>385</v>
      </c>
      <c r="C129" t="s">
        <v>379</v>
      </c>
      <c r="D129" t="s">
        <v>118</v>
      </c>
      <c r="E129" t="s">
        <v>682</v>
      </c>
      <c r="F129" t="s">
        <v>745</v>
      </c>
      <c r="G129" t="s">
        <v>118</v>
      </c>
      <c r="H129" s="152" t="s">
        <v>746</v>
      </c>
    </row>
    <row r="130" spans="1:8" x14ac:dyDescent="0.2">
      <c r="A130" s="20">
        <v>45438.471701388888</v>
      </c>
      <c r="B130" t="s">
        <v>28</v>
      </c>
      <c r="C130" t="s">
        <v>29</v>
      </c>
      <c r="D130" t="s">
        <v>118</v>
      </c>
      <c r="E130" t="s">
        <v>682</v>
      </c>
      <c r="F130" t="s">
        <v>445</v>
      </c>
      <c r="G130" t="s">
        <v>747</v>
      </c>
      <c r="H130" s="152" t="s">
        <v>271</v>
      </c>
    </row>
    <row r="131" spans="1:8" x14ac:dyDescent="0.2">
      <c r="A131" s="20">
        <v>45438.420891203707</v>
      </c>
      <c r="B131" t="s">
        <v>301</v>
      </c>
      <c r="C131" t="s">
        <v>748</v>
      </c>
      <c r="D131" t="s">
        <v>118</v>
      </c>
      <c r="E131" t="s">
        <v>682</v>
      </c>
      <c r="F131" t="s">
        <v>799</v>
      </c>
      <c r="G131" t="s">
        <v>118</v>
      </c>
      <c r="H131" s="152" t="s">
        <v>203</v>
      </c>
    </row>
    <row r="132" spans="1:8" x14ac:dyDescent="0.2">
      <c r="A132" s="20">
        <v>45438.373368055552</v>
      </c>
      <c r="B132" t="s">
        <v>749</v>
      </c>
      <c r="C132" t="s">
        <v>622</v>
      </c>
      <c r="D132" t="s">
        <v>118</v>
      </c>
      <c r="E132" t="s">
        <v>682</v>
      </c>
      <c r="F132" t="s">
        <v>750</v>
      </c>
      <c r="G132" t="s">
        <v>118</v>
      </c>
      <c r="H132" s="152" t="s">
        <v>749</v>
      </c>
    </row>
    <row r="133" spans="1:8" x14ac:dyDescent="0.2">
      <c r="A133" s="20">
        <v>45437.911851851852</v>
      </c>
      <c r="B133" t="s">
        <v>138</v>
      </c>
      <c r="C133" t="s">
        <v>139</v>
      </c>
      <c r="D133" t="s">
        <v>118</v>
      </c>
      <c r="E133" t="s">
        <v>682</v>
      </c>
      <c r="F133" t="s">
        <v>751</v>
      </c>
      <c r="G133" t="s">
        <v>118</v>
      </c>
      <c r="H133" s="152" t="s">
        <v>142</v>
      </c>
    </row>
    <row r="134" spans="1:8" x14ac:dyDescent="0.2">
      <c r="A134" s="20">
        <v>45437.714108796295</v>
      </c>
      <c r="B134" t="s">
        <v>28</v>
      </c>
      <c r="C134" t="s">
        <v>752</v>
      </c>
      <c r="D134" t="s">
        <v>118</v>
      </c>
      <c r="E134" t="s">
        <v>682</v>
      </c>
      <c r="F134" t="s">
        <v>753</v>
      </c>
      <c r="G134" t="s">
        <v>118</v>
      </c>
      <c r="H134" s="152" t="s">
        <v>754</v>
      </c>
    </row>
    <row r="135" spans="1:8" x14ac:dyDescent="0.2">
      <c r="A135" s="20">
        <v>45437.696747685186</v>
      </c>
      <c r="B135" t="s">
        <v>382</v>
      </c>
      <c r="C135" t="s">
        <v>182</v>
      </c>
      <c r="D135" t="s">
        <v>118</v>
      </c>
      <c r="E135" t="s">
        <v>682</v>
      </c>
      <c r="F135" t="s">
        <v>755</v>
      </c>
      <c r="G135" t="s">
        <v>118</v>
      </c>
      <c r="H135" s="152" t="s">
        <v>331</v>
      </c>
    </row>
    <row r="136" spans="1:8" x14ac:dyDescent="0.2">
      <c r="A136" s="20">
        <v>45437.630011574074</v>
      </c>
      <c r="B136" t="s">
        <v>131</v>
      </c>
      <c r="C136" t="s">
        <v>132</v>
      </c>
      <c r="D136" t="s">
        <v>118</v>
      </c>
      <c r="E136" t="s">
        <v>682</v>
      </c>
      <c r="F136" t="s">
        <v>756</v>
      </c>
      <c r="G136" t="s">
        <v>118</v>
      </c>
      <c r="H136" s="152" t="s">
        <v>464</v>
      </c>
    </row>
    <row r="137" spans="1:8" x14ac:dyDescent="0.2">
      <c r="A137" s="20">
        <v>45437.52175925926</v>
      </c>
      <c r="B137" t="s">
        <v>160</v>
      </c>
      <c r="C137" t="s">
        <v>332</v>
      </c>
      <c r="D137" t="s">
        <v>118</v>
      </c>
      <c r="E137" t="s">
        <v>682</v>
      </c>
      <c r="F137" t="s">
        <v>757</v>
      </c>
      <c r="G137" t="s">
        <v>758</v>
      </c>
      <c r="H137" s="152" t="s">
        <v>759</v>
      </c>
    </row>
    <row r="138" spans="1:8" x14ac:dyDescent="0.2">
      <c r="A138" s="20">
        <v>45437.444212962961</v>
      </c>
      <c r="B138" t="s">
        <v>625</v>
      </c>
      <c r="C138" t="s">
        <v>626</v>
      </c>
      <c r="D138" t="s">
        <v>118</v>
      </c>
      <c r="E138" t="s">
        <v>682</v>
      </c>
      <c r="F138" t="s">
        <v>760</v>
      </c>
      <c r="G138" t="s">
        <v>118</v>
      </c>
      <c r="H138" s="152" t="s">
        <v>761</v>
      </c>
    </row>
    <row r="139" spans="1:8" x14ac:dyDescent="0.2">
      <c r="A139" s="20">
        <v>45437.425567129627</v>
      </c>
      <c r="B139" t="s">
        <v>130</v>
      </c>
      <c r="C139" t="s">
        <v>86</v>
      </c>
      <c r="D139" t="s">
        <v>118</v>
      </c>
      <c r="E139" t="s">
        <v>682</v>
      </c>
      <c r="F139" t="s">
        <v>762</v>
      </c>
      <c r="G139" t="s">
        <v>763</v>
      </c>
      <c r="H139" s="152" t="s">
        <v>462</v>
      </c>
    </row>
    <row r="140" spans="1:8" x14ac:dyDescent="0.2">
      <c r="A140" s="20">
        <v>45437.414143518516</v>
      </c>
      <c r="B140" t="s">
        <v>195</v>
      </c>
      <c r="C140" t="s">
        <v>196</v>
      </c>
      <c r="D140" t="s">
        <v>118</v>
      </c>
      <c r="E140" t="s">
        <v>682</v>
      </c>
      <c r="F140" t="s">
        <v>764</v>
      </c>
      <c r="G140" t="s">
        <v>765</v>
      </c>
      <c r="H140" s="152" t="s">
        <v>199</v>
      </c>
    </row>
    <row r="141" spans="1:8" x14ac:dyDescent="0.2">
      <c r="A141" s="20">
        <v>45437.401099537034</v>
      </c>
      <c r="B141" t="s">
        <v>67</v>
      </c>
      <c r="C141" t="s">
        <v>68</v>
      </c>
      <c r="D141" t="s">
        <v>118</v>
      </c>
      <c r="E141" t="s">
        <v>682</v>
      </c>
      <c r="F141" t="s">
        <v>294</v>
      </c>
      <c r="G141" t="s">
        <v>766</v>
      </c>
      <c r="H141" s="152" t="s">
        <v>67</v>
      </c>
    </row>
    <row r="142" spans="1:8" x14ac:dyDescent="0.2">
      <c r="A142" s="20">
        <v>45437.399328703701</v>
      </c>
      <c r="B142" t="s">
        <v>160</v>
      </c>
      <c r="C142" t="s">
        <v>635</v>
      </c>
      <c r="D142" t="s">
        <v>118</v>
      </c>
      <c r="E142" t="s">
        <v>682</v>
      </c>
      <c r="F142" t="s">
        <v>767</v>
      </c>
      <c r="G142" t="s">
        <v>118</v>
      </c>
      <c r="H142" s="152" t="s">
        <v>637</v>
      </c>
    </row>
    <row r="143" spans="1:8" x14ac:dyDescent="0.2">
      <c r="A143" s="20">
        <v>45437.395937499998</v>
      </c>
      <c r="B143" t="s">
        <v>103</v>
      </c>
      <c r="C143" t="s">
        <v>104</v>
      </c>
      <c r="D143" t="s">
        <v>118</v>
      </c>
      <c r="E143" t="s">
        <v>682</v>
      </c>
      <c r="F143" t="s">
        <v>768</v>
      </c>
      <c r="G143" t="s">
        <v>118</v>
      </c>
      <c r="H143" s="152" t="s">
        <v>103</v>
      </c>
    </row>
    <row r="144" spans="1:8" x14ac:dyDescent="0.2">
      <c r="A144" s="20">
        <v>45437.387719907405</v>
      </c>
      <c r="B144" t="s">
        <v>769</v>
      </c>
      <c r="C144" t="s">
        <v>1027</v>
      </c>
      <c r="D144" t="s">
        <v>118</v>
      </c>
      <c r="E144" t="s">
        <v>682</v>
      </c>
      <c r="F144" t="s">
        <v>770</v>
      </c>
      <c r="G144" t="s">
        <v>771</v>
      </c>
      <c r="H144" s="152" t="s">
        <v>772</v>
      </c>
    </row>
    <row r="145" spans="1:8" x14ac:dyDescent="0.2">
      <c r="A145">
        <v>45437.372129629628</v>
      </c>
      <c r="B145" t="s">
        <v>773</v>
      </c>
      <c r="C145" t="s">
        <v>774</v>
      </c>
      <c r="D145" t="s">
        <v>118</v>
      </c>
      <c r="E145" t="s">
        <v>682</v>
      </c>
      <c r="F145" t="s">
        <v>775</v>
      </c>
      <c r="G145" t="s">
        <v>118</v>
      </c>
      <c r="H145" s="152" t="s">
        <v>776</v>
      </c>
    </row>
    <row r="146" spans="1:8" x14ac:dyDescent="0.2">
      <c r="A146">
        <v>45437.364004629628</v>
      </c>
      <c r="B146" t="s">
        <v>383</v>
      </c>
      <c r="C146" t="s">
        <v>326</v>
      </c>
      <c r="D146" t="s">
        <v>118</v>
      </c>
      <c r="E146" t="s">
        <v>682</v>
      </c>
      <c r="F146" t="s">
        <v>777</v>
      </c>
      <c r="G146" t="s">
        <v>118</v>
      </c>
      <c r="H146" s="152" t="s">
        <v>328</v>
      </c>
    </row>
    <row r="147" spans="1:8" x14ac:dyDescent="0.2">
      <c r="A147">
        <v>45437.362800925926</v>
      </c>
      <c r="B147" t="s">
        <v>531</v>
      </c>
      <c r="C147" t="s">
        <v>293</v>
      </c>
      <c r="D147" t="s">
        <v>118</v>
      </c>
      <c r="E147" t="s">
        <v>682</v>
      </c>
      <c r="F147" t="s">
        <v>778</v>
      </c>
      <c r="G147" t="s">
        <v>118</v>
      </c>
      <c r="H147" s="152" t="s">
        <v>531</v>
      </c>
    </row>
    <row r="148" spans="1:8" x14ac:dyDescent="0.2">
      <c r="A148">
        <v>45414.456631944442</v>
      </c>
      <c r="B148" t="s">
        <v>664</v>
      </c>
      <c r="C148" t="s">
        <v>665</v>
      </c>
      <c r="D148" t="s">
        <v>118</v>
      </c>
      <c r="E148" t="s">
        <v>682</v>
      </c>
      <c r="F148" t="s">
        <v>779</v>
      </c>
      <c r="G148" t="s">
        <v>118</v>
      </c>
      <c r="H148" s="152" t="s">
        <v>664</v>
      </c>
    </row>
    <row r="149" spans="1:8" x14ac:dyDescent="0.2">
      <c r="A149">
        <v>45413.819594907407</v>
      </c>
      <c r="B149" t="s">
        <v>342</v>
      </c>
      <c r="C149" t="s">
        <v>211</v>
      </c>
      <c r="D149" t="s">
        <v>118</v>
      </c>
      <c r="E149" t="s">
        <v>563</v>
      </c>
      <c r="F149" t="s">
        <v>663</v>
      </c>
      <c r="G149" t="s">
        <v>118</v>
      </c>
      <c r="H149" s="152" t="s">
        <v>213</v>
      </c>
    </row>
    <row r="150" spans="1:8" x14ac:dyDescent="0.2">
      <c r="A150">
        <v>45412.670046296298</v>
      </c>
      <c r="B150" t="s">
        <v>145</v>
      </c>
      <c r="C150" t="s">
        <v>380</v>
      </c>
      <c r="D150" t="s">
        <v>118</v>
      </c>
      <c r="E150" t="s">
        <v>563</v>
      </c>
      <c r="F150" t="s">
        <v>422</v>
      </c>
      <c r="G150" t="s">
        <v>656</v>
      </c>
      <c r="H150" s="152" t="s">
        <v>145</v>
      </c>
    </row>
    <row r="151" spans="1:8" x14ac:dyDescent="0.2">
      <c r="A151">
        <v>45412.104548611111</v>
      </c>
      <c r="B151" t="s">
        <v>28</v>
      </c>
      <c r="C151" t="s">
        <v>323</v>
      </c>
      <c r="D151" t="s">
        <v>118</v>
      </c>
      <c r="E151" t="s">
        <v>563</v>
      </c>
      <c r="F151" t="s">
        <v>660</v>
      </c>
      <c r="G151" t="s">
        <v>657</v>
      </c>
      <c r="H151" s="152" t="s">
        <v>2</v>
      </c>
    </row>
    <row r="152" spans="1:8" x14ac:dyDescent="0.2">
      <c r="A152">
        <v>45412.006655092591</v>
      </c>
      <c r="B152" t="s">
        <v>124</v>
      </c>
      <c r="C152" t="s">
        <v>166</v>
      </c>
      <c r="D152" t="s">
        <v>118</v>
      </c>
      <c r="E152" t="s">
        <v>563</v>
      </c>
      <c r="F152" t="s">
        <v>658</v>
      </c>
      <c r="G152" t="s">
        <v>118</v>
      </c>
      <c r="H152" s="152" t="s">
        <v>124</v>
      </c>
    </row>
    <row r="153" spans="1:8" x14ac:dyDescent="0.2">
      <c r="A153">
        <v>45411.880879629629</v>
      </c>
      <c r="B153" t="s">
        <v>28</v>
      </c>
      <c r="C153" t="s">
        <v>441</v>
      </c>
      <c r="D153" t="s">
        <v>118</v>
      </c>
      <c r="E153" t="s">
        <v>563</v>
      </c>
      <c r="F153" t="s">
        <v>572</v>
      </c>
      <c r="G153" t="s">
        <v>573</v>
      </c>
      <c r="H153" s="152" t="s">
        <v>535</v>
      </c>
    </row>
    <row r="154" spans="1:8" x14ac:dyDescent="0.2">
      <c r="A154">
        <v>45411.801793981482</v>
      </c>
      <c r="B154" t="s">
        <v>525</v>
      </c>
      <c r="C154" t="s">
        <v>526</v>
      </c>
      <c r="D154" t="s">
        <v>118</v>
      </c>
      <c r="E154" t="s">
        <v>563</v>
      </c>
      <c r="F154" t="s">
        <v>465</v>
      </c>
      <c r="G154" t="s">
        <v>574</v>
      </c>
      <c r="H154" s="152" t="s">
        <v>525</v>
      </c>
    </row>
    <row r="155" spans="1:8" x14ac:dyDescent="0.2">
      <c r="A155">
        <v>45411.658067129632</v>
      </c>
      <c r="B155" t="s">
        <v>135</v>
      </c>
      <c r="C155" t="s">
        <v>389</v>
      </c>
      <c r="D155" t="s">
        <v>118</v>
      </c>
      <c r="E155" t="s">
        <v>563</v>
      </c>
      <c r="F155" t="s">
        <v>575</v>
      </c>
      <c r="G155" t="s">
        <v>576</v>
      </c>
      <c r="H155" s="152" t="s">
        <v>456</v>
      </c>
    </row>
    <row r="156" spans="1:8" x14ac:dyDescent="0.2">
      <c r="A156">
        <v>45411.593726851854</v>
      </c>
      <c r="B156" t="s">
        <v>577</v>
      </c>
      <c r="C156" t="s">
        <v>578</v>
      </c>
      <c r="D156" t="s">
        <v>118</v>
      </c>
      <c r="E156" t="s">
        <v>563</v>
      </c>
      <c r="F156" t="s">
        <v>579</v>
      </c>
      <c r="G156" t="s">
        <v>580</v>
      </c>
      <c r="H156" s="152" t="s">
        <v>581</v>
      </c>
    </row>
    <row r="157" spans="1:8" x14ac:dyDescent="0.2">
      <c r="A157">
        <v>45411.494826388887</v>
      </c>
      <c r="B157" t="s">
        <v>305</v>
      </c>
      <c r="C157" t="s">
        <v>306</v>
      </c>
      <c r="D157" t="s">
        <v>118</v>
      </c>
      <c r="E157" t="s">
        <v>563</v>
      </c>
      <c r="F157" t="s">
        <v>582</v>
      </c>
      <c r="G157" t="s">
        <v>583</v>
      </c>
      <c r="H157" s="152" t="s">
        <v>309</v>
      </c>
    </row>
    <row r="158" spans="1:8" x14ac:dyDescent="0.2">
      <c r="A158">
        <v>45411.448599537034</v>
      </c>
      <c r="B158" t="s">
        <v>72</v>
      </c>
      <c r="C158" t="s">
        <v>124</v>
      </c>
      <c r="D158" t="s">
        <v>118</v>
      </c>
      <c r="E158" t="s">
        <v>563</v>
      </c>
      <c r="F158" t="s">
        <v>584</v>
      </c>
      <c r="G158" t="s">
        <v>585</v>
      </c>
      <c r="H158" s="152" t="s">
        <v>542</v>
      </c>
    </row>
    <row r="159" spans="1:8" x14ac:dyDescent="0.2">
      <c r="A159">
        <v>45411.402326388888</v>
      </c>
      <c r="B159" t="s">
        <v>298</v>
      </c>
      <c r="C159" t="s">
        <v>386</v>
      </c>
      <c r="D159" t="s">
        <v>118</v>
      </c>
      <c r="E159" t="s">
        <v>563</v>
      </c>
      <c r="F159" t="s">
        <v>586</v>
      </c>
      <c r="G159" t="s">
        <v>118</v>
      </c>
      <c r="H159" s="152" t="s">
        <v>467</v>
      </c>
    </row>
    <row r="160" spans="1:8" x14ac:dyDescent="0.2">
      <c r="A160">
        <v>45411.400370370371</v>
      </c>
      <c r="B160" t="s">
        <v>175</v>
      </c>
      <c r="C160" t="s">
        <v>23</v>
      </c>
      <c r="D160" t="s">
        <v>118</v>
      </c>
      <c r="E160" t="s">
        <v>563</v>
      </c>
      <c r="F160" t="s">
        <v>587</v>
      </c>
      <c r="G160" t="s">
        <v>588</v>
      </c>
      <c r="H160" s="152" t="s">
        <v>178</v>
      </c>
    </row>
    <row r="161" spans="1:8" x14ac:dyDescent="0.2">
      <c r="A161">
        <v>45411.34547453704</v>
      </c>
      <c r="B161" t="s">
        <v>204</v>
      </c>
      <c r="C161" t="s">
        <v>378</v>
      </c>
      <c r="D161" t="s">
        <v>118</v>
      </c>
      <c r="E161" t="s">
        <v>563</v>
      </c>
      <c r="F161" t="s">
        <v>589</v>
      </c>
      <c r="G161" t="s">
        <v>590</v>
      </c>
      <c r="H161" s="152" t="s">
        <v>37</v>
      </c>
    </row>
    <row r="162" spans="1:8" x14ac:dyDescent="0.2">
      <c r="A162">
        <v>45410.599421296298</v>
      </c>
      <c r="B162" t="s">
        <v>115</v>
      </c>
      <c r="C162" t="s">
        <v>391</v>
      </c>
      <c r="D162" t="s">
        <v>118</v>
      </c>
      <c r="E162" t="s">
        <v>563</v>
      </c>
      <c r="F162" t="s">
        <v>591</v>
      </c>
      <c r="G162" t="s">
        <v>118</v>
      </c>
      <c r="H162" s="152" t="s">
        <v>194</v>
      </c>
    </row>
    <row r="163" spans="1:8" x14ac:dyDescent="0.2">
      <c r="A163">
        <v>45410.509571759256</v>
      </c>
      <c r="B163" t="s">
        <v>200</v>
      </c>
      <c r="C163" t="s">
        <v>201</v>
      </c>
      <c r="D163" t="s">
        <v>118</v>
      </c>
      <c r="E163" t="s">
        <v>563</v>
      </c>
      <c r="F163" t="s">
        <v>592</v>
      </c>
      <c r="G163" t="s">
        <v>118</v>
      </c>
      <c r="H163" s="152" t="s">
        <v>593</v>
      </c>
    </row>
    <row r="164" spans="1:8" x14ac:dyDescent="0.2">
      <c r="A164">
        <v>45410.506620370368</v>
      </c>
      <c r="B164" t="s">
        <v>76</v>
      </c>
      <c r="C164" t="s">
        <v>77</v>
      </c>
      <c r="D164" t="s">
        <v>118</v>
      </c>
      <c r="E164" t="s">
        <v>563</v>
      </c>
      <c r="F164" t="s">
        <v>594</v>
      </c>
      <c r="G164" t="s">
        <v>595</v>
      </c>
      <c r="H164" s="152" t="s">
        <v>76</v>
      </c>
    </row>
    <row r="165" spans="1:8" x14ac:dyDescent="0.2">
      <c r="A165">
        <v>45409.480254629627</v>
      </c>
      <c r="B165" t="s">
        <v>72</v>
      </c>
      <c r="C165" t="s">
        <v>552</v>
      </c>
      <c r="D165" t="s">
        <v>118</v>
      </c>
      <c r="E165" t="s">
        <v>563</v>
      </c>
      <c r="F165" t="s">
        <v>596</v>
      </c>
      <c r="G165" t="s">
        <v>118</v>
      </c>
      <c r="H165" s="152" t="s">
        <v>597</v>
      </c>
    </row>
    <row r="166" spans="1:8" x14ac:dyDescent="0.2">
      <c r="A166">
        <v>45409.40861111111</v>
      </c>
      <c r="B166" t="s">
        <v>28</v>
      </c>
      <c r="C166" t="s">
        <v>390</v>
      </c>
      <c r="D166" t="s">
        <v>118</v>
      </c>
      <c r="E166" t="s">
        <v>563</v>
      </c>
      <c r="F166" t="s">
        <v>598</v>
      </c>
      <c r="G166" t="s">
        <v>118</v>
      </c>
      <c r="H166" s="152" t="s">
        <v>242</v>
      </c>
    </row>
    <row r="167" spans="1:8" x14ac:dyDescent="0.2">
      <c r="A167">
        <v>45408.033993055556</v>
      </c>
      <c r="B167" t="s">
        <v>599</v>
      </c>
      <c r="C167" t="s">
        <v>600</v>
      </c>
      <c r="D167" t="s">
        <v>118</v>
      </c>
      <c r="E167" t="s">
        <v>563</v>
      </c>
      <c r="F167" t="s">
        <v>601</v>
      </c>
      <c r="G167" t="s">
        <v>118</v>
      </c>
      <c r="H167" s="152" t="s">
        <v>599</v>
      </c>
    </row>
    <row r="168" spans="1:8" x14ac:dyDescent="0.2">
      <c r="A168">
        <v>45407.698101851849</v>
      </c>
      <c r="B168" t="s">
        <v>383</v>
      </c>
      <c r="C168" t="s">
        <v>326</v>
      </c>
      <c r="D168" t="s">
        <v>118</v>
      </c>
      <c r="E168" t="s">
        <v>563</v>
      </c>
      <c r="F168" t="s">
        <v>602</v>
      </c>
      <c r="G168" t="s">
        <v>118</v>
      </c>
      <c r="H168" s="152" t="s">
        <v>328</v>
      </c>
    </row>
    <row r="169" spans="1:8" x14ac:dyDescent="0.2">
      <c r="A169">
        <v>45407.691041666665</v>
      </c>
      <c r="B169" t="s">
        <v>112</v>
      </c>
      <c r="C169" t="s">
        <v>395</v>
      </c>
      <c r="D169" t="s">
        <v>118</v>
      </c>
      <c r="E169" t="s">
        <v>563</v>
      </c>
      <c r="F169" t="s">
        <v>603</v>
      </c>
      <c r="G169" t="s">
        <v>604</v>
      </c>
      <c r="H169" s="152" t="s">
        <v>112</v>
      </c>
    </row>
    <row r="170" spans="1:8" x14ac:dyDescent="0.2">
      <c r="A170">
        <v>45407.675312500003</v>
      </c>
      <c r="B170" t="s">
        <v>605</v>
      </c>
      <c r="C170" t="s">
        <v>606</v>
      </c>
      <c r="D170" t="s">
        <v>118</v>
      </c>
      <c r="E170" t="s">
        <v>563</v>
      </c>
      <c r="F170" t="s">
        <v>607</v>
      </c>
      <c r="G170" t="s">
        <v>118</v>
      </c>
      <c r="H170" s="152" t="s">
        <v>608</v>
      </c>
    </row>
    <row r="171" spans="1:8" x14ac:dyDescent="0.2">
      <c r="A171">
        <v>45407.649259259262</v>
      </c>
      <c r="B171" t="s">
        <v>385</v>
      </c>
      <c r="C171" t="s">
        <v>379</v>
      </c>
      <c r="D171" t="s">
        <v>118</v>
      </c>
      <c r="E171" t="s">
        <v>563</v>
      </c>
      <c r="F171" t="s">
        <v>609</v>
      </c>
      <c r="G171" t="s">
        <v>610</v>
      </c>
      <c r="H171" s="152" t="s">
        <v>611</v>
      </c>
    </row>
    <row r="172" spans="1:8" x14ac:dyDescent="0.2">
      <c r="A172">
        <v>45407.607916666668</v>
      </c>
      <c r="B172" t="s">
        <v>130</v>
      </c>
      <c r="C172" t="s">
        <v>86</v>
      </c>
      <c r="D172" t="s">
        <v>118</v>
      </c>
      <c r="E172" t="s">
        <v>563</v>
      </c>
      <c r="F172" t="s">
        <v>612</v>
      </c>
      <c r="G172" t="s">
        <v>613</v>
      </c>
      <c r="H172" s="152" t="s">
        <v>462</v>
      </c>
    </row>
    <row r="173" spans="1:8" x14ac:dyDescent="0.2">
      <c r="A173">
        <v>45407.460613425923</v>
      </c>
      <c r="B173" t="s">
        <v>72</v>
      </c>
      <c r="C173" t="s">
        <v>614</v>
      </c>
      <c r="D173" t="s">
        <v>118</v>
      </c>
      <c r="E173" t="s">
        <v>563</v>
      </c>
      <c r="F173" t="s">
        <v>615</v>
      </c>
      <c r="G173" t="s">
        <v>616</v>
      </c>
      <c r="H173" s="152" t="s">
        <v>617</v>
      </c>
    </row>
    <row r="174" spans="1:8" x14ac:dyDescent="0.2">
      <c r="A174">
        <v>45407.428831018522</v>
      </c>
      <c r="B174" t="s">
        <v>382</v>
      </c>
      <c r="C174" t="s">
        <v>182</v>
      </c>
      <c r="D174" t="s">
        <v>118</v>
      </c>
      <c r="E174" t="s">
        <v>563</v>
      </c>
      <c r="F174" t="s">
        <v>618</v>
      </c>
      <c r="G174" t="s">
        <v>118</v>
      </c>
      <c r="H174" s="152" t="s">
        <v>619</v>
      </c>
    </row>
    <row r="175" spans="1:8" x14ac:dyDescent="0.2">
      <c r="A175">
        <v>45407.398020833331</v>
      </c>
      <c r="B175" t="s">
        <v>138</v>
      </c>
      <c r="C175" t="s">
        <v>139</v>
      </c>
      <c r="D175" t="s">
        <v>118</v>
      </c>
      <c r="E175" t="s">
        <v>563</v>
      </c>
      <c r="F175" t="s">
        <v>620</v>
      </c>
      <c r="G175" t="s">
        <v>621</v>
      </c>
      <c r="H175" s="152" t="s">
        <v>451</v>
      </c>
    </row>
    <row r="176" spans="1:8" x14ac:dyDescent="0.2">
      <c r="A176">
        <v>45407.333564814813</v>
      </c>
      <c r="B176" t="s">
        <v>384</v>
      </c>
      <c r="C176" t="s">
        <v>315</v>
      </c>
      <c r="D176" t="s">
        <v>118</v>
      </c>
      <c r="E176" t="s">
        <v>563</v>
      </c>
      <c r="F176" t="s">
        <v>549</v>
      </c>
      <c r="G176" t="s">
        <v>118</v>
      </c>
      <c r="H176" s="152" t="s">
        <v>317</v>
      </c>
    </row>
    <row r="177" spans="1:8" x14ac:dyDescent="0.2">
      <c r="A177">
        <v>45406.956793981481</v>
      </c>
      <c r="B177" t="s">
        <v>749</v>
      </c>
      <c r="C177" t="s">
        <v>622</v>
      </c>
      <c r="D177" t="s">
        <v>118</v>
      </c>
      <c r="E177" t="s">
        <v>563</v>
      </c>
      <c r="F177" t="s">
        <v>439</v>
      </c>
      <c r="G177" t="s">
        <v>623</v>
      </c>
      <c r="H177" s="152" t="s">
        <v>624</v>
      </c>
    </row>
    <row r="178" spans="1:8" x14ac:dyDescent="0.2">
      <c r="A178">
        <v>45406.920335648145</v>
      </c>
      <c r="B178" t="s">
        <v>625</v>
      </c>
      <c r="C178" t="s">
        <v>626</v>
      </c>
      <c r="D178" t="s">
        <v>118</v>
      </c>
      <c r="E178" t="s">
        <v>563</v>
      </c>
      <c r="F178" t="s">
        <v>419</v>
      </c>
      <c r="G178" t="s">
        <v>118</v>
      </c>
      <c r="H178" s="152" t="s">
        <v>625</v>
      </c>
    </row>
    <row r="179" spans="1:8" x14ac:dyDescent="0.2">
      <c r="A179">
        <v>45406.907986111109</v>
      </c>
      <c r="B179" t="s">
        <v>357</v>
      </c>
      <c r="C179" t="s">
        <v>358</v>
      </c>
      <c r="D179" t="s">
        <v>118</v>
      </c>
      <c r="E179" t="s">
        <v>563</v>
      </c>
      <c r="F179" t="s">
        <v>627</v>
      </c>
      <c r="G179" t="s">
        <v>118</v>
      </c>
      <c r="H179" s="152" t="s">
        <v>361</v>
      </c>
    </row>
    <row r="180" spans="1:8" x14ac:dyDescent="0.2">
      <c r="A180">
        <v>45406.907708333332</v>
      </c>
      <c r="B180" t="s">
        <v>204</v>
      </c>
      <c r="C180" t="s">
        <v>515</v>
      </c>
      <c r="D180" t="s">
        <v>118</v>
      </c>
      <c r="E180" t="s">
        <v>563</v>
      </c>
      <c r="F180" t="s">
        <v>628</v>
      </c>
      <c r="G180" t="s">
        <v>629</v>
      </c>
      <c r="H180" s="152" t="s">
        <v>351</v>
      </c>
    </row>
    <row r="181" spans="1:8" x14ac:dyDescent="0.2">
      <c r="A181">
        <v>45406.90525462963</v>
      </c>
      <c r="B181" t="s">
        <v>160</v>
      </c>
      <c r="C181" t="s">
        <v>630</v>
      </c>
      <c r="D181" t="s">
        <v>118</v>
      </c>
      <c r="E181" t="s">
        <v>563</v>
      </c>
      <c r="F181" t="s">
        <v>631</v>
      </c>
      <c r="G181" t="s">
        <v>632</v>
      </c>
      <c r="H181" s="152" t="s">
        <v>633</v>
      </c>
    </row>
    <row r="182" spans="1:8" x14ac:dyDescent="0.2">
      <c r="A182">
        <v>45406.860115740739</v>
      </c>
      <c r="B182" t="s">
        <v>103</v>
      </c>
      <c r="C182" t="s">
        <v>104</v>
      </c>
      <c r="D182" t="s">
        <v>118</v>
      </c>
      <c r="E182" t="s">
        <v>563</v>
      </c>
      <c r="F182" t="s">
        <v>634</v>
      </c>
      <c r="G182" t="s">
        <v>118</v>
      </c>
      <c r="H182" s="152" t="s">
        <v>103</v>
      </c>
    </row>
    <row r="183" spans="1:8" x14ac:dyDescent="0.2">
      <c r="A183">
        <v>45406.8281712963</v>
      </c>
      <c r="B183" t="s">
        <v>160</v>
      </c>
      <c r="C183" t="s">
        <v>635</v>
      </c>
      <c r="D183" t="s">
        <v>118</v>
      </c>
      <c r="E183" t="s">
        <v>563</v>
      </c>
      <c r="F183" t="s">
        <v>636</v>
      </c>
      <c r="G183" t="s">
        <v>118</v>
      </c>
      <c r="H183" s="152" t="s">
        <v>637</v>
      </c>
    </row>
    <row r="184" spans="1:8" x14ac:dyDescent="0.2">
      <c r="A184">
        <v>45406.824918981481</v>
      </c>
      <c r="B184" t="s">
        <v>195</v>
      </c>
      <c r="C184" t="s">
        <v>196</v>
      </c>
      <c r="D184" t="s">
        <v>118</v>
      </c>
      <c r="E184" t="s">
        <v>563</v>
      </c>
      <c r="F184" t="s">
        <v>638</v>
      </c>
      <c r="G184" t="s">
        <v>639</v>
      </c>
      <c r="H184" s="152" t="s">
        <v>199</v>
      </c>
    </row>
    <row r="185" spans="1:8" x14ac:dyDescent="0.2">
      <c r="A185">
        <v>45406.823078703703</v>
      </c>
      <c r="B185" t="s">
        <v>160</v>
      </c>
      <c r="C185" t="s">
        <v>332</v>
      </c>
      <c r="D185" t="s">
        <v>118</v>
      </c>
      <c r="E185" t="s">
        <v>563</v>
      </c>
      <c r="F185" t="s">
        <v>640</v>
      </c>
      <c r="G185" t="s">
        <v>641</v>
      </c>
      <c r="H185" s="152" t="s">
        <v>642</v>
      </c>
    </row>
    <row r="186" spans="1:8" x14ac:dyDescent="0.2">
      <c r="A186">
        <v>45406.822442129633</v>
      </c>
      <c r="B186" t="s">
        <v>67</v>
      </c>
      <c r="C186" t="s">
        <v>68</v>
      </c>
      <c r="D186" t="s">
        <v>118</v>
      </c>
      <c r="E186" t="s">
        <v>563</v>
      </c>
      <c r="F186" t="s">
        <v>643</v>
      </c>
      <c r="G186" t="s">
        <v>644</v>
      </c>
      <c r="H186" s="152" t="s">
        <v>171</v>
      </c>
    </row>
    <row r="187" spans="1:8" x14ac:dyDescent="0.2">
      <c r="A187">
        <v>45406.777581018519</v>
      </c>
      <c r="B187" t="s">
        <v>72</v>
      </c>
      <c r="C187" t="s">
        <v>562</v>
      </c>
      <c r="D187" t="s">
        <v>118</v>
      </c>
      <c r="E187" t="s">
        <v>563</v>
      </c>
      <c r="F187" t="s">
        <v>564</v>
      </c>
      <c r="G187" t="s">
        <v>565</v>
      </c>
      <c r="H187" s="152" t="s">
        <v>566</v>
      </c>
    </row>
    <row r="188" spans="1:8" x14ac:dyDescent="0.2">
      <c r="A188">
        <v>45406.767824074072</v>
      </c>
      <c r="B188" t="s">
        <v>28</v>
      </c>
      <c r="C188" t="s">
        <v>29</v>
      </c>
      <c r="D188" t="s">
        <v>118</v>
      </c>
      <c r="E188" t="s">
        <v>563</v>
      </c>
      <c r="F188" t="s">
        <v>567</v>
      </c>
      <c r="G188" t="s">
        <v>118</v>
      </c>
      <c r="H188" s="152" t="s">
        <v>471</v>
      </c>
    </row>
    <row r="189" spans="1:8" x14ac:dyDescent="0.2">
      <c r="A189">
        <v>45406.767256944448</v>
      </c>
      <c r="B189" t="s">
        <v>120</v>
      </c>
      <c r="C189" t="s">
        <v>121</v>
      </c>
      <c r="D189" t="s">
        <v>118</v>
      </c>
      <c r="E189" t="s">
        <v>563</v>
      </c>
      <c r="F189" t="s">
        <v>491</v>
      </c>
      <c r="G189" t="s">
        <v>118</v>
      </c>
      <c r="H189" s="152" t="s">
        <v>123</v>
      </c>
    </row>
    <row r="190" spans="1:8" x14ac:dyDescent="0.2">
      <c r="A190">
        <v>45406.434571759259</v>
      </c>
      <c r="B190" t="s">
        <v>124</v>
      </c>
      <c r="C190" t="s">
        <v>125</v>
      </c>
      <c r="D190" t="s">
        <v>118</v>
      </c>
      <c r="E190" t="s">
        <v>563</v>
      </c>
      <c r="F190" t="s">
        <v>568</v>
      </c>
      <c r="G190" t="s">
        <v>569</v>
      </c>
      <c r="H190" s="152" t="s">
        <v>561</v>
      </c>
    </row>
    <row r="191" spans="1:8" x14ac:dyDescent="0.2">
      <c r="A191">
        <v>45400.576053240744</v>
      </c>
      <c r="B191" t="s">
        <v>131</v>
      </c>
      <c r="C191" t="s">
        <v>132</v>
      </c>
      <c r="D191" t="s">
        <v>118</v>
      </c>
      <c r="E191" t="s">
        <v>563</v>
      </c>
      <c r="F191" t="s">
        <v>570</v>
      </c>
      <c r="G191" t="s">
        <v>571</v>
      </c>
      <c r="H191" s="152" t="s">
        <v>464</v>
      </c>
    </row>
    <row r="192" spans="1:8" x14ac:dyDescent="0.2">
      <c r="A192">
        <v>45382.794340277775</v>
      </c>
      <c r="B192" t="s">
        <v>200</v>
      </c>
      <c r="C192" t="s">
        <v>201</v>
      </c>
      <c r="D192" t="s">
        <v>118</v>
      </c>
      <c r="E192" t="s">
        <v>146</v>
      </c>
      <c r="F192" t="s">
        <v>548</v>
      </c>
      <c r="G192" t="s">
        <v>118</v>
      </c>
      <c r="H192" s="152" t="s">
        <v>203</v>
      </c>
    </row>
    <row r="193" spans="1:8" x14ac:dyDescent="0.2">
      <c r="A193">
        <v>45382.498784722222</v>
      </c>
      <c r="B193" t="s">
        <v>525</v>
      </c>
      <c r="C193" t="s">
        <v>526</v>
      </c>
      <c r="D193" t="s">
        <v>118</v>
      </c>
      <c r="E193" t="s">
        <v>146</v>
      </c>
      <c r="F193" t="s">
        <v>527</v>
      </c>
      <c r="G193" t="s">
        <v>528</v>
      </c>
      <c r="H193" s="152" t="s">
        <v>525</v>
      </c>
    </row>
    <row r="194" spans="1:8" x14ac:dyDescent="0.2">
      <c r="A194">
        <v>45382.031504629631</v>
      </c>
      <c r="B194" t="s">
        <v>28</v>
      </c>
      <c r="C194" t="s">
        <v>323</v>
      </c>
      <c r="D194" t="s">
        <v>118</v>
      </c>
      <c r="E194" t="s">
        <v>146</v>
      </c>
      <c r="F194" t="s">
        <v>529</v>
      </c>
      <c r="G194" t="s">
        <v>530</v>
      </c>
      <c r="H194" s="152" t="s">
        <v>2</v>
      </c>
    </row>
    <row r="195" spans="1:8" x14ac:dyDescent="0.2">
      <c r="A195">
        <v>45381.989479166667</v>
      </c>
      <c r="B195" t="s">
        <v>342</v>
      </c>
      <c r="C195" t="s">
        <v>211</v>
      </c>
      <c r="D195" t="s">
        <v>118</v>
      </c>
      <c r="E195" t="s">
        <v>146</v>
      </c>
      <c r="F195" t="s">
        <v>534</v>
      </c>
      <c r="G195" t="s">
        <v>118</v>
      </c>
      <c r="H195" s="152" t="s">
        <v>213</v>
      </c>
    </row>
    <row r="196" spans="1:8" x14ac:dyDescent="0.2">
      <c r="A196">
        <v>45381.771481481483</v>
      </c>
      <c r="B196" t="s">
        <v>28</v>
      </c>
      <c r="C196" t="s">
        <v>441</v>
      </c>
      <c r="D196" t="s">
        <v>118</v>
      </c>
      <c r="E196" t="s">
        <v>146</v>
      </c>
      <c r="F196" t="s">
        <v>524</v>
      </c>
      <c r="G196" t="s">
        <v>118</v>
      </c>
      <c r="H196" s="152" t="s">
        <v>535</v>
      </c>
    </row>
    <row r="197" spans="1:8" x14ac:dyDescent="0.2">
      <c r="A197">
        <v>45381.456250000003</v>
      </c>
      <c r="B197" t="s">
        <v>124</v>
      </c>
      <c r="C197" t="s">
        <v>166</v>
      </c>
      <c r="D197" t="s">
        <v>118</v>
      </c>
      <c r="E197" t="s">
        <v>146</v>
      </c>
      <c r="F197" t="s">
        <v>536</v>
      </c>
      <c r="G197" t="s">
        <v>118</v>
      </c>
      <c r="H197" s="152" t="s">
        <v>124</v>
      </c>
    </row>
    <row r="198" spans="1:8" x14ac:dyDescent="0.2">
      <c r="A198">
        <v>45381.121782407405</v>
      </c>
      <c r="B198" t="s">
        <v>531</v>
      </c>
      <c r="C198" t="s">
        <v>293</v>
      </c>
      <c r="D198" t="s">
        <v>118</v>
      </c>
      <c r="E198" t="s">
        <v>146</v>
      </c>
      <c r="F198" t="s">
        <v>532</v>
      </c>
      <c r="G198" t="s">
        <v>118</v>
      </c>
      <c r="H198" s="152" t="s">
        <v>531</v>
      </c>
    </row>
    <row r="199" spans="1:8" x14ac:dyDescent="0.2">
      <c r="A199">
        <v>45381.093217592592</v>
      </c>
      <c r="B199" t="s">
        <v>28</v>
      </c>
      <c r="C199" t="s">
        <v>390</v>
      </c>
      <c r="D199" t="s">
        <v>118</v>
      </c>
      <c r="E199" t="s">
        <v>146</v>
      </c>
      <c r="F199" t="s">
        <v>533</v>
      </c>
      <c r="G199" t="s">
        <v>118</v>
      </c>
      <c r="H199" s="152" t="s">
        <v>242</v>
      </c>
    </row>
    <row r="200" spans="1:8" x14ac:dyDescent="0.2">
      <c r="A200">
        <v>45380.456597222219</v>
      </c>
      <c r="B200" t="s">
        <v>175</v>
      </c>
      <c r="C200" t="s">
        <v>23</v>
      </c>
      <c r="D200" t="s">
        <v>118</v>
      </c>
      <c r="E200" t="s">
        <v>146</v>
      </c>
      <c r="F200" t="s">
        <v>539</v>
      </c>
      <c r="G200" t="s">
        <v>540</v>
      </c>
      <c r="H200" s="152" t="s">
        <v>178</v>
      </c>
    </row>
    <row r="201" spans="1:8" x14ac:dyDescent="0.2">
      <c r="A201">
        <v>45380.05872685185</v>
      </c>
      <c r="B201" t="s">
        <v>135</v>
      </c>
      <c r="C201" t="s">
        <v>389</v>
      </c>
      <c r="D201" t="s">
        <v>118</v>
      </c>
      <c r="E201" t="s">
        <v>146</v>
      </c>
      <c r="F201" t="s">
        <v>537</v>
      </c>
      <c r="G201" t="s">
        <v>538</v>
      </c>
      <c r="H201" s="152" t="s">
        <v>456</v>
      </c>
    </row>
    <row r="202" spans="1:8" x14ac:dyDescent="0.2">
      <c r="A202">
        <v>45378.957407407404</v>
      </c>
      <c r="B202" t="s">
        <v>305</v>
      </c>
      <c r="C202" t="s">
        <v>306</v>
      </c>
      <c r="D202" t="s">
        <v>118</v>
      </c>
      <c r="E202" t="s">
        <v>146</v>
      </c>
      <c r="F202" t="s">
        <v>549</v>
      </c>
      <c r="G202" t="s">
        <v>492</v>
      </c>
      <c r="H202" s="152" t="s">
        <v>309</v>
      </c>
    </row>
    <row r="203" spans="1:8" x14ac:dyDescent="0.2">
      <c r="A203">
        <v>45378.904641203706</v>
      </c>
      <c r="B203" t="s">
        <v>124</v>
      </c>
      <c r="C203" t="s">
        <v>125</v>
      </c>
      <c r="D203" t="s">
        <v>118</v>
      </c>
      <c r="E203" t="s">
        <v>146</v>
      </c>
      <c r="F203" t="s">
        <v>493</v>
      </c>
      <c r="G203" t="s">
        <v>494</v>
      </c>
      <c r="H203" s="152" t="s">
        <v>128</v>
      </c>
    </row>
    <row r="204" spans="1:8" x14ac:dyDescent="0.2">
      <c r="A204">
        <v>45378.721030092594</v>
      </c>
      <c r="B204" t="s">
        <v>76</v>
      </c>
      <c r="C204" t="s">
        <v>77</v>
      </c>
      <c r="D204" t="s">
        <v>118</v>
      </c>
      <c r="E204" t="s">
        <v>146</v>
      </c>
      <c r="F204" t="s">
        <v>495</v>
      </c>
      <c r="G204" t="s">
        <v>496</v>
      </c>
      <c r="H204" s="152" t="s">
        <v>76</v>
      </c>
    </row>
    <row r="205" spans="1:8" x14ac:dyDescent="0.2">
      <c r="A205">
        <v>45378.518819444442</v>
      </c>
      <c r="B205" t="s">
        <v>382</v>
      </c>
      <c r="C205" t="s">
        <v>182</v>
      </c>
      <c r="D205" t="s">
        <v>118</v>
      </c>
      <c r="E205" t="s">
        <v>146</v>
      </c>
      <c r="F205" t="s">
        <v>497</v>
      </c>
      <c r="G205" t="s">
        <v>118</v>
      </c>
      <c r="H205" s="152" t="s">
        <v>331</v>
      </c>
    </row>
    <row r="206" spans="1:8" x14ac:dyDescent="0.2">
      <c r="A206">
        <v>45378.500856481478</v>
      </c>
      <c r="B206" t="s">
        <v>195</v>
      </c>
      <c r="C206" t="s">
        <v>196</v>
      </c>
      <c r="D206" t="s">
        <v>118</v>
      </c>
      <c r="E206" t="s">
        <v>146</v>
      </c>
      <c r="F206" t="s">
        <v>498</v>
      </c>
      <c r="G206" t="s">
        <v>499</v>
      </c>
      <c r="H206" s="152" t="s">
        <v>199</v>
      </c>
    </row>
    <row r="207" spans="1:8" x14ac:dyDescent="0.2">
      <c r="A207">
        <v>45377.987604166665</v>
      </c>
      <c r="B207" t="s">
        <v>130</v>
      </c>
      <c r="C207" t="s">
        <v>86</v>
      </c>
      <c r="D207" t="s">
        <v>118</v>
      </c>
      <c r="E207" t="s">
        <v>146</v>
      </c>
      <c r="F207" t="s">
        <v>505</v>
      </c>
      <c r="G207" t="s">
        <v>118</v>
      </c>
      <c r="H207" s="152" t="s">
        <v>462</v>
      </c>
    </row>
    <row r="208" spans="1:8" x14ac:dyDescent="0.2">
      <c r="A208">
        <v>45377.818877314814</v>
      </c>
      <c r="B208" t="s">
        <v>357</v>
      </c>
      <c r="C208" t="s">
        <v>358</v>
      </c>
      <c r="D208" t="s">
        <v>118</v>
      </c>
      <c r="E208" t="s">
        <v>146</v>
      </c>
      <c r="F208" t="s">
        <v>506</v>
      </c>
      <c r="G208" t="s">
        <v>118</v>
      </c>
      <c r="H208" s="152" t="s">
        <v>364</v>
      </c>
    </row>
    <row r="209" spans="1:8" x14ac:dyDescent="0.2">
      <c r="A209">
        <v>45377.735034722224</v>
      </c>
      <c r="B209" t="s">
        <v>298</v>
      </c>
      <c r="C209" t="s">
        <v>386</v>
      </c>
      <c r="D209" t="s">
        <v>118</v>
      </c>
      <c r="E209" t="s">
        <v>146</v>
      </c>
      <c r="F209" t="s">
        <v>550</v>
      </c>
      <c r="G209" t="s">
        <v>118</v>
      </c>
      <c r="H209" s="152" t="s">
        <v>467</v>
      </c>
    </row>
    <row r="210" spans="1:8" x14ac:dyDescent="0.2">
      <c r="A210">
        <v>45377.675949074073</v>
      </c>
      <c r="B210" t="s">
        <v>120</v>
      </c>
      <c r="C210" t="s">
        <v>121</v>
      </c>
      <c r="D210" t="s">
        <v>118</v>
      </c>
      <c r="E210" t="s">
        <v>146</v>
      </c>
      <c r="F210" t="s">
        <v>491</v>
      </c>
      <c r="G210" t="s">
        <v>118</v>
      </c>
      <c r="H210" s="152" t="s">
        <v>123</v>
      </c>
    </row>
    <row r="211" spans="1:8" x14ac:dyDescent="0.2">
      <c r="A211">
        <v>45377.403796296298</v>
      </c>
      <c r="B211" t="s">
        <v>67</v>
      </c>
      <c r="C211" t="s">
        <v>68</v>
      </c>
      <c r="D211" t="s">
        <v>118</v>
      </c>
      <c r="E211" t="s">
        <v>146</v>
      </c>
      <c r="F211" t="s">
        <v>500</v>
      </c>
      <c r="G211" t="s">
        <v>501</v>
      </c>
      <c r="H211" s="152" t="s">
        <v>171</v>
      </c>
    </row>
    <row r="212" spans="1:8" x14ac:dyDescent="0.2">
      <c r="A212">
        <v>45377.40047453704</v>
      </c>
      <c r="B212" t="s">
        <v>72</v>
      </c>
      <c r="C212" t="s">
        <v>124</v>
      </c>
      <c r="D212" t="s">
        <v>118</v>
      </c>
      <c r="E212" t="s">
        <v>146</v>
      </c>
      <c r="F212" t="s">
        <v>502</v>
      </c>
      <c r="G212" t="s">
        <v>503</v>
      </c>
      <c r="H212" s="152" t="s">
        <v>504</v>
      </c>
    </row>
    <row r="213" spans="1:8" x14ac:dyDescent="0.2">
      <c r="A213">
        <v>45376.900763888887</v>
      </c>
      <c r="B213" t="s">
        <v>383</v>
      </c>
      <c r="C213" t="s">
        <v>326</v>
      </c>
      <c r="D213" t="s">
        <v>118</v>
      </c>
      <c r="E213" t="s">
        <v>146</v>
      </c>
      <c r="F213" t="s">
        <v>514</v>
      </c>
      <c r="G213" t="s">
        <v>118</v>
      </c>
      <c r="H213" s="152" t="s">
        <v>328</v>
      </c>
    </row>
    <row r="214" spans="1:8" x14ac:dyDescent="0.2">
      <c r="A214">
        <v>45376.736666666664</v>
      </c>
      <c r="B214" t="s">
        <v>204</v>
      </c>
      <c r="C214" t="s">
        <v>515</v>
      </c>
      <c r="D214" t="s">
        <v>118</v>
      </c>
      <c r="E214" t="s">
        <v>146</v>
      </c>
      <c r="F214" t="s">
        <v>516</v>
      </c>
      <c r="G214" t="s">
        <v>517</v>
      </c>
      <c r="H214" s="152" t="s">
        <v>351</v>
      </c>
    </row>
    <row r="215" spans="1:8" x14ac:dyDescent="0.2">
      <c r="A215">
        <v>45376.714166666665</v>
      </c>
      <c r="B215" t="s">
        <v>385</v>
      </c>
      <c r="C215" t="s">
        <v>379</v>
      </c>
      <c r="D215" t="s">
        <v>118</v>
      </c>
      <c r="E215" t="s">
        <v>146</v>
      </c>
      <c r="F215" t="s">
        <v>518</v>
      </c>
      <c r="G215" t="s">
        <v>519</v>
      </c>
      <c r="H215" s="152" t="s">
        <v>520</v>
      </c>
    </row>
    <row r="216" spans="1:8" x14ac:dyDescent="0.2">
      <c r="A216">
        <v>45376.675266203703</v>
      </c>
      <c r="B216" t="s">
        <v>521</v>
      </c>
      <c r="C216" t="s">
        <v>522</v>
      </c>
      <c r="D216" t="s">
        <v>118</v>
      </c>
      <c r="E216" t="s">
        <v>146</v>
      </c>
      <c r="F216" t="s">
        <v>507</v>
      </c>
      <c r="G216" t="s">
        <v>118</v>
      </c>
      <c r="H216" s="152" t="s">
        <v>523</v>
      </c>
    </row>
    <row r="217" spans="1:8" x14ac:dyDescent="0.2">
      <c r="A217">
        <v>45376.405150462961</v>
      </c>
      <c r="B217" t="s">
        <v>131</v>
      </c>
      <c r="C217" t="s">
        <v>132</v>
      </c>
      <c r="D217" t="s">
        <v>118</v>
      </c>
      <c r="E217" t="s">
        <v>146</v>
      </c>
      <c r="F217" t="s">
        <v>508</v>
      </c>
      <c r="G217" t="s">
        <v>118</v>
      </c>
      <c r="H217" s="152" t="s">
        <v>464</v>
      </c>
    </row>
    <row r="218" spans="1:8" x14ac:dyDescent="0.2">
      <c r="A218">
        <v>45376.402581018519</v>
      </c>
      <c r="B218" t="s">
        <v>112</v>
      </c>
      <c r="C218" t="s">
        <v>395</v>
      </c>
      <c r="D218" t="s">
        <v>118</v>
      </c>
      <c r="E218" t="s">
        <v>146</v>
      </c>
      <c r="F218" t="s">
        <v>509</v>
      </c>
      <c r="G218" t="s">
        <v>118</v>
      </c>
      <c r="H218" s="152" t="s">
        <v>510</v>
      </c>
    </row>
    <row r="219" spans="1:8" x14ac:dyDescent="0.2">
      <c r="A219">
        <v>45376.390185185184</v>
      </c>
      <c r="B219" t="s">
        <v>103</v>
      </c>
      <c r="C219" t="s">
        <v>104</v>
      </c>
      <c r="D219" t="s">
        <v>118</v>
      </c>
      <c r="E219" t="s">
        <v>146</v>
      </c>
      <c r="F219" t="s">
        <v>511</v>
      </c>
      <c r="G219" t="s">
        <v>118</v>
      </c>
      <c r="H219" s="152" t="s">
        <v>103</v>
      </c>
    </row>
    <row r="220" spans="1:8" x14ac:dyDescent="0.2">
      <c r="A220">
        <v>45376.347546296296</v>
      </c>
      <c r="B220" t="s">
        <v>28</v>
      </c>
      <c r="C220" t="s">
        <v>29</v>
      </c>
      <c r="D220" t="s">
        <v>118</v>
      </c>
      <c r="E220" t="s">
        <v>146</v>
      </c>
      <c r="F220" t="s">
        <v>512</v>
      </c>
      <c r="G220" t="s">
        <v>513</v>
      </c>
      <c r="H220" s="152" t="s">
        <v>271</v>
      </c>
    </row>
    <row r="221" spans="1:8" x14ac:dyDescent="0.2">
      <c r="A221">
        <v>45351.02076388889</v>
      </c>
      <c r="B221" t="s">
        <v>124</v>
      </c>
      <c r="C221" t="s">
        <v>166</v>
      </c>
      <c r="D221" t="s">
        <v>118</v>
      </c>
      <c r="E221" t="s">
        <v>417</v>
      </c>
      <c r="F221" t="s">
        <v>418</v>
      </c>
      <c r="G221" t="s">
        <v>118</v>
      </c>
      <c r="H221" s="152" t="s">
        <v>124</v>
      </c>
    </row>
    <row r="222" spans="1:8" x14ac:dyDescent="0.2">
      <c r="A222">
        <v>45350.99145833333</v>
      </c>
      <c r="B222" t="s">
        <v>342</v>
      </c>
      <c r="C222" t="s">
        <v>211</v>
      </c>
      <c r="D222" t="s">
        <v>118</v>
      </c>
      <c r="E222" t="s">
        <v>417</v>
      </c>
      <c r="F222" t="s">
        <v>419</v>
      </c>
      <c r="G222" t="s">
        <v>118</v>
      </c>
      <c r="H222" s="152" t="s">
        <v>420</v>
      </c>
    </row>
    <row r="223" spans="1:8" x14ac:dyDescent="0.2">
      <c r="A223">
        <v>45350.949861111112</v>
      </c>
      <c r="B223" t="s">
        <v>200</v>
      </c>
      <c r="C223" t="s">
        <v>201</v>
      </c>
      <c r="D223" t="s">
        <v>118</v>
      </c>
      <c r="E223" t="s">
        <v>417</v>
      </c>
      <c r="F223" t="s">
        <v>421</v>
      </c>
      <c r="G223" t="s">
        <v>118</v>
      </c>
      <c r="H223" s="152" t="s">
        <v>203</v>
      </c>
    </row>
    <row r="224" spans="1:8" x14ac:dyDescent="0.2">
      <c r="A224">
        <v>45350.926423611112</v>
      </c>
      <c r="B224" t="s">
        <v>175</v>
      </c>
      <c r="C224" t="s">
        <v>23</v>
      </c>
      <c r="D224" t="s">
        <v>118</v>
      </c>
      <c r="E224" t="s">
        <v>417</v>
      </c>
      <c r="F224" t="s">
        <v>422</v>
      </c>
      <c r="G224" t="s">
        <v>423</v>
      </c>
      <c r="H224" s="152" t="s">
        <v>178</v>
      </c>
    </row>
    <row r="225" spans="1:8" x14ac:dyDescent="0.2">
      <c r="A225">
        <v>45350.895486111112</v>
      </c>
      <c r="B225" t="s">
        <v>424</v>
      </c>
      <c r="C225" t="s">
        <v>424</v>
      </c>
      <c r="D225" t="s">
        <v>118</v>
      </c>
      <c r="E225" t="s">
        <v>417</v>
      </c>
      <c r="F225" t="s">
        <v>425</v>
      </c>
      <c r="G225" t="s">
        <v>426</v>
      </c>
      <c r="H225" s="152" t="s">
        <v>424</v>
      </c>
    </row>
    <row r="226" spans="1:8" x14ac:dyDescent="0.2">
      <c r="A226">
        <v>45350.842199074075</v>
      </c>
      <c r="B226" t="s">
        <v>531</v>
      </c>
      <c r="C226" t="s">
        <v>293</v>
      </c>
      <c r="D226" t="s">
        <v>118</v>
      </c>
      <c r="E226" t="s">
        <v>417</v>
      </c>
      <c r="F226" t="s">
        <v>427</v>
      </c>
      <c r="G226" t="s">
        <v>118</v>
      </c>
      <c r="H226" s="152" t="s">
        <v>428</v>
      </c>
    </row>
    <row r="227" spans="1:8" x14ac:dyDescent="0.2">
      <c r="A227">
        <v>45350.741678240738</v>
      </c>
      <c r="B227" t="s">
        <v>76</v>
      </c>
      <c r="C227" t="s">
        <v>77</v>
      </c>
      <c r="D227" t="s">
        <v>118</v>
      </c>
      <c r="E227" t="s">
        <v>417</v>
      </c>
      <c r="F227" t="s">
        <v>429</v>
      </c>
      <c r="G227" t="s">
        <v>430</v>
      </c>
      <c r="H227" s="152" t="s">
        <v>76</v>
      </c>
    </row>
    <row r="228" spans="1:8" x14ac:dyDescent="0.2">
      <c r="A228">
        <v>45350.474490740744</v>
      </c>
      <c r="B228" t="s">
        <v>195</v>
      </c>
      <c r="C228" t="s">
        <v>196</v>
      </c>
      <c r="D228" t="s">
        <v>118</v>
      </c>
      <c r="E228" t="s">
        <v>417</v>
      </c>
      <c r="F228" t="s">
        <v>431</v>
      </c>
      <c r="G228" t="s">
        <v>432</v>
      </c>
      <c r="H228" s="152" t="s">
        <v>199</v>
      </c>
    </row>
    <row r="229" spans="1:8" x14ac:dyDescent="0.2">
      <c r="A229">
        <v>45350.451516203706</v>
      </c>
      <c r="B229" t="s">
        <v>124</v>
      </c>
      <c r="C229" t="s">
        <v>125</v>
      </c>
      <c r="D229" t="s">
        <v>118</v>
      </c>
      <c r="E229" t="s">
        <v>417</v>
      </c>
      <c r="F229" t="s">
        <v>433</v>
      </c>
      <c r="G229" t="s">
        <v>434</v>
      </c>
      <c r="H229" s="152" t="s">
        <v>124</v>
      </c>
    </row>
    <row r="230" spans="1:8" x14ac:dyDescent="0.2">
      <c r="A230">
        <v>45350.436064814814</v>
      </c>
      <c r="B230" t="s">
        <v>435</v>
      </c>
      <c r="C230" t="s">
        <v>436</v>
      </c>
      <c r="D230" t="s">
        <v>118</v>
      </c>
      <c r="E230" t="s">
        <v>417</v>
      </c>
      <c r="F230" t="s">
        <v>437</v>
      </c>
      <c r="G230" t="s">
        <v>438</v>
      </c>
      <c r="H230" s="152" t="s">
        <v>435</v>
      </c>
    </row>
    <row r="231" spans="1:8" x14ac:dyDescent="0.2">
      <c r="A231">
        <v>45350.062245370369</v>
      </c>
      <c r="B231" t="s">
        <v>28</v>
      </c>
      <c r="C231" t="s">
        <v>323</v>
      </c>
      <c r="D231" t="s">
        <v>118</v>
      </c>
      <c r="E231" t="s">
        <v>417</v>
      </c>
      <c r="F231" t="s">
        <v>439</v>
      </c>
      <c r="G231" t="s">
        <v>440</v>
      </c>
      <c r="H231" s="152" t="s">
        <v>2</v>
      </c>
    </row>
    <row r="232" spans="1:8" x14ac:dyDescent="0.2">
      <c r="A232">
        <v>45350.04478009259</v>
      </c>
      <c r="B232" t="s">
        <v>28</v>
      </c>
      <c r="C232" t="s">
        <v>441</v>
      </c>
      <c r="D232" t="s">
        <v>118</v>
      </c>
      <c r="E232" t="s">
        <v>417</v>
      </c>
      <c r="F232" t="s">
        <v>442</v>
      </c>
      <c r="G232" t="s">
        <v>443</v>
      </c>
      <c r="H232" s="152" t="s">
        <v>444</v>
      </c>
    </row>
    <row r="233" spans="1:8" x14ac:dyDescent="0.2">
      <c r="A233">
        <v>45349.576631944445</v>
      </c>
      <c r="B233" t="s">
        <v>382</v>
      </c>
      <c r="C233" t="s">
        <v>182</v>
      </c>
      <c r="D233" t="s">
        <v>118</v>
      </c>
      <c r="E233" t="s">
        <v>417</v>
      </c>
      <c r="F233" t="s">
        <v>445</v>
      </c>
      <c r="G233" t="s">
        <v>118</v>
      </c>
      <c r="H233" s="152" t="s">
        <v>331</v>
      </c>
    </row>
    <row r="234" spans="1:8" x14ac:dyDescent="0.2">
      <c r="A234">
        <v>45348.74318287037</v>
      </c>
      <c r="B234" t="s">
        <v>388</v>
      </c>
      <c r="C234" t="s">
        <v>148</v>
      </c>
      <c r="D234" t="s">
        <v>118</v>
      </c>
      <c r="E234" t="s">
        <v>417</v>
      </c>
      <c r="F234" t="s">
        <v>446</v>
      </c>
      <c r="G234" t="s">
        <v>118</v>
      </c>
      <c r="H234" s="152" t="s">
        <v>388</v>
      </c>
    </row>
    <row r="235" spans="1:8" x14ac:dyDescent="0.2">
      <c r="A235">
        <v>45348.647581018522</v>
      </c>
      <c r="B235" t="s">
        <v>160</v>
      </c>
      <c r="C235" t="s">
        <v>447</v>
      </c>
      <c r="D235" t="s">
        <v>118</v>
      </c>
      <c r="E235" t="s">
        <v>417</v>
      </c>
      <c r="F235" t="s">
        <v>448</v>
      </c>
      <c r="G235" t="s">
        <v>118</v>
      </c>
      <c r="H235" s="152" t="s">
        <v>449</v>
      </c>
    </row>
    <row r="236" spans="1:8" x14ac:dyDescent="0.2">
      <c r="A236">
        <v>45348.514166666668</v>
      </c>
      <c r="B236" t="s">
        <v>138</v>
      </c>
      <c r="C236" t="s">
        <v>139</v>
      </c>
      <c r="D236" t="s">
        <v>118</v>
      </c>
      <c r="E236" t="s">
        <v>417</v>
      </c>
      <c r="F236" t="s">
        <v>450</v>
      </c>
      <c r="G236" t="s">
        <v>118</v>
      </c>
      <c r="H236" s="152" t="s">
        <v>451</v>
      </c>
    </row>
    <row r="237" spans="1:8" x14ac:dyDescent="0.2">
      <c r="A237">
        <v>45347.630613425928</v>
      </c>
      <c r="B237" t="s">
        <v>357</v>
      </c>
      <c r="C237" t="s">
        <v>358</v>
      </c>
      <c r="D237" t="s">
        <v>118</v>
      </c>
      <c r="E237" t="s">
        <v>417</v>
      </c>
      <c r="F237" t="s">
        <v>452</v>
      </c>
      <c r="G237" t="s">
        <v>118</v>
      </c>
      <c r="H237" s="152" t="s">
        <v>453</v>
      </c>
    </row>
    <row r="238" spans="1:8" x14ac:dyDescent="0.2">
      <c r="A238">
        <v>45347.522094907406</v>
      </c>
      <c r="B238" t="s">
        <v>135</v>
      </c>
      <c r="C238" t="s">
        <v>389</v>
      </c>
      <c r="D238" t="s">
        <v>118</v>
      </c>
      <c r="E238" t="s">
        <v>417</v>
      </c>
      <c r="F238" t="s">
        <v>454</v>
      </c>
      <c r="G238" t="s">
        <v>455</v>
      </c>
      <c r="H238" s="152" t="s">
        <v>456</v>
      </c>
    </row>
    <row r="239" spans="1:8" x14ac:dyDescent="0.2">
      <c r="A239">
        <v>45347.082615740743</v>
      </c>
      <c r="B239" t="s">
        <v>120</v>
      </c>
      <c r="C239" t="s">
        <v>121</v>
      </c>
      <c r="D239" t="s">
        <v>118</v>
      </c>
      <c r="E239" t="s">
        <v>417</v>
      </c>
      <c r="F239" t="s">
        <v>457</v>
      </c>
      <c r="G239" t="s">
        <v>118</v>
      </c>
      <c r="H239" s="152" t="s">
        <v>458</v>
      </c>
    </row>
    <row r="240" spans="1:8" x14ac:dyDescent="0.2">
      <c r="A240">
        <v>45347.001666666663</v>
      </c>
      <c r="B240" t="s">
        <v>204</v>
      </c>
      <c r="C240" t="s">
        <v>515</v>
      </c>
      <c r="D240" t="s">
        <v>118</v>
      </c>
      <c r="E240" t="s">
        <v>417</v>
      </c>
      <c r="F240" t="s">
        <v>459</v>
      </c>
      <c r="G240" t="s">
        <v>460</v>
      </c>
      <c r="H240" s="152" t="s">
        <v>351</v>
      </c>
    </row>
    <row r="241" spans="1:8" x14ac:dyDescent="0.2">
      <c r="A241">
        <v>45346.929282407407</v>
      </c>
      <c r="B241" t="s">
        <v>130</v>
      </c>
      <c r="C241" t="s">
        <v>86</v>
      </c>
      <c r="D241" t="s">
        <v>118</v>
      </c>
      <c r="E241" t="s">
        <v>417</v>
      </c>
      <c r="F241" t="s">
        <v>477</v>
      </c>
      <c r="G241" t="s">
        <v>461</v>
      </c>
      <c r="H241" s="152" t="s">
        <v>462</v>
      </c>
    </row>
    <row r="242" spans="1:8" x14ac:dyDescent="0.2">
      <c r="A242">
        <v>45346.848576388889</v>
      </c>
      <c r="B242" t="s">
        <v>131</v>
      </c>
      <c r="C242" t="s">
        <v>132</v>
      </c>
      <c r="D242" t="s">
        <v>118</v>
      </c>
      <c r="E242" t="s">
        <v>417</v>
      </c>
      <c r="F242" t="s">
        <v>463</v>
      </c>
      <c r="G242" t="s">
        <v>118</v>
      </c>
      <c r="H242" s="152" t="s">
        <v>464</v>
      </c>
    </row>
    <row r="243" spans="1:8" x14ac:dyDescent="0.2">
      <c r="A243">
        <v>45346.843807870369</v>
      </c>
      <c r="B243" t="s">
        <v>298</v>
      </c>
      <c r="C243" t="s">
        <v>386</v>
      </c>
      <c r="D243" t="s">
        <v>118</v>
      </c>
      <c r="E243" t="s">
        <v>417</v>
      </c>
      <c r="F243" t="s">
        <v>465</v>
      </c>
      <c r="G243" t="s">
        <v>466</v>
      </c>
      <c r="H243" s="152" t="s">
        <v>467</v>
      </c>
    </row>
    <row r="244" spans="1:8" x14ac:dyDescent="0.2">
      <c r="A244">
        <v>45346.840046296296</v>
      </c>
      <c r="B244" t="s">
        <v>385</v>
      </c>
      <c r="C244" t="s">
        <v>379</v>
      </c>
      <c r="D244" t="s">
        <v>118</v>
      </c>
      <c r="E244" t="s">
        <v>417</v>
      </c>
      <c r="F244" t="s">
        <v>468</v>
      </c>
      <c r="G244" t="s">
        <v>469</v>
      </c>
      <c r="H244" s="152" t="s">
        <v>102</v>
      </c>
    </row>
    <row r="245" spans="1:8" x14ac:dyDescent="0.2">
      <c r="A245">
        <v>45346.8200462963</v>
      </c>
      <c r="B245" t="s">
        <v>28</v>
      </c>
      <c r="C245" t="s">
        <v>29</v>
      </c>
      <c r="D245" t="s">
        <v>118</v>
      </c>
      <c r="E245" t="s">
        <v>417</v>
      </c>
      <c r="F245" t="s">
        <v>470</v>
      </c>
      <c r="G245" t="s">
        <v>118</v>
      </c>
      <c r="H245" s="152" t="s">
        <v>471</v>
      </c>
    </row>
    <row r="246" spans="1:8" x14ac:dyDescent="0.2">
      <c r="A246">
        <v>45323.772314814814</v>
      </c>
      <c r="B246" t="s">
        <v>204</v>
      </c>
      <c r="C246" t="s">
        <v>378</v>
      </c>
      <c r="D246" t="s">
        <v>118</v>
      </c>
      <c r="E246" t="s">
        <v>266</v>
      </c>
      <c r="F246" t="s">
        <v>366</v>
      </c>
      <c r="G246" t="s">
        <v>367</v>
      </c>
      <c r="H246" s="152" t="s">
        <v>37</v>
      </c>
    </row>
    <row r="247" spans="1:8" x14ac:dyDescent="0.2">
      <c r="A247">
        <v>45321.981203703705</v>
      </c>
      <c r="B247" t="s">
        <v>342</v>
      </c>
      <c r="C247" t="s">
        <v>211</v>
      </c>
      <c r="D247" t="s">
        <v>118</v>
      </c>
      <c r="E247" t="s">
        <v>266</v>
      </c>
      <c r="F247" t="s">
        <v>343</v>
      </c>
      <c r="G247" t="s">
        <v>118</v>
      </c>
      <c r="H247" s="152" t="s">
        <v>344</v>
      </c>
    </row>
    <row r="248" spans="1:8" x14ac:dyDescent="0.2">
      <c r="A248">
        <v>45321.837905092594</v>
      </c>
      <c r="B248" t="s">
        <v>188</v>
      </c>
      <c r="C248" t="s">
        <v>189</v>
      </c>
      <c r="D248" t="s">
        <v>118</v>
      </c>
      <c r="E248" t="s">
        <v>266</v>
      </c>
      <c r="F248" t="s">
        <v>345</v>
      </c>
      <c r="G248" t="s">
        <v>346</v>
      </c>
      <c r="H248" s="152" t="s">
        <v>188</v>
      </c>
    </row>
    <row r="249" spans="1:8" x14ac:dyDescent="0.2">
      <c r="A249">
        <v>45321.810567129629</v>
      </c>
      <c r="B249" t="s">
        <v>200</v>
      </c>
      <c r="C249" t="s">
        <v>201</v>
      </c>
      <c r="D249" t="s">
        <v>118</v>
      </c>
      <c r="E249" t="s">
        <v>266</v>
      </c>
      <c r="F249" t="s">
        <v>347</v>
      </c>
      <c r="G249" t="s">
        <v>348</v>
      </c>
      <c r="H249" s="152" t="s">
        <v>203</v>
      </c>
    </row>
    <row r="250" spans="1:8" x14ac:dyDescent="0.2">
      <c r="A250">
        <v>45321.803402777776</v>
      </c>
      <c r="B250" t="s">
        <v>204</v>
      </c>
      <c r="C250" t="s">
        <v>515</v>
      </c>
      <c r="D250" t="s">
        <v>118</v>
      </c>
      <c r="E250" t="s">
        <v>266</v>
      </c>
      <c r="F250" t="s">
        <v>349</v>
      </c>
      <c r="G250" t="s">
        <v>350</v>
      </c>
      <c r="H250" s="152" t="s">
        <v>351</v>
      </c>
    </row>
    <row r="251" spans="1:8" x14ac:dyDescent="0.2">
      <c r="A251">
        <v>45321.800138888888</v>
      </c>
      <c r="B251" t="s">
        <v>124</v>
      </c>
      <c r="C251" t="s">
        <v>166</v>
      </c>
      <c r="D251" t="s">
        <v>118</v>
      </c>
      <c r="E251" t="s">
        <v>266</v>
      </c>
      <c r="F251" t="s">
        <v>352</v>
      </c>
      <c r="G251" t="s">
        <v>118</v>
      </c>
      <c r="H251" s="152" t="s">
        <v>124</v>
      </c>
    </row>
    <row r="252" spans="1:8" x14ac:dyDescent="0.2">
      <c r="A252">
        <v>45321.741238425922</v>
      </c>
      <c r="B252" t="s">
        <v>72</v>
      </c>
      <c r="C252" t="s">
        <v>552</v>
      </c>
      <c r="D252" t="s">
        <v>118</v>
      </c>
      <c r="E252" t="s">
        <v>266</v>
      </c>
      <c r="F252" t="s">
        <v>354</v>
      </c>
      <c r="G252" t="s">
        <v>118</v>
      </c>
      <c r="H252" s="152" t="s">
        <v>353</v>
      </c>
    </row>
    <row r="253" spans="1:8" x14ac:dyDescent="0.2">
      <c r="A253">
        <v>45321.740046296298</v>
      </c>
      <c r="B253" t="s">
        <v>76</v>
      </c>
      <c r="C253" t="s">
        <v>77</v>
      </c>
      <c r="D253" t="s">
        <v>118</v>
      </c>
      <c r="E253" t="s">
        <v>266</v>
      </c>
      <c r="F253" t="s">
        <v>355</v>
      </c>
      <c r="G253" t="s">
        <v>356</v>
      </c>
      <c r="H253" s="152" t="s">
        <v>76</v>
      </c>
    </row>
    <row r="254" spans="1:8" x14ac:dyDescent="0.2">
      <c r="A254">
        <v>45321.702766203707</v>
      </c>
      <c r="B254" t="s">
        <v>357</v>
      </c>
      <c r="C254" t="s">
        <v>358</v>
      </c>
      <c r="D254" t="s">
        <v>118</v>
      </c>
      <c r="E254" t="s">
        <v>266</v>
      </c>
      <c r="F254" t="s">
        <v>359</v>
      </c>
      <c r="G254" t="s">
        <v>360</v>
      </c>
      <c r="H254" s="152" t="s">
        <v>361</v>
      </c>
    </row>
    <row r="255" spans="1:8" x14ac:dyDescent="0.2">
      <c r="A255">
        <v>45321.521817129629</v>
      </c>
      <c r="B255" t="s">
        <v>160</v>
      </c>
      <c r="C255" t="s">
        <v>332</v>
      </c>
      <c r="D255" t="s">
        <v>118</v>
      </c>
      <c r="E255" t="s">
        <v>266</v>
      </c>
      <c r="F255" t="s">
        <v>333</v>
      </c>
      <c r="G255" t="s">
        <v>334</v>
      </c>
      <c r="H255" s="152" t="s">
        <v>335</v>
      </c>
    </row>
    <row r="256" spans="1:8" x14ac:dyDescent="0.2">
      <c r="A256">
        <v>45320.830590277779</v>
      </c>
      <c r="B256" t="s">
        <v>382</v>
      </c>
      <c r="C256" t="s">
        <v>182</v>
      </c>
      <c r="D256" t="s">
        <v>118</v>
      </c>
      <c r="E256" t="s">
        <v>266</v>
      </c>
      <c r="F256" t="s">
        <v>154</v>
      </c>
      <c r="G256" t="s">
        <v>118</v>
      </c>
      <c r="H256" s="152" t="s">
        <v>331</v>
      </c>
    </row>
    <row r="257" spans="1:8" x14ac:dyDescent="0.2">
      <c r="A257">
        <v>45320.815127314818</v>
      </c>
      <c r="B257" t="s">
        <v>175</v>
      </c>
      <c r="C257" t="s">
        <v>23</v>
      </c>
      <c r="D257" t="s">
        <v>118</v>
      </c>
      <c r="E257" t="s">
        <v>266</v>
      </c>
      <c r="F257" t="s">
        <v>329</v>
      </c>
      <c r="G257" t="s">
        <v>330</v>
      </c>
      <c r="H257" s="152" t="s">
        <v>178</v>
      </c>
    </row>
    <row r="258" spans="1:8" x14ac:dyDescent="0.2">
      <c r="A258">
        <v>45320.243738425925</v>
      </c>
      <c r="B258" t="s">
        <v>383</v>
      </c>
      <c r="C258" t="s">
        <v>326</v>
      </c>
      <c r="D258" t="s">
        <v>118</v>
      </c>
      <c r="E258" t="s">
        <v>266</v>
      </c>
      <c r="F258" t="s">
        <v>327</v>
      </c>
      <c r="G258" t="s">
        <v>118</v>
      </c>
      <c r="H258" s="152" t="s">
        <v>328</v>
      </c>
    </row>
    <row r="259" spans="1:8" x14ac:dyDescent="0.2">
      <c r="A259">
        <v>45320.076574074075</v>
      </c>
      <c r="B259" t="s">
        <v>28</v>
      </c>
      <c r="C259" t="s">
        <v>323</v>
      </c>
      <c r="D259" t="s">
        <v>118</v>
      </c>
      <c r="E259" t="s">
        <v>266</v>
      </c>
      <c r="F259" t="s">
        <v>324</v>
      </c>
      <c r="G259" t="s">
        <v>325</v>
      </c>
      <c r="H259" s="152" t="s">
        <v>2</v>
      </c>
    </row>
    <row r="260" spans="1:8" x14ac:dyDescent="0.2">
      <c r="A260">
        <v>45319.976145833331</v>
      </c>
      <c r="B260" t="s">
        <v>195</v>
      </c>
      <c r="C260" t="s">
        <v>196</v>
      </c>
      <c r="D260" t="s">
        <v>118</v>
      </c>
      <c r="E260" t="s">
        <v>266</v>
      </c>
      <c r="F260" t="s">
        <v>321</v>
      </c>
      <c r="G260" t="s">
        <v>322</v>
      </c>
      <c r="H260" s="152" t="s">
        <v>199</v>
      </c>
    </row>
    <row r="261" spans="1:8" x14ac:dyDescent="0.2">
      <c r="A261">
        <v>45319.806828703702</v>
      </c>
      <c r="B261" t="s">
        <v>145</v>
      </c>
      <c r="C261" t="s">
        <v>380</v>
      </c>
      <c r="D261" t="s">
        <v>118</v>
      </c>
      <c r="E261" t="s">
        <v>266</v>
      </c>
      <c r="F261" t="s">
        <v>318</v>
      </c>
      <c r="G261" t="s">
        <v>319</v>
      </c>
      <c r="H261" s="152" t="s">
        <v>320</v>
      </c>
    </row>
    <row r="262" spans="1:8" x14ac:dyDescent="0.2">
      <c r="A262">
        <v>45319.366562499999</v>
      </c>
      <c r="B262" t="s">
        <v>384</v>
      </c>
      <c r="C262" t="s">
        <v>315</v>
      </c>
      <c r="D262" t="s">
        <v>118</v>
      </c>
      <c r="E262" t="s">
        <v>266</v>
      </c>
      <c r="F262" t="s">
        <v>316</v>
      </c>
      <c r="G262" t="s">
        <v>118</v>
      </c>
      <c r="H262" s="152" t="s">
        <v>317</v>
      </c>
    </row>
    <row r="263" spans="1:8" x14ac:dyDescent="0.2">
      <c r="A263">
        <v>45319.066504629627</v>
      </c>
      <c r="B263" t="s">
        <v>385</v>
      </c>
      <c r="C263" t="s">
        <v>379</v>
      </c>
      <c r="D263" t="s">
        <v>118</v>
      </c>
      <c r="E263" t="s">
        <v>266</v>
      </c>
      <c r="F263" t="s">
        <v>313</v>
      </c>
      <c r="G263" t="s">
        <v>314</v>
      </c>
      <c r="H263" s="152" t="s">
        <v>90</v>
      </c>
    </row>
    <row r="264" spans="1:8" x14ac:dyDescent="0.2">
      <c r="A264">
        <v>45318.504988425928</v>
      </c>
      <c r="B264" t="s">
        <v>305</v>
      </c>
      <c r="C264" t="s">
        <v>306</v>
      </c>
      <c r="D264" t="s">
        <v>118</v>
      </c>
      <c r="E264" t="s">
        <v>266</v>
      </c>
      <c r="F264" t="s">
        <v>307</v>
      </c>
      <c r="G264" t="s">
        <v>308</v>
      </c>
      <c r="H264" s="152" t="s">
        <v>309</v>
      </c>
    </row>
    <row r="265" spans="1:8" x14ac:dyDescent="0.2">
      <c r="A265">
        <v>45318.457280092596</v>
      </c>
      <c r="B265" t="s">
        <v>301</v>
      </c>
      <c r="C265" t="s">
        <v>302</v>
      </c>
      <c r="D265" t="s">
        <v>118</v>
      </c>
      <c r="E265" t="s">
        <v>266</v>
      </c>
      <c r="F265" t="s">
        <v>303</v>
      </c>
      <c r="G265" t="s">
        <v>304</v>
      </c>
      <c r="H265" s="152" t="s">
        <v>301</v>
      </c>
    </row>
    <row r="266" spans="1:8" x14ac:dyDescent="0.2">
      <c r="A266">
        <v>45318.359120370369</v>
      </c>
      <c r="B266" t="s">
        <v>298</v>
      </c>
      <c r="C266" t="s">
        <v>386</v>
      </c>
      <c r="D266" t="s">
        <v>118</v>
      </c>
      <c r="E266" t="s">
        <v>266</v>
      </c>
      <c r="F266" t="s">
        <v>299</v>
      </c>
      <c r="G266" t="s">
        <v>118</v>
      </c>
      <c r="H266" s="152" t="s">
        <v>300</v>
      </c>
    </row>
    <row r="267" spans="1:8" x14ac:dyDescent="0.2">
      <c r="A267">
        <v>45317.949618055558</v>
      </c>
      <c r="B267" t="s">
        <v>130</v>
      </c>
      <c r="C267" t="s">
        <v>86</v>
      </c>
      <c r="D267" t="s">
        <v>118</v>
      </c>
      <c r="E267" t="s">
        <v>266</v>
      </c>
      <c r="F267" t="s">
        <v>297</v>
      </c>
      <c r="G267" t="s">
        <v>118</v>
      </c>
      <c r="H267" s="152" t="s">
        <v>130</v>
      </c>
    </row>
    <row r="268" spans="1:8" x14ac:dyDescent="0.2">
      <c r="A268">
        <v>45317.738321759258</v>
      </c>
      <c r="B268" t="s">
        <v>120</v>
      </c>
      <c r="C268" t="s">
        <v>121</v>
      </c>
      <c r="D268" t="s">
        <v>118</v>
      </c>
      <c r="E268" t="s">
        <v>266</v>
      </c>
      <c r="F268" t="s">
        <v>296</v>
      </c>
      <c r="G268" t="s">
        <v>118</v>
      </c>
      <c r="H268" s="152" t="s">
        <v>123</v>
      </c>
    </row>
    <row r="269" spans="1:8" x14ac:dyDescent="0.2">
      <c r="A269">
        <v>45317.382870370369</v>
      </c>
      <c r="B269" t="s">
        <v>531</v>
      </c>
      <c r="C269" t="s">
        <v>293</v>
      </c>
      <c r="D269" t="s">
        <v>118</v>
      </c>
      <c r="E269" t="s">
        <v>266</v>
      </c>
      <c r="F269" t="s">
        <v>294</v>
      </c>
      <c r="G269" t="s">
        <v>118</v>
      </c>
      <c r="H269" s="152" t="s">
        <v>295</v>
      </c>
    </row>
    <row r="270" spans="1:8" x14ac:dyDescent="0.2">
      <c r="A270">
        <v>45317.004953703705</v>
      </c>
      <c r="B270" t="s">
        <v>290</v>
      </c>
      <c r="C270" t="s">
        <v>387</v>
      </c>
      <c r="D270" t="s">
        <v>118</v>
      </c>
      <c r="E270" t="s">
        <v>266</v>
      </c>
      <c r="F270" t="s">
        <v>291</v>
      </c>
      <c r="G270" t="s">
        <v>118</v>
      </c>
      <c r="H270" s="152" t="s">
        <v>290</v>
      </c>
    </row>
    <row r="271" spans="1:8" x14ac:dyDescent="0.2">
      <c r="A271">
        <v>45317.002812500003</v>
      </c>
      <c r="B271" t="s">
        <v>204</v>
      </c>
      <c r="C271" t="s">
        <v>286</v>
      </c>
      <c r="D271" t="s">
        <v>118</v>
      </c>
      <c r="E271" t="s">
        <v>266</v>
      </c>
      <c r="F271" t="s">
        <v>287</v>
      </c>
      <c r="G271" t="s">
        <v>288</v>
      </c>
      <c r="H271" s="152" t="s">
        <v>289</v>
      </c>
    </row>
    <row r="272" spans="1:8" x14ac:dyDescent="0.2">
      <c r="A272">
        <v>45316.993101851855</v>
      </c>
      <c r="B272" t="s">
        <v>124</v>
      </c>
      <c r="C272" t="s">
        <v>125</v>
      </c>
      <c r="D272" t="s">
        <v>118</v>
      </c>
      <c r="E272" t="s">
        <v>266</v>
      </c>
      <c r="F272" t="s">
        <v>284</v>
      </c>
      <c r="G272" t="s">
        <v>285</v>
      </c>
      <c r="H272" s="152" t="s">
        <v>128</v>
      </c>
    </row>
    <row r="273" spans="1:8" x14ac:dyDescent="0.2">
      <c r="A273">
        <v>45316.916180555556</v>
      </c>
      <c r="B273" t="s">
        <v>103</v>
      </c>
      <c r="C273" t="s">
        <v>104</v>
      </c>
      <c r="D273" t="s">
        <v>118</v>
      </c>
      <c r="E273" t="s">
        <v>266</v>
      </c>
      <c r="F273" t="s">
        <v>283</v>
      </c>
      <c r="G273" t="s">
        <v>118</v>
      </c>
      <c r="H273" s="152" t="s">
        <v>103</v>
      </c>
    </row>
    <row r="274" spans="1:8" x14ac:dyDescent="0.2">
      <c r="A274">
        <v>45316.907199074078</v>
      </c>
      <c r="B274" t="s">
        <v>131</v>
      </c>
      <c r="C274" t="s">
        <v>132</v>
      </c>
      <c r="D274" t="s">
        <v>118</v>
      </c>
      <c r="E274" t="s">
        <v>266</v>
      </c>
      <c r="F274" t="s">
        <v>281</v>
      </c>
      <c r="G274" t="s">
        <v>118</v>
      </c>
      <c r="H274" s="152" t="s">
        <v>282</v>
      </c>
    </row>
    <row r="275" spans="1:8" x14ac:dyDescent="0.2">
      <c r="A275">
        <v>45316.556284722225</v>
      </c>
      <c r="B275" t="s">
        <v>388</v>
      </c>
      <c r="C275" t="s">
        <v>148</v>
      </c>
      <c r="D275" t="s">
        <v>118</v>
      </c>
      <c r="E275" t="s">
        <v>266</v>
      </c>
      <c r="F275" t="s">
        <v>279</v>
      </c>
      <c r="G275" t="s">
        <v>118</v>
      </c>
      <c r="H275" s="152" t="s">
        <v>280</v>
      </c>
    </row>
    <row r="276" spans="1:8" x14ac:dyDescent="0.2">
      <c r="A276">
        <v>45316.547268518516</v>
      </c>
      <c r="B276" t="s">
        <v>72</v>
      </c>
      <c r="C276" t="s">
        <v>73</v>
      </c>
      <c r="D276" t="s">
        <v>118</v>
      </c>
      <c r="E276" t="s">
        <v>266</v>
      </c>
      <c r="F276" t="s">
        <v>276</v>
      </c>
      <c r="G276" t="s">
        <v>277</v>
      </c>
      <c r="H276" s="152" t="s">
        <v>278</v>
      </c>
    </row>
    <row r="277" spans="1:8" x14ac:dyDescent="0.2">
      <c r="A277">
        <v>45316.542824074073</v>
      </c>
      <c r="B277" t="s">
        <v>138</v>
      </c>
      <c r="C277" t="s">
        <v>139</v>
      </c>
      <c r="D277" t="s">
        <v>118</v>
      </c>
      <c r="E277" t="s">
        <v>266</v>
      </c>
      <c r="F277" t="s">
        <v>274</v>
      </c>
      <c r="G277" t="s">
        <v>118</v>
      </c>
      <c r="H277" s="152" t="s">
        <v>275</v>
      </c>
    </row>
    <row r="278" spans="1:8" x14ac:dyDescent="0.2">
      <c r="A278">
        <v>45316.463750000003</v>
      </c>
      <c r="B278" t="s">
        <v>135</v>
      </c>
      <c r="C278" t="s">
        <v>389</v>
      </c>
      <c r="D278" t="s">
        <v>118</v>
      </c>
      <c r="E278" t="s">
        <v>266</v>
      </c>
      <c r="F278" t="s">
        <v>272</v>
      </c>
      <c r="G278" t="s">
        <v>273</v>
      </c>
      <c r="H278" s="152" t="s">
        <v>42</v>
      </c>
    </row>
    <row r="279" spans="1:8" x14ac:dyDescent="0.2">
      <c r="A279">
        <v>45316.33934027778</v>
      </c>
      <c r="B279" t="s">
        <v>28</v>
      </c>
      <c r="C279" t="s">
        <v>29</v>
      </c>
      <c r="D279" t="s">
        <v>118</v>
      </c>
      <c r="E279" t="s">
        <v>266</v>
      </c>
      <c r="F279" t="s">
        <v>269</v>
      </c>
      <c r="G279" t="s">
        <v>270</v>
      </c>
      <c r="H279" s="152" t="s">
        <v>271</v>
      </c>
    </row>
    <row r="280" spans="1:8" x14ac:dyDescent="0.2">
      <c r="A280">
        <v>45315.717592592591</v>
      </c>
      <c r="B280" t="s">
        <v>264</v>
      </c>
      <c r="C280" t="s">
        <v>265</v>
      </c>
      <c r="D280" t="s">
        <v>118</v>
      </c>
      <c r="E280" t="s">
        <v>266</v>
      </c>
      <c r="F280" t="s">
        <v>267</v>
      </c>
      <c r="G280" t="s">
        <v>118</v>
      </c>
      <c r="H280" s="152" t="s">
        <v>264</v>
      </c>
    </row>
    <row r="281" spans="1:8" x14ac:dyDescent="0.2">
      <c r="A281">
        <v>45308.841666666667</v>
      </c>
      <c r="B281" t="s">
        <v>160</v>
      </c>
      <c r="C281" t="s">
        <v>260</v>
      </c>
      <c r="D281" t="s">
        <v>118</v>
      </c>
      <c r="E281" t="s">
        <v>99</v>
      </c>
      <c r="F281" t="s">
        <v>261</v>
      </c>
      <c r="G281" t="s">
        <v>262</v>
      </c>
      <c r="H281" s="152" t="s">
        <v>263</v>
      </c>
    </row>
    <row r="282" spans="1:8" x14ac:dyDescent="0.2">
      <c r="A282">
        <v>45292.95820601852</v>
      </c>
      <c r="B282" t="s">
        <v>28</v>
      </c>
      <c r="C282" t="s">
        <v>390</v>
      </c>
      <c r="D282" t="s">
        <v>118</v>
      </c>
      <c r="E282" t="s">
        <v>99</v>
      </c>
      <c r="F282" t="s">
        <v>259</v>
      </c>
      <c r="G282" t="s">
        <v>241</v>
      </c>
      <c r="H282" s="152" t="s">
        <v>242</v>
      </c>
    </row>
    <row r="283" spans="1:8" x14ac:dyDescent="0.2">
      <c r="A283">
        <v>45292.790462962963</v>
      </c>
      <c r="B283" t="s">
        <v>256</v>
      </c>
      <c r="C283" t="s">
        <v>257</v>
      </c>
      <c r="D283" t="s">
        <v>118</v>
      </c>
      <c r="E283" t="s">
        <v>99</v>
      </c>
      <c r="F283" t="s">
        <v>258</v>
      </c>
      <c r="G283" t="s">
        <v>118</v>
      </c>
      <c r="H283" s="152" t="s">
        <v>240</v>
      </c>
    </row>
    <row r="284" spans="1:8" x14ac:dyDescent="0.2">
      <c r="A284">
        <v>45292.578611111108</v>
      </c>
      <c r="B284" t="s">
        <v>72</v>
      </c>
      <c r="C284" t="s">
        <v>552</v>
      </c>
      <c r="D284" t="s">
        <v>118</v>
      </c>
      <c r="E284" t="s">
        <v>99</v>
      </c>
      <c r="F284" t="s">
        <v>255</v>
      </c>
      <c r="G284" t="s">
        <v>118</v>
      </c>
      <c r="H284" s="152" t="s">
        <v>238</v>
      </c>
    </row>
    <row r="285" spans="1:8" x14ac:dyDescent="0.2">
      <c r="A285">
        <v>45290.998888888891</v>
      </c>
      <c r="B285" t="s">
        <v>342</v>
      </c>
      <c r="C285" t="s">
        <v>211</v>
      </c>
      <c r="D285" t="s">
        <v>118</v>
      </c>
      <c r="E285" t="s">
        <v>99</v>
      </c>
      <c r="F285" t="s">
        <v>212</v>
      </c>
      <c r="G285" t="s">
        <v>118</v>
      </c>
      <c r="H285" s="152" t="s">
        <v>213</v>
      </c>
    </row>
    <row r="286" spans="1:8" x14ac:dyDescent="0.2">
      <c r="A286">
        <v>45290.920243055552</v>
      </c>
      <c r="B286" t="s">
        <v>207</v>
      </c>
      <c r="C286" t="s">
        <v>208</v>
      </c>
      <c r="D286" t="s">
        <v>118</v>
      </c>
      <c r="E286" t="s">
        <v>99</v>
      </c>
      <c r="F286" t="s">
        <v>209</v>
      </c>
      <c r="G286" t="s">
        <v>210</v>
      </c>
      <c r="H286" s="152" t="s">
        <v>207</v>
      </c>
    </row>
    <row r="287" spans="1:8" x14ac:dyDescent="0.2">
      <c r="A287">
        <v>45290.901643518519</v>
      </c>
      <c r="B287" t="s">
        <v>204</v>
      </c>
      <c r="C287" t="s">
        <v>378</v>
      </c>
      <c r="D287" t="s">
        <v>118</v>
      </c>
      <c r="E287" t="s">
        <v>99</v>
      </c>
      <c r="F287" t="s">
        <v>205</v>
      </c>
      <c r="G287" t="s">
        <v>206</v>
      </c>
      <c r="H287" s="152" t="s">
        <v>37</v>
      </c>
    </row>
    <row r="288" spans="1:8" x14ac:dyDescent="0.2">
      <c r="A288">
        <v>45290.842523148145</v>
      </c>
      <c r="B288" t="s">
        <v>200</v>
      </c>
      <c r="C288" t="s">
        <v>201</v>
      </c>
      <c r="D288" t="s">
        <v>118</v>
      </c>
      <c r="E288" t="s">
        <v>99</v>
      </c>
      <c r="F288" t="s">
        <v>202</v>
      </c>
      <c r="G288" t="s">
        <v>118</v>
      </c>
      <c r="H288" s="152" t="s">
        <v>203</v>
      </c>
    </row>
    <row r="289" spans="1:8" x14ac:dyDescent="0.2">
      <c r="A289">
        <v>45290.582708333335</v>
      </c>
      <c r="B289" t="s">
        <v>195</v>
      </c>
      <c r="C289" t="s">
        <v>196</v>
      </c>
      <c r="D289" t="s">
        <v>118</v>
      </c>
      <c r="E289" t="s">
        <v>99</v>
      </c>
      <c r="F289" t="s">
        <v>197</v>
      </c>
      <c r="G289" t="s">
        <v>198</v>
      </c>
      <c r="H289" s="152" t="s">
        <v>199</v>
      </c>
    </row>
    <row r="290" spans="1:8" x14ac:dyDescent="0.2">
      <c r="A290">
        <v>45290.557592592595</v>
      </c>
      <c r="B290" t="s">
        <v>115</v>
      </c>
      <c r="C290" t="s">
        <v>391</v>
      </c>
      <c r="D290" t="s">
        <v>118</v>
      </c>
      <c r="E290" t="s">
        <v>99</v>
      </c>
      <c r="F290" t="s">
        <v>192</v>
      </c>
      <c r="G290" t="s">
        <v>193</v>
      </c>
      <c r="H290" s="152" t="s">
        <v>194</v>
      </c>
    </row>
    <row r="291" spans="1:8" x14ac:dyDescent="0.2">
      <c r="A291">
        <v>45290.553182870368</v>
      </c>
      <c r="B291" t="s">
        <v>188</v>
      </c>
      <c r="C291" t="s">
        <v>189</v>
      </c>
      <c r="D291" t="s">
        <v>118</v>
      </c>
      <c r="E291" t="s">
        <v>99</v>
      </c>
      <c r="F291" t="s">
        <v>190</v>
      </c>
      <c r="G291" t="s">
        <v>118</v>
      </c>
      <c r="H291" s="152" t="s">
        <v>191</v>
      </c>
    </row>
    <row r="292" spans="1:8" x14ac:dyDescent="0.2">
      <c r="A292">
        <v>45290.494930555556</v>
      </c>
      <c r="B292" t="s">
        <v>28</v>
      </c>
      <c r="C292" t="s">
        <v>185</v>
      </c>
      <c r="D292" t="s">
        <v>118</v>
      </c>
      <c r="E292" t="s">
        <v>99</v>
      </c>
      <c r="F292" t="s">
        <v>186</v>
      </c>
      <c r="G292" t="s">
        <v>118</v>
      </c>
      <c r="H292" s="152" t="s">
        <v>187</v>
      </c>
    </row>
    <row r="293" spans="1:8" x14ac:dyDescent="0.2">
      <c r="A293">
        <v>45290.419479166667</v>
      </c>
      <c r="B293" t="s">
        <v>382</v>
      </c>
      <c r="C293" t="s">
        <v>182</v>
      </c>
      <c r="D293" t="s">
        <v>118</v>
      </c>
      <c r="E293" t="s">
        <v>99</v>
      </c>
      <c r="F293" t="s">
        <v>183</v>
      </c>
      <c r="G293" t="s">
        <v>118</v>
      </c>
      <c r="H293" s="152" t="s">
        <v>184</v>
      </c>
    </row>
    <row r="294" spans="1:8" x14ac:dyDescent="0.2">
      <c r="A294">
        <v>45289.776620370372</v>
      </c>
      <c r="B294" t="s">
        <v>392</v>
      </c>
      <c r="C294" t="s">
        <v>393</v>
      </c>
      <c r="D294" t="s">
        <v>118</v>
      </c>
      <c r="E294" t="s">
        <v>99</v>
      </c>
      <c r="F294" t="s">
        <v>179</v>
      </c>
      <c r="G294" t="s">
        <v>180</v>
      </c>
      <c r="H294" s="152" t="s">
        <v>181</v>
      </c>
    </row>
    <row r="295" spans="1:8" x14ac:dyDescent="0.2">
      <c r="A295">
        <v>45289.317233796297</v>
      </c>
      <c r="B295" t="s">
        <v>175</v>
      </c>
      <c r="C295" t="s">
        <v>23</v>
      </c>
      <c r="D295" t="s">
        <v>118</v>
      </c>
      <c r="E295" t="s">
        <v>99</v>
      </c>
      <c r="F295" t="s">
        <v>176</v>
      </c>
      <c r="G295" t="s">
        <v>177</v>
      </c>
      <c r="H295" s="152" t="s">
        <v>178</v>
      </c>
    </row>
    <row r="296" spans="1:8" x14ac:dyDescent="0.2">
      <c r="A296">
        <v>45289.047546296293</v>
      </c>
      <c r="B296" t="s">
        <v>28</v>
      </c>
      <c r="C296" t="s">
        <v>323</v>
      </c>
      <c r="D296" t="s">
        <v>118</v>
      </c>
      <c r="E296" t="s">
        <v>99</v>
      </c>
      <c r="F296" t="s">
        <v>173</v>
      </c>
      <c r="G296" t="s">
        <v>174</v>
      </c>
      <c r="H296" s="152" t="s">
        <v>2</v>
      </c>
    </row>
    <row r="297" spans="1:8" x14ac:dyDescent="0.2">
      <c r="A297">
        <v>45288.396469907406</v>
      </c>
      <c r="B297" t="s">
        <v>67</v>
      </c>
      <c r="C297" t="s">
        <v>68</v>
      </c>
      <c r="D297" t="s">
        <v>118</v>
      </c>
      <c r="E297" t="s">
        <v>99</v>
      </c>
      <c r="F297" t="s">
        <v>169</v>
      </c>
      <c r="G297" t="s">
        <v>170</v>
      </c>
      <c r="H297" s="152" t="s">
        <v>171</v>
      </c>
    </row>
    <row r="298" spans="1:8" x14ac:dyDescent="0.2">
      <c r="A298">
        <v>45288.008425925924</v>
      </c>
      <c r="B298" t="s">
        <v>124</v>
      </c>
      <c r="C298" t="s">
        <v>166</v>
      </c>
      <c r="D298" t="s">
        <v>118</v>
      </c>
      <c r="E298" t="s">
        <v>99</v>
      </c>
      <c r="F298" t="s">
        <v>167</v>
      </c>
      <c r="G298" t="s">
        <v>118</v>
      </c>
      <c r="H298" s="152" t="s">
        <v>168</v>
      </c>
    </row>
    <row r="299" spans="1:8" x14ac:dyDescent="0.2">
      <c r="A299">
        <v>45287.630069444444</v>
      </c>
      <c r="B299" t="s">
        <v>145</v>
      </c>
      <c r="C299" t="s">
        <v>380</v>
      </c>
      <c r="D299" t="s">
        <v>118</v>
      </c>
      <c r="E299" t="s">
        <v>99</v>
      </c>
      <c r="F299" t="s">
        <v>164</v>
      </c>
      <c r="G299" t="s">
        <v>165</v>
      </c>
      <c r="H299" s="152" t="s">
        <v>147</v>
      </c>
    </row>
    <row r="300" spans="1:8" x14ac:dyDescent="0.2">
      <c r="A300">
        <v>45287.622916666667</v>
      </c>
      <c r="B300" t="s">
        <v>160</v>
      </c>
      <c r="C300" t="s">
        <v>332</v>
      </c>
      <c r="D300" t="s">
        <v>118</v>
      </c>
      <c r="E300" t="s">
        <v>99</v>
      </c>
      <c r="F300" t="s">
        <v>161</v>
      </c>
      <c r="G300" t="s">
        <v>162</v>
      </c>
      <c r="H300" s="152" t="s">
        <v>163</v>
      </c>
    </row>
    <row r="301" spans="1:8" x14ac:dyDescent="0.2">
      <c r="A301">
        <v>45287.567766203705</v>
      </c>
      <c r="B301" t="s">
        <v>46</v>
      </c>
      <c r="C301" t="s">
        <v>47</v>
      </c>
      <c r="D301" t="s">
        <v>118</v>
      </c>
      <c r="E301" t="s">
        <v>99</v>
      </c>
      <c r="F301" t="s">
        <v>157</v>
      </c>
      <c r="G301" t="s">
        <v>158</v>
      </c>
      <c r="H301" s="152" t="s">
        <v>159</v>
      </c>
    </row>
    <row r="302" spans="1:8" x14ac:dyDescent="0.2">
      <c r="A302">
        <v>45287.557025462964</v>
      </c>
      <c r="B302" t="s">
        <v>28</v>
      </c>
      <c r="C302" t="s">
        <v>29</v>
      </c>
      <c r="D302" t="s">
        <v>118</v>
      </c>
      <c r="E302" t="s">
        <v>99</v>
      </c>
      <c r="F302" t="s">
        <v>154</v>
      </c>
      <c r="G302" t="s">
        <v>155</v>
      </c>
      <c r="H302" s="152" t="s">
        <v>156</v>
      </c>
    </row>
    <row r="303" spans="1:8" x14ac:dyDescent="0.2">
      <c r="A303">
        <v>45287.555706018517</v>
      </c>
      <c r="B303" t="s">
        <v>8</v>
      </c>
      <c r="C303" t="s">
        <v>152</v>
      </c>
      <c r="D303" t="s">
        <v>118</v>
      </c>
      <c r="E303" t="s">
        <v>99</v>
      </c>
      <c r="F303" t="s">
        <v>153</v>
      </c>
      <c r="G303" t="s">
        <v>118</v>
      </c>
      <c r="H303" s="152" t="s">
        <v>8</v>
      </c>
    </row>
    <row r="304" spans="1:8" x14ac:dyDescent="0.2">
      <c r="A304">
        <v>45287.524317129632</v>
      </c>
      <c r="B304" t="s">
        <v>388</v>
      </c>
      <c r="C304" t="s">
        <v>148</v>
      </c>
      <c r="D304" t="s">
        <v>118</v>
      </c>
      <c r="E304" t="s">
        <v>99</v>
      </c>
      <c r="F304" t="s">
        <v>149</v>
      </c>
      <c r="G304" t="s">
        <v>150</v>
      </c>
      <c r="H304" s="152" t="s">
        <v>151</v>
      </c>
    </row>
    <row r="305" spans="1:8" x14ac:dyDescent="0.2">
      <c r="A305">
        <v>45287.507048611114</v>
      </c>
      <c r="B305" t="s">
        <v>76</v>
      </c>
      <c r="C305" t="s">
        <v>77</v>
      </c>
      <c r="D305" t="s">
        <v>118</v>
      </c>
      <c r="E305" t="s">
        <v>99</v>
      </c>
      <c r="F305" t="s">
        <v>143</v>
      </c>
      <c r="G305" t="s">
        <v>144</v>
      </c>
      <c r="H305" s="152" t="s">
        <v>76</v>
      </c>
    </row>
    <row r="306" spans="1:8" x14ac:dyDescent="0.2">
      <c r="A306">
        <v>45287.436030092591</v>
      </c>
      <c r="B306" t="s">
        <v>138</v>
      </c>
      <c r="C306" t="s">
        <v>139</v>
      </c>
      <c r="D306" t="s">
        <v>118</v>
      </c>
      <c r="E306" t="s">
        <v>99</v>
      </c>
      <c r="F306" t="s">
        <v>140</v>
      </c>
      <c r="G306" t="s">
        <v>141</v>
      </c>
      <c r="H306" s="152" t="s">
        <v>142</v>
      </c>
    </row>
    <row r="307" spans="1:8" x14ac:dyDescent="0.2">
      <c r="A307">
        <v>45286.765601851854</v>
      </c>
      <c r="B307" t="s">
        <v>135</v>
      </c>
      <c r="C307" t="s">
        <v>389</v>
      </c>
      <c r="D307" t="s">
        <v>118</v>
      </c>
      <c r="E307" t="s">
        <v>99</v>
      </c>
      <c r="F307" t="s">
        <v>136</v>
      </c>
      <c r="G307" t="s">
        <v>137</v>
      </c>
      <c r="H307" s="152" t="s">
        <v>42</v>
      </c>
    </row>
    <row r="308" spans="1:8" x14ac:dyDescent="0.2">
      <c r="A308">
        <v>45284.588472222225</v>
      </c>
      <c r="B308" t="s">
        <v>131</v>
      </c>
      <c r="C308" t="s">
        <v>132</v>
      </c>
      <c r="D308" t="s">
        <v>118</v>
      </c>
      <c r="E308" t="s">
        <v>99</v>
      </c>
      <c r="F308" t="s">
        <v>133</v>
      </c>
      <c r="G308" t="s">
        <v>118</v>
      </c>
      <c r="H308" s="152" t="s">
        <v>134</v>
      </c>
    </row>
    <row r="309" spans="1:8" x14ac:dyDescent="0.2">
      <c r="A309">
        <v>45284.322118055556</v>
      </c>
      <c r="B309" t="s">
        <v>130</v>
      </c>
      <c r="C309" t="s">
        <v>86</v>
      </c>
      <c r="D309" t="s">
        <v>118</v>
      </c>
      <c r="E309" t="s">
        <v>99</v>
      </c>
      <c r="F309" t="s">
        <v>129</v>
      </c>
      <c r="G309" t="s">
        <v>118</v>
      </c>
      <c r="H309" s="152" t="s">
        <v>130</v>
      </c>
    </row>
    <row r="310" spans="1:8" x14ac:dyDescent="0.2">
      <c r="A310">
        <v>45284.07</v>
      </c>
      <c r="B310" t="s">
        <v>124</v>
      </c>
      <c r="C310" t="s">
        <v>125</v>
      </c>
      <c r="D310" t="s">
        <v>118</v>
      </c>
      <c r="E310" t="s">
        <v>99</v>
      </c>
      <c r="F310" t="s">
        <v>126</v>
      </c>
      <c r="G310" t="s">
        <v>127</v>
      </c>
      <c r="H310" s="152" t="s">
        <v>128</v>
      </c>
    </row>
    <row r="311" spans="1:8" x14ac:dyDescent="0.2">
      <c r="A311">
        <v>45283.995694444442</v>
      </c>
      <c r="B311" t="s">
        <v>120</v>
      </c>
      <c r="C311" t="s">
        <v>121</v>
      </c>
      <c r="D311" t="s">
        <v>118</v>
      </c>
      <c r="E311" t="s">
        <v>99</v>
      </c>
      <c r="F311" t="s">
        <v>122</v>
      </c>
      <c r="G311" t="s">
        <v>118</v>
      </c>
      <c r="H311" s="152" t="s">
        <v>123</v>
      </c>
    </row>
    <row r="312" spans="1:8" x14ac:dyDescent="0.2">
      <c r="A312">
        <v>45283.682013888887</v>
      </c>
      <c r="B312" t="s">
        <v>115</v>
      </c>
      <c r="C312" t="s">
        <v>394</v>
      </c>
      <c r="D312" t="s">
        <v>118</v>
      </c>
      <c r="E312" t="s">
        <v>99</v>
      </c>
      <c r="F312" t="s">
        <v>116</v>
      </c>
      <c r="G312" t="s">
        <v>118</v>
      </c>
      <c r="H312" s="152" t="s">
        <v>117</v>
      </c>
    </row>
    <row r="313" spans="1:8" x14ac:dyDescent="0.2">
      <c r="A313">
        <v>45283.64875</v>
      </c>
      <c r="B313" t="s">
        <v>112</v>
      </c>
      <c r="C313" t="s">
        <v>395</v>
      </c>
      <c r="D313" t="s">
        <v>118</v>
      </c>
      <c r="E313" t="s">
        <v>99</v>
      </c>
      <c r="F313" t="s">
        <v>113</v>
      </c>
      <c r="G313" t="s">
        <v>118</v>
      </c>
      <c r="H313" s="152" t="s">
        <v>114</v>
      </c>
    </row>
    <row r="314" spans="1:8" x14ac:dyDescent="0.2">
      <c r="A314">
        <v>45283.532418981478</v>
      </c>
      <c r="B314" t="s">
        <v>107</v>
      </c>
      <c r="C314" t="s">
        <v>108</v>
      </c>
      <c r="D314" t="s">
        <v>118</v>
      </c>
      <c r="E314" t="s">
        <v>99</v>
      </c>
      <c r="F314" t="s">
        <v>109</v>
      </c>
      <c r="G314" t="s">
        <v>110</v>
      </c>
      <c r="H314" s="152" t="s">
        <v>111</v>
      </c>
    </row>
    <row r="315" spans="1:8" x14ac:dyDescent="0.2">
      <c r="A315">
        <v>45283.365474537037</v>
      </c>
      <c r="B315" t="s">
        <v>103</v>
      </c>
      <c r="C315" t="s">
        <v>104</v>
      </c>
      <c r="D315" t="s">
        <v>118</v>
      </c>
      <c r="E315" t="s">
        <v>99</v>
      </c>
      <c r="F315" t="s">
        <v>105</v>
      </c>
      <c r="G315" t="s">
        <v>118</v>
      </c>
      <c r="H315" s="152" t="s">
        <v>106</v>
      </c>
    </row>
    <row r="316" spans="1:8" x14ac:dyDescent="0.2">
      <c r="A316">
        <v>45283.361006944448</v>
      </c>
      <c r="B316" t="s">
        <v>385</v>
      </c>
      <c r="C316" t="s">
        <v>379</v>
      </c>
      <c r="D316" t="s">
        <v>118</v>
      </c>
      <c r="E316" t="s">
        <v>99</v>
      </c>
      <c r="F316" t="s">
        <v>100</v>
      </c>
      <c r="G316" t="s">
        <v>101</v>
      </c>
      <c r="H316" s="152" t="s">
        <v>102</v>
      </c>
    </row>
    <row r="317" spans="1:8" x14ac:dyDescent="0.2">
      <c r="A317">
        <v>45278.658449074072</v>
      </c>
      <c r="B317" t="s">
        <v>94</v>
      </c>
      <c r="C317" t="s">
        <v>95</v>
      </c>
      <c r="D317" t="s">
        <v>96</v>
      </c>
      <c r="E317" t="s">
        <v>57</v>
      </c>
      <c r="F317" t="s">
        <v>97</v>
      </c>
      <c r="G317" t="s">
        <v>98</v>
      </c>
      <c r="H317" s="152" t="s">
        <v>118</v>
      </c>
    </row>
    <row r="318" spans="1:8" x14ac:dyDescent="0.2">
      <c r="A318">
        <v>45261.792870370373</v>
      </c>
      <c r="B318" t="s">
        <v>396</v>
      </c>
      <c r="C318" t="s">
        <v>379</v>
      </c>
      <c r="D318" t="s">
        <v>91</v>
      </c>
      <c r="E318" t="s">
        <v>25</v>
      </c>
      <c r="F318" t="s">
        <v>92</v>
      </c>
      <c r="G318" t="s">
        <v>93</v>
      </c>
      <c r="H318" s="152" t="s">
        <v>118</v>
      </c>
    </row>
    <row r="319" spans="1:8" x14ac:dyDescent="0.2">
      <c r="A319">
        <v>45260.915312500001</v>
      </c>
      <c r="B319" t="s">
        <v>130</v>
      </c>
      <c r="C319" t="s">
        <v>86</v>
      </c>
      <c r="D319" t="s">
        <v>87</v>
      </c>
      <c r="E319" t="s">
        <v>25</v>
      </c>
      <c r="F319" t="s">
        <v>88</v>
      </c>
      <c r="G319" t="s">
        <v>89</v>
      </c>
      <c r="H319" s="152" t="s">
        <v>118</v>
      </c>
    </row>
    <row r="320" spans="1:8" x14ac:dyDescent="0.2">
      <c r="A320">
        <v>45260.507997685185</v>
      </c>
      <c r="B320" t="s">
        <v>397</v>
      </c>
      <c r="C320" t="s">
        <v>83</v>
      </c>
      <c r="D320" t="s">
        <v>84</v>
      </c>
      <c r="E320" t="s">
        <v>25</v>
      </c>
      <c r="F320" t="s">
        <v>85</v>
      </c>
      <c r="G320" t="s">
        <v>119</v>
      </c>
      <c r="H320" s="152" t="s">
        <v>118</v>
      </c>
    </row>
    <row r="321" spans="1:8" x14ac:dyDescent="0.2">
      <c r="A321">
        <v>45260.092152777775</v>
      </c>
      <c r="B321" t="s">
        <v>28</v>
      </c>
      <c r="C321" t="s">
        <v>172</v>
      </c>
      <c r="D321" t="s">
        <v>80</v>
      </c>
      <c r="E321" t="s">
        <v>25</v>
      </c>
      <c r="F321" t="s">
        <v>81</v>
      </c>
      <c r="G321" t="s">
        <v>82</v>
      </c>
      <c r="H321" s="152" t="s">
        <v>118</v>
      </c>
    </row>
    <row r="322" spans="1:8" x14ac:dyDescent="0.2">
      <c r="A322">
        <v>45259.776666666665</v>
      </c>
      <c r="B322" t="s">
        <v>76</v>
      </c>
      <c r="C322" t="s">
        <v>77</v>
      </c>
      <c r="D322" t="s">
        <v>118</v>
      </c>
      <c r="E322" t="s">
        <v>25</v>
      </c>
      <c r="F322" t="s">
        <v>78</v>
      </c>
      <c r="G322" t="s">
        <v>79</v>
      </c>
      <c r="H322" s="152" t="s">
        <v>118</v>
      </c>
    </row>
    <row r="323" spans="1:8" x14ac:dyDescent="0.2">
      <c r="A323">
        <v>45259.677465277775</v>
      </c>
      <c r="B323" t="s">
        <v>72</v>
      </c>
      <c r="C323" t="s">
        <v>73</v>
      </c>
      <c r="D323" t="s">
        <v>118</v>
      </c>
      <c r="E323" t="s">
        <v>25</v>
      </c>
      <c r="F323" t="s">
        <v>74</v>
      </c>
      <c r="G323" t="s">
        <v>75</v>
      </c>
      <c r="H323" s="152" t="s">
        <v>118</v>
      </c>
    </row>
    <row r="324" spans="1:8" x14ac:dyDescent="0.2">
      <c r="A324">
        <v>45259.546273148146</v>
      </c>
      <c r="B324" t="s">
        <v>67</v>
      </c>
      <c r="C324" t="s">
        <v>68</v>
      </c>
      <c r="D324" t="s">
        <v>69</v>
      </c>
      <c r="E324" t="s">
        <v>25</v>
      </c>
      <c r="F324" t="s">
        <v>70</v>
      </c>
      <c r="G324" t="s">
        <v>71</v>
      </c>
      <c r="H324" s="152" t="s">
        <v>118</v>
      </c>
    </row>
    <row r="325" spans="1:8" x14ac:dyDescent="0.2">
      <c r="A325">
        <v>45258.841527777775</v>
      </c>
      <c r="B325" t="s">
        <v>64</v>
      </c>
      <c r="C325" t="s">
        <v>398</v>
      </c>
      <c r="D325" t="s">
        <v>65</v>
      </c>
      <c r="E325" t="s">
        <v>25</v>
      </c>
      <c r="F325" t="s">
        <v>66</v>
      </c>
      <c r="G325" t="s">
        <v>118</v>
      </c>
      <c r="H325" s="152" t="s">
        <v>118</v>
      </c>
    </row>
    <row r="326" spans="1:8" x14ac:dyDescent="0.2">
      <c r="A326">
        <v>45258.596354166664</v>
      </c>
      <c r="B326" t="s">
        <v>60</v>
      </c>
      <c r="C326" t="s">
        <v>61</v>
      </c>
      <c r="D326" t="s">
        <v>62</v>
      </c>
      <c r="E326" t="s">
        <v>25</v>
      </c>
      <c r="F326" t="s">
        <v>63</v>
      </c>
      <c r="G326" t="s">
        <v>118</v>
      </c>
      <c r="H326" s="152" t="s">
        <v>118</v>
      </c>
    </row>
    <row r="327" spans="1:8" x14ac:dyDescent="0.2">
      <c r="A327">
        <v>45258.501655092594</v>
      </c>
      <c r="B327" t="s">
        <v>54</v>
      </c>
      <c r="C327" t="s">
        <v>55</v>
      </c>
      <c r="D327" t="s">
        <v>56</v>
      </c>
      <c r="E327" t="s">
        <v>57</v>
      </c>
      <c r="F327" t="s">
        <v>58</v>
      </c>
      <c r="G327" t="s">
        <v>59</v>
      </c>
      <c r="H327" s="152" t="s">
        <v>118</v>
      </c>
    </row>
    <row r="328" spans="1:8" x14ac:dyDescent="0.2">
      <c r="A328">
        <v>45258.395405092589</v>
      </c>
      <c r="B328" t="s">
        <v>138</v>
      </c>
      <c r="C328" t="s">
        <v>51</v>
      </c>
      <c r="D328" t="s">
        <v>52</v>
      </c>
      <c r="E328" t="s">
        <v>25</v>
      </c>
      <c r="F328" t="s">
        <v>53</v>
      </c>
      <c r="G328" t="s">
        <v>118</v>
      </c>
      <c r="H328" s="152" t="s">
        <v>118</v>
      </c>
    </row>
    <row r="329" spans="1:8" x14ac:dyDescent="0.2">
      <c r="A329">
        <v>45258.363553240742</v>
      </c>
      <c r="B329" t="s">
        <v>46</v>
      </c>
      <c r="C329" t="s">
        <v>47</v>
      </c>
      <c r="D329" t="s">
        <v>48</v>
      </c>
      <c r="E329" t="s">
        <v>25</v>
      </c>
      <c r="F329" t="s">
        <v>49</v>
      </c>
      <c r="G329" t="s">
        <v>50</v>
      </c>
      <c r="H329" s="152" t="s">
        <v>118</v>
      </c>
    </row>
    <row r="330" spans="1:8" x14ac:dyDescent="0.2">
      <c r="A330">
        <v>45258.352916666663</v>
      </c>
      <c r="B330" t="s">
        <v>135</v>
      </c>
      <c r="C330" t="s">
        <v>389</v>
      </c>
      <c r="D330" t="s">
        <v>43</v>
      </c>
      <c r="E330" t="s">
        <v>25</v>
      </c>
      <c r="F330" t="s">
        <v>44</v>
      </c>
      <c r="G330" t="s">
        <v>45</v>
      </c>
      <c r="H330" s="152" t="s">
        <v>118</v>
      </c>
    </row>
    <row r="331" spans="1:8" x14ac:dyDescent="0.2">
      <c r="A331">
        <v>45257.696655092594</v>
      </c>
      <c r="B331" t="s">
        <v>37</v>
      </c>
      <c r="C331" t="s">
        <v>38</v>
      </c>
      <c r="D331" t="s">
        <v>39</v>
      </c>
      <c r="E331" t="s">
        <v>25</v>
      </c>
      <c r="F331" t="s">
        <v>40</v>
      </c>
      <c r="G331" t="s">
        <v>41</v>
      </c>
      <c r="H331" s="152" t="s">
        <v>118</v>
      </c>
    </row>
    <row r="332" spans="1:8" x14ac:dyDescent="0.2">
      <c r="A332">
        <v>45257.586273148147</v>
      </c>
      <c r="B332" t="s">
        <v>33</v>
      </c>
      <c r="C332" t="s">
        <v>34</v>
      </c>
      <c r="D332" t="s">
        <v>118</v>
      </c>
      <c r="E332" t="s">
        <v>25</v>
      </c>
      <c r="F332" t="s">
        <v>35</v>
      </c>
      <c r="G332" t="s">
        <v>36</v>
      </c>
      <c r="H332" s="152" t="s">
        <v>118</v>
      </c>
    </row>
    <row r="333" spans="1:8" x14ac:dyDescent="0.2">
      <c r="A333">
        <v>45257.418854166666</v>
      </c>
      <c r="B333" t="s">
        <v>28</v>
      </c>
      <c r="C333" t="s">
        <v>29</v>
      </c>
      <c r="D333" t="s">
        <v>30</v>
      </c>
      <c r="E333" t="s">
        <v>25</v>
      </c>
      <c r="F333" t="s">
        <v>31</v>
      </c>
      <c r="G333" t="s">
        <v>32</v>
      </c>
      <c r="H333" s="152" t="s">
        <v>118</v>
      </c>
    </row>
    <row r="334" spans="1:8" x14ac:dyDescent="0.2">
      <c r="A334">
        <v>45255.743344907409</v>
      </c>
      <c r="B334" t="s">
        <v>22</v>
      </c>
      <c r="C334" t="s">
        <v>23</v>
      </c>
      <c r="D334" t="s">
        <v>24</v>
      </c>
      <c r="E334" t="s">
        <v>25</v>
      </c>
      <c r="F334" t="s">
        <v>26</v>
      </c>
      <c r="G334" t="s">
        <v>27</v>
      </c>
      <c r="H334" s="152"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AD217"/>
  <sheetViews>
    <sheetView zoomScale="130" zoomScaleNormal="130" workbookViewId="0">
      <selection activeCell="Z4" sqref="Z4"/>
    </sheetView>
  </sheetViews>
  <sheetFormatPr baseColWidth="10" defaultRowHeight="12" x14ac:dyDescent="0.2"/>
  <cols>
    <col min="1" max="1" width="10" bestFit="1" customWidth="1"/>
    <col min="2" max="2" width="7" bestFit="1"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6" bestFit="1" customWidth="1"/>
    <col min="12" max="12" width="0.85546875" customWidth="1"/>
    <col min="13" max="13" width="9.85546875" bestFit="1" customWidth="1"/>
    <col min="14" max="14" width="6" style="4" bestFit="1" customWidth="1"/>
    <col min="15" max="15" width="1.28515625" customWidth="1"/>
    <col min="16" max="16" width="9.85546875" style="4" bestFit="1" customWidth="1"/>
    <col min="17" max="17" width="6" style="4" bestFit="1" customWidth="1"/>
    <col min="18" max="18" width="1.5703125" customWidth="1"/>
    <col min="19" max="19" width="10" bestFit="1" customWidth="1"/>
    <col min="20" max="20" width="6" bestFit="1" customWidth="1"/>
    <col min="21" max="21" width="1.140625" customWidth="1"/>
    <col min="22" max="22" width="9.85546875" bestFit="1" customWidth="1"/>
    <col min="23" max="23" width="6" bestFit="1" customWidth="1"/>
    <col min="24" max="24" width="1.7109375" customWidth="1"/>
    <col min="25" max="25" width="9.85546875" bestFit="1" customWidth="1"/>
    <col min="26" max="26" width="7.140625" bestFit="1" customWidth="1"/>
  </cols>
  <sheetData>
    <row r="1" spans="1:30" ht="18" x14ac:dyDescent="0.2">
      <c r="A1" s="108" t="s">
        <v>341</v>
      </c>
      <c r="B1" s="108"/>
      <c r="D1" s="107" t="s">
        <v>237</v>
      </c>
      <c r="E1" s="107"/>
      <c r="G1" s="107" t="s">
        <v>368</v>
      </c>
      <c r="H1" s="107"/>
      <c r="J1" s="107" t="s">
        <v>476</v>
      </c>
      <c r="K1" s="107"/>
      <c r="M1" s="107" t="s">
        <v>551</v>
      </c>
      <c r="N1" s="107"/>
      <c r="P1" s="107" t="s">
        <v>659</v>
      </c>
      <c r="Q1" s="107"/>
      <c r="S1" s="107" t="s">
        <v>802</v>
      </c>
      <c r="T1" s="107"/>
      <c r="V1" s="107" t="s">
        <v>961</v>
      </c>
      <c r="W1" s="107"/>
      <c r="X1" s="99"/>
      <c r="Y1" s="107" t="s">
        <v>1042</v>
      </c>
      <c r="Z1" s="107"/>
      <c r="AA1" s="99"/>
      <c r="AB1" s="101" t="s">
        <v>486</v>
      </c>
      <c r="AC1" s="2">
        <f>MIN(omie[valor])</f>
        <v>0.44</v>
      </c>
      <c r="AD1" s="102">
        <f>INDEX(omie[fecha],MATCH(AC1,omie[valor],0))</f>
        <v>45387</v>
      </c>
    </row>
    <row r="2" spans="1:30" ht="18" x14ac:dyDescent="0.2">
      <c r="A2" s="108"/>
      <c r="B2" s="108"/>
      <c r="D2" s="107"/>
      <c r="E2" s="107"/>
      <c r="G2" s="107"/>
      <c r="H2" s="107"/>
      <c r="J2" s="107"/>
      <c r="K2" s="107"/>
      <c r="M2" s="107"/>
      <c r="N2" s="107"/>
      <c r="P2" s="107"/>
      <c r="Q2" s="107"/>
      <c r="S2" s="107"/>
      <c r="T2" s="107"/>
      <c r="V2" s="107"/>
      <c r="W2" s="107"/>
      <c r="X2" s="99"/>
      <c r="Y2" s="107"/>
      <c r="Z2" s="107"/>
      <c r="AA2" s="99"/>
      <c r="AB2" s="101" t="s">
        <v>962</v>
      </c>
      <c r="AC2" s="2">
        <f>MAX(omie[valor])</f>
        <v>113.83</v>
      </c>
      <c r="AD2" s="102">
        <f>INDEX(omie[fecha],MATCH(AC2,omie[valor],0))</f>
        <v>45300</v>
      </c>
    </row>
    <row r="3" spans="1:30" x14ac:dyDescent="0.2">
      <c r="A3" s="108"/>
      <c r="B3" s="108"/>
      <c r="D3" s="15" t="s">
        <v>14</v>
      </c>
      <c r="E3" s="25">
        <f>ROUND(AVERAGE(omie_enero[valor]),2)</f>
        <v>74.099999999999994</v>
      </c>
      <c r="G3" s="15" t="s">
        <v>14</v>
      </c>
      <c r="H3" s="25">
        <f>ROUND(AVERAGE(omie_febrero[valor]),2)</f>
        <v>40</v>
      </c>
      <c r="J3" s="15" t="s">
        <v>14</v>
      </c>
      <c r="K3" s="103">
        <f>ROUND(AVERAGE(omie_marzo[valor]),2)</f>
        <v>20.28</v>
      </c>
      <c r="M3" s="15" t="s">
        <v>14</v>
      </c>
      <c r="N3" s="25">
        <f>ROUND(AVERAGE(omie_abril[valor]),2)</f>
        <v>13.67</v>
      </c>
      <c r="P3" s="15" t="s">
        <v>14</v>
      </c>
      <c r="Q3" s="25">
        <f>ROUND(AVERAGE(omie_mayo[valor]),2)</f>
        <v>30.4</v>
      </c>
      <c r="S3" s="15" t="s">
        <v>14</v>
      </c>
      <c r="T3" s="25">
        <f>ROUND(AVERAGE(omie_junio[valor]),2)</f>
        <v>56.08</v>
      </c>
      <c r="V3" s="15" t="s">
        <v>14</v>
      </c>
      <c r="W3" s="25">
        <f>ROUND(AVERAGE(omie_julio[valor]),2)</f>
        <v>72.31</v>
      </c>
      <c r="X3" s="100"/>
      <c r="Y3" s="15" t="s">
        <v>14</v>
      </c>
      <c r="Z3" s="25">
        <f>ROUND(AVERAGE(omie_agosto[valor]),2)</f>
        <v>92.75</v>
      </c>
      <c r="AA3" s="154"/>
    </row>
    <row r="4" spans="1:30" x14ac:dyDescent="0.2">
      <c r="A4" s="2" t="s">
        <v>10</v>
      </c>
      <c r="B4" s="2" t="s">
        <v>11</v>
      </c>
      <c r="D4" s="4" t="s">
        <v>10</v>
      </c>
      <c r="E4" s="4" t="s">
        <v>11</v>
      </c>
      <c r="G4" s="4" t="s">
        <v>10</v>
      </c>
      <c r="H4" s="4" t="s">
        <v>11</v>
      </c>
      <c r="I4"/>
      <c r="J4" s="4" t="s">
        <v>10</v>
      </c>
      <c r="K4" t="s">
        <v>11</v>
      </c>
      <c r="M4" s="4" t="s">
        <v>10</v>
      </c>
      <c r="N4" s="4" t="s">
        <v>11</v>
      </c>
      <c r="P4" s="4" t="s">
        <v>10</v>
      </c>
      <c r="Q4" s="4" t="s">
        <v>11</v>
      </c>
      <c r="S4" s="4" t="s">
        <v>10</v>
      </c>
      <c r="T4" s="4" t="s">
        <v>11</v>
      </c>
      <c r="V4" s="4" t="s">
        <v>10</v>
      </c>
      <c r="W4" s="4" t="s">
        <v>11</v>
      </c>
      <c r="Y4" s="152" t="s">
        <v>10</v>
      </c>
      <c r="Z4" s="152" t="s">
        <v>11</v>
      </c>
      <c r="AA4" s="152"/>
    </row>
    <row r="5" spans="1:30" x14ac:dyDescent="0.2">
      <c r="A5" s="5">
        <v>45504</v>
      </c>
      <c r="B5" s="4">
        <v>105.34</v>
      </c>
      <c r="D5" s="24">
        <v>45292</v>
      </c>
      <c r="E5" s="21">
        <v>36.24</v>
      </c>
      <c r="G5" s="5">
        <v>45323</v>
      </c>
      <c r="H5" s="4">
        <v>70.95</v>
      </c>
      <c r="I5"/>
      <c r="J5" s="24">
        <v>45352</v>
      </c>
      <c r="K5">
        <v>2.14</v>
      </c>
      <c r="M5" s="5">
        <v>45383</v>
      </c>
      <c r="N5" s="4">
        <v>2.76</v>
      </c>
      <c r="P5" s="5">
        <v>45413</v>
      </c>
      <c r="Q5" s="4">
        <v>12.53</v>
      </c>
      <c r="S5" s="5">
        <v>45444</v>
      </c>
      <c r="T5" s="4">
        <v>1.76</v>
      </c>
      <c r="V5" s="24">
        <v>45474</v>
      </c>
      <c r="W5" s="4">
        <v>53.22</v>
      </c>
      <c r="Y5" s="24">
        <v>45505</v>
      </c>
      <c r="Z5" s="152">
        <v>107.32</v>
      </c>
      <c r="AA5" s="152"/>
    </row>
    <row r="6" spans="1:30" x14ac:dyDescent="0.2">
      <c r="A6" s="5">
        <v>45503</v>
      </c>
      <c r="B6" s="4">
        <v>99.71</v>
      </c>
      <c r="D6" s="24">
        <v>45293</v>
      </c>
      <c r="E6" s="21">
        <v>40.909999999999997</v>
      </c>
      <c r="G6" s="5">
        <v>45324</v>
      </c>
      <c r="H6" s="4">
        <v>65.319999999999993</v>
      </c>
      <c r="J6" s="24">
        <v>45353</v>
      </c>
      <c r="K6">
        <v>4.16</v>
      </c>
      <c r="M6" s="5">
        <v>45384</v>
      </c>
      <c r="N6" s="4">
        <v>9.85</v>
      </c>
      <c r="P6" s="5">
        <v>45414</v>
      </c>
      <c r="Q6" s="4">
        <v>15.6</v>
      </c>
      <c r="S6" s="5">
        <v>45445</v>
      </c>
      <c r="T6" s="4">
        <v>4.26</v>
      </c>
      <c r="V6" s="24">
        <v>45475</v>
      </c>
      <c r="W6" s="4">
        <v>46.97</v>
      </c>
      <c r="Y6" s="24">
        <v>45506</v>
      </c>
      <c r="Z6" s="152">
        <v>93.5</v>
      </c>
      <c r="AA6" s="152"/>
    </row>
    <row r="7" spans="1:30" x14ac:dyDescent="0.2">
      <c r="A7" s="5">
        <v>45502</v>
      </c>
      <c r="B7" s="4">
        <v>108.78</v>
      </c>
      <c r="D7" s="24">
        <v>45294</v>
      </c>
      <c r="E7" s="21">
        <v>55.08</v>
      </c>
      <c r="G7" s="5">
        <v>45325</v>
      </c>
      <c r="H7" s="4">
        <v>60.32</v>
      </c>
      <c r="J7" s="24">
        <v>45354</v>
      </c>
      <c r="K7">
        <v>3.79</v>
      </c>
      <c r="M7" s="24">
        <v>45385</v>
      </c>
      <c r="N7" s="4">
        <v>9.0299999999999994</v>
      </c>
      <c r="P7" s="5">
        <v>45415</v>
      </c>
      <c r="Q7" s="4">
        <v>26.11</v>
      </c>
      <c r="S7" s="5">
        <v>45446</v>
      </c>
      <c r="T7" s="4">
        <v>28.56</v>
      </c>
      <c r="V7" s="24">
        <v>45476</v>
      </c>
      <c r="W7" s="4">
        <v>61.71</v>
      </c>
      <c r="Y7" s="24">
        <v>45507</v>
      </c>
      <c r="Z7" s="152">
        <v>77.64</v>
      </c>
      <c r="AA7" s="152"/>
    </row>
    <row r="8" spans="1:30" x14ac:dyDescent="0.2">
      <c r="A8" s="5">
        <v>45501</v>
      </c>
      <c r="B8" s="4">
        <v>63.33</v>
      </c>
      <c r="D8" s="24">
        <v>45295</v>
      </c>
      <c r="E8" s="21">
        <v>91.36</v>
      </c>
      <c r="G8" s="5">
        <v>45326</v>
      </c>
      <c r="H8" s="4">
        <v>63.1</v>
      </c>
      <c r="J8" s="24">
        <v>45355</v>
      </c>
      <c r="K8">
        <v>7.95</v>
      </c>
      <c r="M8" s="24">
        <v>45386</v>
      </c>
      <c r="N8" s="4">
        <v>4</v>
      </c>
      <c r="P8" s="5">
        <v>45416</v>
      </c>
      <c r="Q8" s="4">
        <v>14.8</v>
      </c>
      <c r="S8" s="5">
        <v>45447</v>
      </c>
      <c r="T8" s="4">
        <v>87.64</v>
      </c>
      <c r="V8" s="24">
        <v>45477</v>
      </c>
      <c r="W8" s="4">
        <v>51.85</v>
      </c>
      <c r="Y8" s="24">
        <v>45508</v>
      </c>
      <c r="Z8" s="152">
        <v>75.48</v>
      </c>
      <c r="AA8" s="152"/>
    </row>
    <row r="9" spans="1:30" x14ac:dyDescent="0.2">
      <c r="A9" s="5">
        <v>45500</v>
      </c>
      <c r="B9" s="4">
        <v>76.97</v>
      </c>
      <c r="D9" s="24">
        <v>45296</v>
      </c>
      <c r="E9" s="21">
        <v>68.62</v>
      </c>
      <c r="G9" s="5">
        <v>45327</v>
      </c>
      <c r="H9" s="4">
        <v>80.92</v>
      </c>
      <c r="J9" s="24">
        <v>45356</v>
      </c>
      <c r="K9">
        <v>33.450000000000003</v>
      </c>
      <c r="M9" s="24">
        <v>45387</v>
      </c>
      <c r="N9" s="4">
        <v>0.44</v>
      </c>
      <c r="P9" s="5">
        <v>45417</v>
      </c>
      <c r="Q9" s="4">
        <v>17.53</v>
      </c>
      <c r="S9" s="5">
        <v>45448</v>
      </c>
      <c r="T9" s="4">
        <v>93.26</v>
      </c>
      <c r="V9" s="24">
        <v>45478</v>
      </c>
      <c r="W9" s="4">
        <v>59.88</v>
      </c>
      <c r="Y9" s="24">
        <v>45509</v>
      </c>
      <c r="Z9" s="152">
        <v>109.82</v>
      </c>
      <c r="AA9" s="152"/>
    </row>
    <row r="10" spans="1:30" ht="12" customHeight="1" x14ac:dyDescent="0.2">
      <c r="A10" s="5">
        <v>45499</v>
      </c>
      <c r="B10" s="4">
        <v>94.9</v>
      </c>
      <c r="D10" s="24">
        <v>45297</v>
      </c>
      <c r="E10" s="21">
        <v>43.97</v>
      </c>
      <c r="G10" s="5">
        <v>45328</v>
      </c>
      <c r="H10" s="4">
        <v>74.03</v>
      </c>
      <c r="J10" s="24">
        <v>45357</v>
      </c>
      <c r="K10">
        <v>45.97</v>
      </c>
      <c r="M10" s="24">
        <v>45388</v>
      </c>
      <c r="N10" s="4">
        <v>0.74</v>
      </c>
      <c r="P10" s="5">
        <v>45418</v>
      </c>
      <c r="Q10" s="4">
        <v>47.8</v>
      </c>
      <c r="S10" s="5">
        <v>45449</v>
      </c>
      <c r="T10" s="4">
        <v>93.42</v>
      </c>
      <c r="V10" s="24">
        <v>45479</v>
      </c>
      <c r="W10" s="4">
        <v>33.979999999999997</v>
      </c>
      <c r="AA10" s="152"/>
    </row>
    <row r="11" spans="1:30" ht="12" customHeight="1" x14ac:dyDescent="0.2">
      <c r="A11" s="5">
        <v>45498</v>
      </c>
      <c r="B11" s="4">
        <v>89.26</v>
      </c>
      <c r="D11" s="24">
        <v>45298</v>
      </c>
      <c r="E11" s="21">
        <v>76</v>
      </c>
      <c r="G11" s="5">
        <v>45329</v>
      </c>
      <c r="H11" s="4">
        <v>50.11</v>
      </c>
      <c r="J11" s="24">
        <v>45358</v>
      </c>
      <c r="K11">
        <v>8.52</v>
      </c>
      <c r="M11" s="24">
        <v>45389</v>
      </c>
      <c r="N11" s="4">
        <v>4.05</v>
      </c>
      <c r="P11" s="5">
        <v>45419</v>
      </c>
      <c r="Q11" s="4">
        <v>42.04</v>
      </c>
      <c r="S11" s="5">
        <v>45450</v>
      </c>
      <c r="T11" s="4">
        <v>79.13</v>
      </c>
      <c r="V11" s="24">
        <v>45480</v>
      </c>
      <c r="W11" s="4">
        <v>34.71</v>
      </c>
      <c r="AA11" s="152"/>
    </row>
    <row r="12" spans="1:30" ht="12" customHeight="1" x14ac:dyDescent="0.2">
      <c r="A12" s="5">
        <v>45497</v>
      </c>
      <c r="B12" s="4">
        <v>94.88</v>
      </c>
      <c r="D12" s="24">
        <v>45299</v>
      </c>
      <c r="E12" s="21">
        <v>105.51</v>
      </c>
      <c r="G12" s="5">
        <v>45330</v>
      </c>
      <c r="H12" s="4">
        <v>38.67</v>
      </c>
      <c r="J12" s="24">
        <v>45359</v>
      </c>
      <c r="K12">
        <v>1.67</v>
      </c>
      <c r="M12" s="24">
        <v>45390</v>
      </c>
      <c r="N12" s="4">
        <v>0.52</v>
      </c>
      <c r="P12" s="5">
        <v>45420</v>
      </c>
      <c r="Q12" s="4">
        <v>21.24</v>
      </c>
      <c r="S12" s="5">
        <v>45451</v>
      </c>
      <c r="T12" s="4">
        <v>71.42</v>
      </c>
      <c r="V12" s="24">
        <v>45481</v>
      </c>
      <c r="W12" s="4">
        <v>73.19</v>
      </c>
      <c r="AA12" s="152"/>
    </row>
    <row r="13" spans="1:30" ht="12" customHeight="1" x14ac:dyDescent="0.2">
      <c r="A13" s="5">
        <v>45496</v>
      </c>
      <c r="B13" s="4">
        <v>91.73</v>
      </c>
      <c r="D13" s="24">
        <v>45300</v>
      </c>
      <c r="E13" s="21">
        <v>113.83</v>
      </c>
      <c r="G13" s="5">
        <v>45331</v>
      </c>
      <c r="H13" s="4">
        <v>40.18</v>
      </c>
      <c r="J13" s="24">
        <v>45360</v>
      </c>
      <c r="K13">
        <v>0.59</v>
      </c>
      <c r="M13" s="24">
        <v>45391</v>
      </c>
      <c r="N13" s="4">
        <v>1.29</v>
      </c>
      <c r="P13" s="5">
        <v>45421</v>
      </c>
      <c r="Q13" s="4">
        <v>33.54</v>
      </c>
      <c r="S13" s="5">
        <v>45452</v>
      </c>
      <c r="T13" s="4">
        <v>16.43</v>
      </c>
      <c r="V13" s="24">
        <v>45482</v>
      </c>
      <c r="W13" s="4">
        <v>69.55</v>
      </c>
      <c r="AA13" s="152"/>
    </row>
    <row r="14" spans="1:30" ht="12" customHeight="1" x14ac:dyDescent="0.2">
      <c r="A14" s="5">
        <v>45495</v>
      </c>
      <c r="B14" s="4">
        <v>79.53</v>
      </c>
      <c r="D14" s="24">
        <v>45301</v>
      </c>
      <c r="E14" s="21">
        <v>100.88</v>
      </c>
      <c r="G14" s="5">
        <v>45332</v>
      </c>
      <c r="H14" s="4">
        <v>9.4700000000000006</v>
      </c>
      <c r="J14" s="24">
        <v>45361</v>
      </c>
      <c r="K14">
        <v>0.54</v>
      </c>
      <c r="M14" s="24">
        <v>45392</v>
      </c>
      <c r="N14" s="4">
        <v>4.3099999999999996</v>
      </c>
      <c r="P14" s="5">
        <v>45422</v>
      </c>
      <c r="Q14" s="4">
        <v>28.95</v>
      </c>
      <c r="S14" s="5">
        <v>45453</v>
      </c>
      <c r="T14" s="4">
        <v>44.61</v>
      </c>
      <c r="V14" s="24">
        <v>45483</v>
      </c>
      <c r="W14" s="4">
        <v>87.61</v>
      </c>
      <c r="AA14" s="152"/>
    </row>
    <row r="15" spans="1:30" ht="12" customHeight="1" x14ac:dyDescent="0.2">
      <c r="A15" s="5">
        <v>45494</v>
      </c>
      <c r="B15" s="4">
        <v>30.41</v>
      </c>
      <c r="D15" s="24">
        <v>45302</v>
      </c>
      <c r="E15" s="21">
        <v>96.97</v>
      </c>
      <c r="G15" s="5">
        <v>45333</v>
      </c>
      <c r="H15" s="4">
        <v>44.83</v>
      </c>
      <c r="J15" s="24">
        <v>45362</v>
      </c>
      <c r="K15">
        <v>14.63</v>
      </c>
      <c r="M15" s="24">
        <v>45393</v>
      </c>
      <c r="N15" s="4">
        <v>12.03</v>
      </c>
      <c r="P15" s="5">
        <v>45423</v>
      </c>
      <c r="Q15" s="4">
        <v>20.59</v>
      </c>
      <c r="S15" s="5">
        <v>45454</v>
      </c>
      <c r="T15" s="4">
        <v>65.48</v>
      </c>
      <c r="V15" s="24">
        <v>45484</v>
      </c>
      <c r="W15" s="4">
        <v>85.53</v>
      </c>
      <c r="AA15" s="152"/>
    </row>
    <row r="16" spans="1:30" ht="12" customHeight="1" x14ac:dyDescent="0.2">
      <c r="A16" s="5">
        <v>45493</v>
      </c>
      <c r="B16" s="4">
        <v>51.47</v>
      </c>
      <c r="D16" s="24">
        <v>45303</v>
      </c>
      <c r="E16" s="21">
        <v>97.56</v>
      </c>
      <c r="G16" s="5">
        <v>45334</v>
      </c>
      <c r="H16" s="4">
        <v>45.85</v>
      </c>
      <c r="J16" s="24">
        <v>45363</v>
      </c>
      <c r="K16">
        <v>42.28</v>
      </c>
      <c r="M16" s="24">
        <v>45394</v>
      </c>
      <c r="N16" s="4">
        <v>19.940000000000001</v>
      </c>
      <c r="P16" s="5">
        <v>45424</v>
      </c>
      <c r="Q16" s="4">
        <v>21.53</v>
      </c>
      <c r="S16" s="5">
        <v>45455</v>
      </c>
      <c r="T16" s="4">
        <v>55.15</v>
      </c>
      <c r="V16" s="24">
        <v>45485</v>
      </c>
      <c r="W16" s="4">
        <v>58.78</v>
      </c>
      <c r="AA16" s="152"/>
    </row>
    <row r="17" spans="1:27" ht="12" customHeight="1" x14ac:dyDescent="0.2">
      <c r="A17" s="5">
        <v>45492</v>
      </c>
      <c r="B17" s="4">
        <v>97.78</v>
      </c>
      <c r="D17" s="24">
        <v>45304</v>
      </c>
      <c r="E17" s="21">
        <v>87.35</v>
      </c>
      <c r="G17" s="5">
        <v>45335</v>
      </c>
      <c r="H17" s="4">
        <v>62.72</v>
      </c>
      <c r="J17" s="24">
        <v>45364</v>
      </c>
      <c r="K17">
        <v>42.36</v>
      </c>
      <c r="M17" s="24">
        <v>45395</v>
      </c>
      <c r="N17" s="4">
        <v>9.17</v>
      </c>
      <c r="P17" s="5">
        <v>45425</v>
      </c>
      <c r="Q17" s="4">
        <v>23.34</v>
      </c>
      <c r="S17" s="5">
        <v>45456</v>
      </c>
      <c r="T17" s="4">
        <v>65.22</v>
      </c>
      <c r="V17" s="24">
        <v>45486</v>
      </c>
      <c r="W17" s="4">
        <v>51.38</v>
      </c>
      <c r="AA17" s="152"/>
    </row>
    <row r="18" spans="1:27" ht="12" customHeight="1" x14ac:dyDescent="0.2">
      <c r="A18" s="5">
        <v>45491</v>
      </c>
      <c r="B18" s="4">
        <v>101.37</v>
      </c>
      <c r="D18" s="24">
        <v>45305</v>
      </c>
      <c r="E18" s="21">
        <v>75.13</v>
      </c>
      <c r="G18" s="5">
        <v>45336</v>
      </c>
      <c r="H18" s="4">
        <v>59.57</v>
      </c>
      <c r="J18" s="24">
        <v>45365</v>
      </c>
      <c r="K18">
        <v>35.99</v>
      </c>
      <c r="M18" s="24">
        <v>45396</v>
      </c>
      <c r="N18" s="4">
        <v>5.6</v>
      </c>
      <c r="P18" s="5">
        <v>45426</v>
      </c>
      <c r="Q18" s="4">
        <v>8.14</v>
      </c>
      <c r="S18" s="5">
        <v>45457</v>
      </c>
      <c r="T18" s="4">
        <v>43.74</v>
      </c>
      <c r="V18" s="24">
        <v>45487</v>
      </c>
      <c r="W18" s="4">
        <v>52.28</v>
      </c>
      <c r="AA18" s="152"/>
    </row>
    <row r="19" spans="1:27" ht="12" customHeight="1" x14ac:dyDescent="0.2">
      <c r="A19" s="5">
        <v>45490</v>
      </c>
      <c r="B19" s="4">
        <v>94.42</v>
      </c>
      <c r="D19" s="24">
        <v>45306</v>
      </c>
      <c r="E19" s="21">
        <v>87.56</v>
      </c>
      <c r="G19" s="5">
        <v>45337</v>
      </c>
      <c r="H19" s="4">
        <v>51.22</v>
      </c>
      <c r="J19" s="24">
        <v>45366</v>
      </c>
      <c r="K19">
        <v>37.729999999999997</v>
      </c>
      <c r="M19" s="24">
        <v>45397</v>
      </c>
      <c r="N19" s="4">
        <v>3.48</v>
      </c>
      <c r="P19" s="5">
        <v>45427</v>
      </c>
      <c r="Q19" s="4">
        <v>14.21</v>
      </c>
      <c r="S19" s="5">
        <v>45458</v>
      </c>
      <c r="T19" s="4">
        <v>19.690000000000001</v>
      </c>
      <c r="V19" s="24">
        <v>45488</v>
      </c>
      <c r="W19" s="4">
        <v>53.95</v>
      </c>
      <c r="AA19" s="152"/>
    </row>
    <row r="20" spans="1:27" ht="12" customHeight="1" x14ac:dyDescent="0.2">
      <c r="A20" s="5">
        <v>45489</v>
      </c>
      <c r="B20" s="4">
        <v>87.24</v>
      </c>
      <c r="D20" s="24">
        <v>45307</v>
      </c>
      <c r="E20" s="21">
        <v>90.12</v>
      </c>
      <c r="G20" s="5">
        <v>45338</v>
      </c>
      <c r="H20" s="4">
        <v>54.24</v>
      </c>
      <c r="J20" s="24">
        <v>45367</v>
      </c>
      <c r="K20">
        <v>31.61</v>
      </c>
      <c r="M20" s="24">
        <v>45398</v>
      </c>
      <c r="N20" s="4">
        <v>1.37</v>
      </c>
      <c r="P20" s="5">
        <v>45428</v>
      </c>
      <c r="Q20" s="4">
        <v>32.35</v>
      </c>
      <c r="S20" s="5">
        <v>45459</v>
      </c>
      <c r="T20" s="4">
        <v>16.12</v>
      </c>
      <c r="V20" s="24">
        <v>45489</v>
      </c>
      <c r="W20" s="4">
        <v>87.24</v>
      </c>
      <c r="AA20" s="152"/>
    </row>
    <row r="21" spans="1:27" ht="12" customHeight="1" x14ac:dyDescent="0.2">
      <c r="A21" s="5">
        <v>45488</v>
      </c>
      <c r="B21" s="4">
        <v>53.95</v>
      </c>
      <c r="D21" s="24">
        <v>45308</v>
      </c>
      <c r="E21" s="21">
        <v>26.96</v>
      </c>
      <c r="G21" s="5">
        <v>45339</v>
      </c>
      <c r="H21" s="4">
        <v>48.69</v>
      </c>
      <c r="J21" s="24">
        <v>45368</v>
      </c>
      <c r="K21">
        <v>28.05</v>
      </c>
      <c r="M21" s="24">
        <v>45399</v>
      </c>
      <c r="N21" s="4">
        <v>3.26</v>
      </c>
      <c r="P21" s="5">
        <v>45429</v>
      </c>
      <c r="Q21" s="4">
        <v>53.42</v>
      </c>
      <c r="S21" s="5">
        <v>45460</v>
      </c>
      <c r="T21" s="4">
        <v>29.27</v>
      </c>
      <c r="V21" s="24">
        <v>45490</v>
      </c>
      <c r="W21" s="4">
        <v>94.42</v>
      </c>
      <c r="AA21" s="152"/>
    </row>
    <row r="22" spans="1:27" ht="12" customHeight="1" x14ac:dyDescent="0.2">
      <c r="A22" s="5">
        <v>45487</v>
      </c>
      <c r="B22" s="4">
        <v>52.28</v>
      </c>
      <c r="D22" s="24">
        <v>45309</v>
      </c>
      <c r="E22" s="21">
        <v>46.84</v>
      </c>
      <c r="G22" s="5">
        <v>45340</v>
      </c>
      <c r="H22" s="4">
        <v>47.04</v>
      </c>
      <c r="J22" s="24">
        <v>45369</v>
      </c>
      <c r="K22">
        <v>61.34</v>
      </c>
      <c r="M22" s="24">
        <v>45400</v>
      </c>
      <c r="N22" s="4">
        <v>4.54</v>
      </c>
      <c r="P22" s="5">
        <v>45430</v>
      </c>
      <c r="Q22" s="4">
        <v>32.99</v>
      </c>
      <c r="S22" s="5">
        <v>45461</v>
      </c>
      <c r="T22" s="4">
        <v>56.71</v>
      </c>
      <c r="V22" s="24">
        <v>45491</v>
      </c>
      <c r="W22" s="4">
        <v>101.37</v>
      </c>
      <c r="AA22" s="152"/>
    </row>
    <row r="23" spans="1:27" x14ac:dyDescent="0.2">
      <c r="A23" s="5">
        <v>45486</v>
      </c>
      <c r="B23" s="4">
        <v>51.38</v>
      </c>
      <c r="D23" s="24">
        <v>45310</v>
      </c>
      <c r="E23" s="21">
        <v>70.87</v>
      </c>
      <c r="G23" s="5">
        <v>45341</v>
      </c>
      <c r="H23" s="4">
        <v>45.55</v>
      </c>
      <c r="J23" s="24">
        <v>45370</v>
      </c>
      <c r="K23">
        <v>65</v>
      </c>
      <c r="M23" s="24">
        <v>45401</v>
      </c>
      <c r="N23" s="4">
        <v>15.18</v>
      </c>
      <c r="P23" s="5">
        <v>45431</v>
      </c>
      <c r="Q23" s="4">
        <v>26.6</v>
      </c>
      <c r="S23" s="5">
        <v>45462</v>
      </c>
      <c r="T23" s="4">
        <v>76.33</v>
      </c>
      <c r="V23" s="24">
        <v>45492</v>
      </c>
      <c r="W23" s="4">
        <v>97.78</v>
      </c>
      <c r="AA23" s="152"/>
    </row>
    <row r="24" spans="1:27" x14ac:dyDescent="0.2">
      <c r="A24" s="5">
        <v>45485</v>
      </c>
      <c r="B24" s="4">
        <v>58.78</v>
      </c>
      <c r="D24" s="24">
        <v>45311</v>
      </c>
      <c r="E24" s="21">
        <v>80.53</v>
      </c>
      <c r="G24" s="5">
        <v>45342</v>
      </c>
      <c r="H24" s="4">
        <v>52.86</v>
      </c>
      <c r="J24" s="24">
        <v>45371</v>
      </c>
      <c r="K24">
        <v>56.94</v>
      </c>
      <c r="M24" s="24">
        <v>45402</v>
      </c>
      <c r="N24" s="4">
        <v>5.66</v>
      </c>
      <c r="P24" s="5">
        <v>45432</v>
      </c>
      <c r="Q24" s="4">
        <v>32.72</v>
      </c>
      <c r="S24" s="5">
        <v>45463</v>
      </c>
      <c r="T24" s="4">
        <v>90.6</v>
      </c>
      <c r="V24" s="24">
        <v>45493</v>
      </c>
      <c r="W24" s="4">
        <v>51.47</v>
      </c>
      <c r="AA24" s="152"/>
    </row>
    <row r="25" spans="1:27" x14ac:dyDescent="0.2">
      <c r="A25" s="5">
        <v>45484</v>
      </c>
      <c r="B25" s="4">
        <v>85.53</v>
      </c>
      <c r="D25" s="24">
        <v>45312</v>
      </c>
      <c r="E25" s="21">
        <v>64.400000000000006</v>
      </c>
      <c r="G25" s="5">
        <v>45343</v>
      </c>
      <c r="H25" s="4">
        <v>45.3</v>
      </c>
      <c r="J25" s="24">
        <v>45372</v>
      </c>
      <c r="K25">
        <v>35.9</v>
      </c>
      <c r="M25" s="24">
        <v>45403</v>
      </c>
      <c r="N25" s="4">
        <v>2.17</v>
      </c>
      <c r="P25" s="5">
        <v>45433</v>
      </c>
      <c r="Q25" s="4">
        <v>46.09</v>
      </c>
      <c r="S25" s="5">
        <v>45464</v>
      </c>
      <c r="T25" s="4">
        <v>85.92</v>
      </c>
      <c r="V25" s="24">
        <v>45494</v>
      </c>
      <c r="W25" s="4">
        <v>30.41</v>
      </c>
      <c r="AA25" s="152"/>
    </row>
    <row r="26" spans="1:27" x14ac:dyDescent="0.2">
      <c r="A26" s="5">
        <v>45483</v>
      </c>
      <c r="B26" s="4">
        <v>87.61</v>
      </c>
      <c r="D26" s="24">
        <v>45313</v>
      </c>
      <c r="E26" s="21">
        <v>67.92</v>
      </c>
      <c r="G26" s="5">
        <v>45344</v>
      </c>
      <c r="H26" s="4">
        <v>10.71</v>
      </c>
      <c r="J26" s="24">
        <v>45373</v>
      </c>
      <c r="K26">
        <v>22.4</v>
      </c>
      <c r="M26" s="24">
        <v>45404</v>
      </c>
      <c r="N26" s="4">
        <v>1.9</v>
      </c>
      <c r="P26" s="5">
        <v>45434</v>
      </c>
      <c r="Q26" s="4">
        <v>44.76</v>
      </c>
      <c r="S26" s="5">
        <v>45465</v>
      </c>
      <c r="T26" s="4">
        <v>42.91</v>
      </c>
      <c r="V26" s="24">
        <v>45495</v>
      </c>
      <c r="W26" s="4">
        <v>79.53</v>
      </c>
      <c r="AA26" s="152"/>
    </row>
    <row r="27" spans="1:27" x14ac:dyDescent="0.2">
      <c r="A27" s="5">
        <v>45482</v>
      </c>
      <c r="B27" s="4">
        <v>69.55</v>
      </c>
      <c r="D27" s="24">
        <v>45314</v>
      </c>
      <c r="E27" s="21">
        <v>78.02</v>
      </c>
      <c r="G27" s="5">
        <v>45345</v>
      </c>
      <c r="H27" s="4">
        <v>6.72</v>
      </c>
      <c r="J27" s="24">
        <v>45374</v>
      </c>
      <c r="K27">
        <v>2.0099999999999998</v>
      </c>
      <c r="M27" s="24">
        <v>45405</v>
      </c>
      <c r="N27" s="4">
        <v>5.84</v>
      </c>
      <c r="P27" s="5">
        <v>45435</v>
      </c>
      <c r="Q27" s="4">
        <v>60.45</v>
      </c>
      <c r="S27" s="5">
        <v>45466</v>
      </c>
      <c r="T27" s="4">
        <v>26.76</v>
      </c>
      <c r="V27" s="24">
        <v>45496</v>
      </c>
      <c r="W27" s="4">
        <v>91.73</v>
      </c>
      <c r="AA27" s="152"/>
    </row>
    <row r="28" spans="1:27" x14ac:dyDescent="0.2">
      <c r="A28" s="5">
        <v>45481</v>
      </c>
      <c r="B28" s="4">
        <v>73.19</v>
      </c>
      <c r="D28" s="24">
        <v>45315</v>
      </c>
      <c r="E28" s="21">
        <v>83.42</v>
      </c>
      <c r="G28" s="5">
        <v>45346</v>
      </c>
      <c r="H28" s="4">
        <v>6.94</v>
      </c>
      <c r="J28" s="24">
        <v>45375</v>
      </c>
      <c r="K28">
        <v>6.69</v>
      </c>
      <c r="M28" s="24">
        <v>45406</v>
      </c>
      <c r="N28" s="4">
        <v>18.57</v>
      </c>
      <c r="P28" s="5">
        <v>45436</v>
      </c>
      <c r="Q28" s="4">
        <v>71.67</v>
      </c>
      <c r="S28" s="5">
        <v>45467</v>
      </c>
      <c r="T28" s="4">
        <v>41.15</v>
      </c>
      <c r="V28" s="24">
        <v>45497</v>
      </c>
      <c r="W28" s="4">
        <v>94.88</v>
      </c>
      <c r="AA28" s="152"/>
    </row>
    <row r="29" spans="1:27" x14ac:dyDescent="0.2">
      <c r="A29" s="5">
        <v>45480</v>
      </c>
      <c r="B29" s="4">
        <v>34.71</v>
      </c>
      <c r="D29" s="24">
        <v>45316</v>
      </c>
      <c r="E29" s="21">
        <v>76.8</v>
      </c>
      <c r="G29" s="5">
        <v>45347</v>
      </c>
      <c r="H29" s="4">
        <v>3.06</v>
      </c>
      <c r="J29" s="24">
        <v>45376</v>
      </c>
      <c r="K29">
        <v>23.75</v>
      </c>
      <c r="M29" s="24">
        <v>45407</v>
      </c>
      <c r="N29" s="4">
        <v>41.44</v>
      </c>
      <c r="P29" s="5">
        <v>45437</v>
      </c>
      <c r="Q29" s="4">
        <v>43.71</v>
      </c>
      <c r="S29" s="5">
        <v>45468</v>
      </c>
      <c r="T29" s="4">
        <v>70.069999999999993</v>
      </c>
      <c r="V29" s="24">
        <v>45498</v>
      </c>
      <c r="W29" s="4">
        <v>89.26</v>
      </c>
      <c r="AA29" s="152"/>
    </row>
    <row r="30" spans="1:27" x14ac:dyDescent="0.2">
      <c r="A30" s="5">
        <v>45479</v>
      </c>
      <c r="B30" s="4">
        <v>33.979999999999997</v>
      </c>
      <c r="D30" s="24">
        <v>45317</v>
      </c>
      <c r="E30" s="21">
        <v>72.56</v>
      </c>
      <c r="G30" s="5">
        <v>45348</v>
      </c>
      <c r="H30" s="4">
        <v>3.82</v>
      </c>
      <c r="J30" s="24">
        <v>45377</v>
      </c>
      <c r="K30">
        <v>2.36</v>
      </c>
      <c r="M30" s="24">
        <v>45408</v>
      </c>
      <c r="N30" s="4">
        <v>57.49</v>
      </c>
      <c r="P30" s="5">
        <v>45438</v>
      </c>
      <c r="Q30" s="4">
        <v>25.42</v>
      </c>
      <c r="S30" s="5">
        <v>45469</v>
      </c>
      <c r="T30" s="4">
        <v>97.17</v>
      </c>
      <c r="V30" s="24">
        <v>45499</v>
      </c>
      <c r="W30" s="4">
        <v>94.9</v>
      </c>
      <c r="AA30" s="152"/>
    </row>
    <row r="31" spans="1:27" x14ac:dyDescent="0.2">
      <c r="A31" s="5">
        <v>45478</v>
      </c>
      <c r="B31" s="4">
        <v>59.88</v>
      </c>
      <c r="D31" s="24">
        <v>45318</v>
      </c>
      <c r="E31" s="21">
        <v>66.06</v>
      </c>
      <c r="G31" s="5">
        <v>45349</v>
      </c>
      <c r="H31" s="4">
        <v>3.66</v>
      </c>
      <c r="J31" s="24">
        <v>45378</v>
      </c>
      <c r="K31">
        <v>0.76</v>
      </c>
      <c r="M31" s="24">
        <v>45409</v>
      </c>
      <c r="N31" s="4">
        <v>25.02</v>
      </c>
      <c r="P31" s="5">
        <v>45439</v>
      </c>
      <c r="Q31" s="4">
        <v>30.84</v>
      </c>
      <c r="S31" s="5">
        <v>45470</v>
      </c>
      <c r="T31" s="4">
        <v>89.1</v>
      </c>
      <c r="V31" s="24">
        <v>45500</v>
      </c>
      <c r="W31" s="4">
        <v>76.97</v>
      </c>
      <c r="AA31" s="152"/>
    </row>
    <row r="32" spans="1:27" x14ac:dyDescent="0.2">
      <c r="A32" s="5">
        <v>45477</v>
      </c>
      <c r="B32" s="28">
        <v>51.85</v>
      </c>
      <c r="D32" s="24">
        <v>45319</v>
      </c>
      <c r="E32" s="21">
        <v>52.14</v>
      </c>
      <c r="G32" s="5">
        <v>45350</v>
      </c>
      <c r="H32" s="4">
        <v>9.35</v>
      </c>
      <c r="J32" s="24">
        <v>45379</v>
      </c>
      <c r="K32">
        <v>0.66</v>
      </c>
      <c r="M32" s="24">
        <v>45410</v>
      </c>
      <c r="N32" s="4">
        <v>28.72</v>
      </c>
      <c r="P32" s="5">
        <v>45440</v>
      </c>
      <c r="Q32" s="4">
        <v>27.47</v>
      </c>
      <c r="S32" s="5">
        <v>45471</v>
      </c>
      <c r="T32" s="4">
        <v>82.04</v>
      </c>
      <c r="V32" s="24">
        <v>45501</v>
      </c>
      <c r="W32" s="4">
        <v>63.33</v>
      </c>
      <c r="AA32" s="152"/>
    </row>
    <row r="33" spans="1:27" x14ac:dyDescent="0.2">
      <c r="A33" s="5">
        <v>45476</v>
      </c>
      <c r="B33" s="4">
        <v>61.71</v>
      </c>
      <c r="D33" s="24">
        <v>45320</v>
      </c>
      <c r="E33" s="21">
        <v>77.97</v>
      </c>
      <c r="G33" s="5">
        <v>45351</v>
      </c>
      <c r="H33" s="4">
        <v>4.8</v>
      </c>
      <c r="J33" s="24">
        <v>45380</v>
      </c>
      <c r="K33">
        <v>4.05</v>
      </c>
      <c r="M33" s="24">
        <v>45411</v>
      </c>
      <c r="N33" s="4">
        <v>58.27</v>
      </c>
      <c r="P33" s="5">
        <v>45441</v>
      </c>
      <c r="Q33" s="4">
        <v>38.86</v>
      </c>
      <c r="S33" s="5">
        <v>45472</v>
      </c>
      <c r="T33" s="4">
        <v>50.54</v>
      </c>
      <c r="V33" s="24">
        <v>45502</v>
      </c>
      <c r="W33" s="4">
        <v>108.78</v>
      </c>
      <c r="AA33" s="152"/>
    </row>
    <row r="34" spans="1:27" x14ac:dyDescent="0.2">
      <c r="A34" s="5">
        <v>45475</v>
      </c>
      <c r="B34" s="4">
        <v>46.97</v>
      </c>
      <c r="D34" s="24">
        <v>45321</v>
      </c>
      <c r="E34" s="21">
        <v>81.28</v>
      </c>
      <c r="G34" s="4"/>
      <c r="J34" s="24">
        <v>45381</v>
      </c>
      <c r="K34">
        <v>4.5199999999999996</v>
      </c>
      <c r="M34" s="24">
        <v>45412</v>
      </c>
      <c r="N34" s="4">
        <v>53.44</v>
      </c>
      <c r="P34" s="5">
        <v>45442</v>
      </c>
      <c r="Q34" s="4">
        <v>24.37</v>
      </c>
      <c r="S34" s="5">
        <v>45473</v>
      </c>
      <c r="T34" s="4">
        <v>57.94</v>
      </c>
      <c r="V34" s="24">
        <v>45503</v>
      </c>
      <c r="W34" s="4">
        <v>99.71</v>
      </c>
      <c r="AA34" s="152"/>
    </row>
    <row r="35" spans="1:27" x14ac:dyDescent="0.2">
      <c r="A35" s="5">
        <v>45474</v>
      </c>
      <c r="B35" s="4">
        <v>53.22</v>
      </c>
      <c r="D35" s="24">
        <v>45322</v>
      </c>
      <c r="E35" s="21">
        <v>84.26</v>
      </c>
      <c r="G35" s="4"/>
      <c r="J35" s="51">
        <v>45382</v>
      </c>
      <c r="K35" s="47">
        <v>0.83</v>
      </c>
      <c r="P35" s="5">
        <v>45443</v>
      </c>
      <c r="Q35" s="4">
        <v>2.69</v>
      </c>
      <c r="V35" s="24">
        <v>45504</v>
      </c>
      <c r="W35" s="4">
        <v>105.34</v>
      </c>
      <c r="AA35" s="152"/>
    </row>
    <row r="36" spans="1:27" x14ac:dyDescent="0.2">
      <c r="A36" s="5">
        <v>45473</v>
      </c>
      <c r="B36" s="4">
        <v>57.94</v>
      </c>
      <c r="F36" s="21"/>
      <c r="G36" s="4"/>
      <c r="J36"/>
    </row>
    <row r="37" spans="1:27" x14ac:dyDescent="0.2">
      <c r="A37" s="5">
        <v>45472</v>
      </c>
      <c r="B37" s="4">
        <v>50.54</v>
      </c>
      <c r="G37" s="4"/>
      <c r="J37"/>
    </row>
    <row r="38" spans="1:27" x14ac:dyDescent="0.2">
      <c r="A38" s="5">
        <v>45471</v>
      </c>
      <c r="B38" s="4">
        <v>82.04</v>
      </c>
      <c r="G38" s="4"/>
      <c r="J38"/>
    </row>
    <row r="39" spans="1:27" x14ac:dyDescent="0.2">
      <c r="A39" s="5">
        <v>45470</v>
      </c>
      <c r="B39" s="4">
        <v>89.1</v>
      </c>
      <c r="G39" s="4"/>
      <c r="J39"/>
    </row>
    <row r="40" spans="1:27" x14ac:dyDescent="0.2">
      <c r="A40" s="5">
        <v>45469</v>
      </c>
      <c r="B40" s="4">
        <v>97.17</v>
      </c>
      <c r="G40" s="4"/>
      <c r="J40"/>
    </row>
    <row r="41" spans="1:27" x14ac:dyDescent="0.2">
      <c r="A41" s="5">
        <v>45468</v>
      </c>
      <c r="B41" s="4">
        <v>70.069999999999993</v>
      </c>
      <c r="G41" s="4"/>
      <c r="J41"/>
    </row>
    <row r="42" spans="1:27" x14ac:dyDescent="0.2">
      <c r="A42" s="5">
        <v>45467</v>
      </c>
      <c r="B42" s="4">
        <v>41.15</v>
      </c>
      <c r="G42" s="4"/>
      <c r="J42"/>
    </row>
    <row r="43" spans="1:27" x14ac:dyDescent="0.2">
      <c r="A43" s="5">
        <v>45466</v>
      </c>
      <c r="B43" s="4">
        <v>26.76</v>
      </c>
      <c r="G43" s="4"/>
      <c r="J43"/>
    </row>
    <row r="44" spans="1:27" x14ac:dyDescent="0.2">
      <c r="A44" s="5">
        <v>45465</v>
      </c>
      <c r="B44" s="4">
        <v>42.91</v>
      </c>
      <c r="G44" s="4"/>
      <c r="J44"/>
    </row>
    <row r="45" spans="1:27" x14ac:dyDescent="0.2">
      <c r="A45" s="5">
        <v>45464</v>
      </c>
      <c r="B45" s="4">
        <v>85.92</v>
      </c>
      <c r="G45" s="4"/>
      <c r="J45"/>
    </row>
    <row r="46" spans="1:27" x14ac:dyDescent="0.2">
      <c r="A46" s="5">
        <v>45463</v>
      </c>
      <c r="B46" s="4">
        <v>90.6</v>
      </c>
      <c r="G46" s="4"/>
      <c r="J46"/>
    </row>
    <row r="47" spans="1:27" x14ac:dyDescent="0.2">
      <c r="A47" s="5">
        <v>45462</v>
      </c>
      <c r="B47" s="4">
        <v>76.33</v>
      </c>
      <c r="G47" s="4"/>
      <c r="J47"/>
    </row>
    <row r="48" spans="1:27" x14ac:dyDescent="0.2">
      <c r="A48" s="5">
        <v>45461</v>
      </c>
      <c r="B48" s="4">
        <v>56.71</v>
      </c>
      <c r="G48" s="4"/>
      <c r="J48"/>
    </row>
    <row r="49" spans="1:10" x14ac:dyDescent="0.2">
      <c r="A49" s="5">
        <v>45460</v>
      </c>
      <c r="B49" s="4">
        <v>29.27</v>
      </c>
      <c r="G49" s="4"/>
      <c r="J49"/>
    </row>
    <row r="50" spans="1:10" x14ac:dyDescent="0.2">
      <c r="A50" s="5">
        <v>45459</v>
      </c>
      <c r="B50" s="4">
        <v>16.12</v>
      </c>
      <c r="G50" s="4"/>
      <c r="J50"/>
    </row>
    <row r="51" spans="1:10" x14ac:dyDescent="0.2">
      <c r="A51" s="5">
        <v>45458</v>
      </c>
      <c r="B51" s="4">
        <v>19.690000000000001</v>
      </c>
      <c r="G51" s="4"/>
      <c r="J51"/>
    </row>
    <row r="52" spans="1:10" x14ac:dyDescent="0.2">
      <c r="A52" s="5">
        <v>45457</v>
      </c>
      <c r="B52" s="4">
        <v>43.74</v>
      </c>
      <c r="G52" s="4"/>
      <c r="J52"/>
    </row>
    <row r="53" spans="1:10" x14ac:dyDescent="0.2">
      <c r="A53" s="5">
        <v>45456</v>
      </c>
      <c r="B53" s="4">
        <v>65.22</v>
      </c>
      <c r="G53" s="4"/>
      <c r="J53"/>
    </row>
    <row r="54" spans="1:10" x14ac:dyDescent="0.2">
      <c r="A54" s="5">
        <v>45455</v>
      </c>
      <c r="B54" s="4">
        <v>55.15</v>
      </c>
      <c r="G54" s="4"/>
      <c r="J54"/>
    </row>
    <row r="55" spans="1:10" x14ac:dyDescent="0.2">
      <c r="A55" s="5">
        <v>45454</v>
      </c>
      <c r="B55" s="4">
        <v>65.48</v>
      </c>
      <c r="G55" s="4"/>
      <c r="J55"/>
    </row>
    <row r="56" spans="1:10" x14ac:dyDescent="0.2">
      <c r="A56" s="5">
        <v>45453</v>
      </c>
      <c r="B56" s="4">
        <v>44.61</v>
      </c>
      <c r="G56" s="4"/>
      <c r="J56"/>
    </row>
    <row r="57" spans="1:10" x14ac:dyDescent="0.2">
      <c r="A57" s="5">
        <v>45452</v>
      </c>
      <c r="B57" s="4">
        <v>16.43</v>
      </c>
      <c r="G57" s="4"/>
      <c r="J57"/>
    </row>
    <row r="58" spans="1:10" x14ac:dyDescent="0.2">
      <c r="A58" s="5">
        <v>45451</v>
      </c>
      <c r="B58" s="4">
        <v>71.42</v>
      </c>
      <c r="G58" s="4"/>
      <c r="J58"/>
    </row>
    <row r="59" spans="1:10" x14ac:dyDescent="0.2">
      <c r="A59" s="5">
        <v>45450</v>
      </c>
      <c r="B59" s="4">
        <v>79.13</v>
      </c>
      <c r="G59" s="4"/>
      <c r="J59"/>
    </row>
    <row r="60" spans="1:10" x14ac:dyDescent="0.2">
      <c r="A60" s="5">
        <v>45449</v>
      </c>
      <c r="B60" s="4">
        <v>93.42</v>
      </c>
      <c r="G60" s="4"/>
      <c r="J60"/>
    </row>
    <row r="61" spans="1:10" x14ac:dyDescent="0.2">
      <c r="A61" s="5">
        <v>45448</v>
      </c>
      <c r="B61" s="4">
        <v>93.26</v>
      </c>
      <c r="G61" s="4"/>
      <c r="J61"/>
    </row>
    <row r="62" spans="1:10" x14ac:dyDescent="0.2">
      <c r="A62" s="5">
        <v>45447</v>
      </c>
      <c r="B62" s="4">
        <v>87.64</v>
      </c>
      <c r="G62" s="4"/>
      <c r="J62"/>
    </row>
    <row r="63" spans="1:10" x14ac:dyDescent="0.2">
      <c r="A63" s="5">
        <v>45446</v>
      </c>
      <c r="B63" s="4">
        <v>28.56</v>
      </c>
      <c r="G63" s="4"/>
      <c r="J63"/>
    </row>
    <row r="64" spans="1:10" x14ac:dyDescent="0.2">
      <c r="A64" s="5">
        <v>45445</v>
      </c>
      <c r="B64" s="4">
        <v>4.26</v>
      </c>
      <c r="J64"/>
    </row>
    <row r="65" spans="1:2" x14ac:dyDescent="0.2">
      <c r="A65" s="5">
        <v>45444</v>
      </c>
      <c r="B65" s="4">
        <v>1.76</v>
      </c>
    </row>
    <row r="66" spans="1:2" x14ac:dyDescent="0.2">
      <c r="A66" s="5">
        <v>45443</v>
      </c>
      <c r="B66" s="4">
        <v>2.69</v>
      </c>
    </row>
    <row r="67" spans="1:2" x14ac:dyDescent="0.2">
      <c r="A67" s="5">
        <v>45442</v>
      </c>
      <c r="B67" s="4">
        <v>24.37</v>
      </c>
    </row>
    <row r="68" spans="1:2" x14ac:dyDescent="0.2">
      <c r="A68" s="5">
        <v>45441</v>
      </c>
      <c r="B68" s="4">
        <v>38.86</v>
      </c>
    </row>
    <row r="69" spans="1:2" x14ac:dyDescent="0.2">
      <c r="A69" s="5">
        <v>45440</v>
      </c>
      <c r="B69" s="4">
        <v>27.47</v>
      </c>
    </row>
    <row r="70" spans="1:2" x14ac:dyDescent="0.2">
      <c r="A70" s="5">
        <v>45439</v>
      </c>
      <c r="B70" s="4">
        <v>30.84</v>
      </c>
    </row>
    <row r="71" spans="1:2" x14ac:dyDescent="0.2">
      <c r="A71" s="5">
        <v>45438</v>
      </c>
      <c r="B71" s="4">
        <v>25.42</v>
      </c>
    </row>
    <row r="72" spans="1:2" x14ac:dyDescent="0.2">
      <c r="A72" s="5">
        <v>45437</v>
      </c>
      <c r="B72" s="4">
        <v>43.71</v>
      </c>
    </row>
    <row r="73" spans="1:2" x14ac:dyDescent="0.2">
      <c r="A73" s="5">
        <v>45436</v>
      </c>
      <c r="B73" s="4">
        <v>71.67</v>
      </c>
    </row>
    <row r="74" spans="1:2" x14ac:dyDescent="0.2">
      <c r="A74" s="5">
        <v>45435</v>
      </c>
      <c r="B74" s="4">
        <v>60.45</v>
      </c>
    </row>
    <row r="75" spans="1:2" x14ac:dyDescent="0.2">
      <c r="A75" s="5">
        <v>45434</v>
      </c>
      <c r="B75" s="4">
        <v>44.76</v>
      </c>
    </row>
    <row r="76" spans="1:2" x14ac:dyDescent="0.2">
      <c r="A76" s="5">
        <v>45433</v>
      </c>
      <c r="B76" s="4">
        <v>46.09</v>
      </c>
    </row>
    <row r="77" spans="1:2" x14ac:dyDescent="0.2">
      <c r="A77" s="5">
        <v>45432</v>
      </c>
      <c r="B77" s="4">
        <v>32.72</v>
      </c>
    </row>
    <row r="78" spans="1:2" x14ac:dyDescent="0.2">
      <c r="A78" s="5">
        <v>45431</v>
      </c>
      <c r="B78" s="4">
        <v>26.6</v>
      </c>
    </row>
    <row r="79" spans="1:2" x14ac:dyDescent="0.2">
      <c r="A79" s="5">
        <v>45430</v>
      </c>
      <c r="B79" s="4">
        <v>32.99</v>
      </c>
    </row>
    <row r="80" spans="1:2" x14ac:dyDescent="0.2">
      <c r="A80" s="5">
        <v>45429</v>
      </c>
      <c r="B80" s="4">
        <v>53.42</v>
      </c>
    </row>
    <row r="81" spans="1:2" x14ac:dyDescent="0.2">
      <c r="A81" s="5">
        <v>45428</v>
      </c>
      <c r="B81" s="4">
        <v>32.35</v>
      </c>
    </row>
    <row r="82" spans="1:2" x14ac:dyDescent="0.2">
      <c r="A82" s="5">
        <v>45427</v>
      </c>
      <c r="B82" s="4">
        <v>14.21</v>
      </c>
    </row>
    <row r="83" spans="1:2" x14ac:dyDescent="0.2">
      <c r="A83" s="5">
        <v>45426</v>
      </c>
      <c r="B83" s="4">
        <v>8.14</v>
      </c>
    </row>
    <row r="84" spans="1:2" x14ac:dyDescent="0.2">
      <c r="A84" s="5">
        <v>45425</v>
      </c>
      <c r="B84" s="4">
        <v>23.34</v>
      </c>
    </row>
    <row r="85" spans="1:2" x14ac:dyDescent="0.2">
      <c r="A85" s="5">
        <v>45424</v>
      </c>
      <c r="B85" s="4">
        <v>21.53</v>
      </c>
    </row>
    <row r="86" spans="1:2" x14ac:dyDescent="0.2">
      <c r="A86" s="5">
        <v>45423</v>
      </c>
      <c r="B86" s="4">
        <v>20.59</v>
      </c>
    </row>
    <row r="87" spans="1:2" x14ac:dyDescent="0.2">
      <c r="A87" s="5">
        <v>45422</v>
      </c>
      <c r="B87" s="4">
        <v>28.95</v>
      </c>
    </row>
    <row r="88" spans="1:2" x14ac:dyDescent="0.2">
      <c r="A88" s="5">
        <v>45421</v>
      </c>
      <c r="B88" s="4">
        <v>33.54</v>
      </c>
    </row>
    <row r="89" spans="1:2" x14ac:dyDescent="0.2">
      <c r="A89" s="5">
        <v>45420</v>
      </c>
      <c r="B89" s="4">
        <v>21.24</v>
      </c>
    </row>
    <row r="90" spans="1:2" x14ac:dyDescent="0.2">
      <c r="A90" s="5">
        <v>45419</v>
      </c>
      <c r="B90" s="4">
        <v>42.04</v>
      </c>
    </row>
    <row r="91" spans="1:2" x14ac:dyDescent="0.2">
      <c r="A91" s="5">
        <v>45418</v>
      </c>
      <c r="B91" s="4">
        <v>47.8</v>
      </c>
    </row>
    <row r="92" spans="1:2" x14ac:dyDescent="0.2">
      <c r="A92" s="5">
        <v>45417</v>
      </c>
      <c r="B92" s="4">
        <v>17.53</v>
      </c>
    </row>
    <row r="93" spans="1:2" x14ac:dyDescent="0.2">
      <c r="A93" s="5">
        <v>45416</v>
      </c>
      <c r="B93" s="4">
        <v>14.8</v>
      </c>
    </row>
    <row r="94" spans="1:2" x14ac:dyDescent="0.2">
      <c r="A94" s="5">
        <v>45415</v>
      </c>
      <c r="B94" s="4">
        <v>26.11</v>
      </c>
    </row>
    <row r="95" spans="1:2" x14ac:dyDescent="0.2">
      <c r="A95" s="5">
        <v>45414</v>
      </c>
      <c r="B95" s="4">
        <v>15.6</v>
      </c>
    </row>
    <row r="96" spans="1:2" x14ac:dyDescent="0.2">
      <c r="A96" s="5">
        <v>45413</v>
      </c>
      <c r="B96" s="4">
        <v>12.53</v>
      </c>
    </row>
    <row r="97" spans="1:2" x14ac:dyDescent="0.2">
      <c r="A97" s="5">
        <v>45412</v>
      </c>
      <c r="B97" s="4">
        <v>53.44</v>
      </c>
    </row>
    <row r="98" spans="1:2" x14ac:dyDescent="0.2">
      <c r="A98">
        <v>45411</v>
      </c>
      <c r="B98">
        <v>58.27</v>
      </c>
    </row>
    <row r="99" spans="1:2" x14ac:dyDescent="0.2">
      <c r="A99">
        <v>45410</v>
      </c>
      <c r="B99">
        <v>28.72</v>
      </c>
    </row>
    <row r="100" spans="1:2" x14ac:dyDescent="0.2">
      <c r="A100">
        <v>45409</v>
      </c>
      <c r="B100">
        <v>25.02</v>
      </c>
    </row>
    <row r="101" spans="1:2" x14ac:dyDescent="0.2">
      <c r="A101">
        <v>45408</v>
      </c>
      <c r="B101">
        <v>57.49</v>
      </c>
    </row>
    <row r="102" spans="1:2" x14ac:dyDescent="0.2">
      <c r="A102">
        <v>45407</v>
      </c>
      <c r="B102">
        <v>41.44</v>
      </c>
    </row>
    <row r="103" spans="1:2" x14ac:dyDescent="0.2">
      <c r="A103">
        <v>45406</v>
      </c>
      <c r="B103">
        <v>18.57</v>
      </c>
    </row>
    <row r="104" spans="1:2" x14ac:dyDescent="0.2">
      <c r="A104">
        <v>45405</v>
      </c>
      <c r="B104">
        <v>5.84</v>
      </c>
    </row>
    <row r="105" spans="1:2" x14ac:dyDescent="0.2">
      <c r="A105">
        <v>45404</v>
      </c>
      <c r="B105">
        <v>1.9</v>
      </c>
    </row>
    <row r="106" spans="1:2" x14ac:dyDescent="0.2">
      <c r="A106">
        <v>45403</v>
      </c>
      <c r="B106">
        <v>2.17</v>
      </c>
    </row>
    <row r="107" spans="1:2" x14ac:dyDescent="0.2">
      <c r="A107">
        <v>45402</v>
      </c>
      <c r="B107">
        <v>5.66</v>
      </c>
    </row>
    <row r="108" spans="1:2" x14ac:dyDescent="0.2">
      <c r="A108">
        <v>45401</v>
      </c>
      <c r="B108">
        <v>15.18</v>
      </c>
    </row>
    <row r="109" spans="1:2" x14ac:dyDescent="0.2">
      <c r="A109">
        <v>45400</v>
      </c>
      <c r="B109">
        <v>4.54</v>
      </c>
    </row>
    <row r="110" spans="1:2" x14ac:dyDescent="0.2">
      <c r="A110">
        <v>45399</v>
      </c>
      <c r="B110">
        <v>3.26</v>
      </c>
    </row>
    <row r="111" spans="1:2" x14ac:dyDescent="0.2">
      <c r="A111">
        <v>45398</v>
      </c>
      <c r="B111">
        <v>1.37</v>
      </c>
    </row>
    <row r="112" spans="1:2" x14ac:dyDescent="0.2">
      <c r="A112">
        <v>45397</v>
      </c>
      <c r="B112">
        <v>3.48</v>
      </c>
    </row>
    <row r="113" spans="1:2" x14ac:dyDescent="0.2">
      <c r="A113">
        <v>45396</v>
      </c>
      <c r="B113">
        <v>5.6</v>
      </c>
    </row>
    <row r="114" spans="1:2" x14ac:dyDescent="0.2">
      <c r="A114">
        <v>45395</v>
      </c>
      <c r="B114">
        <v>9.17</v>
      </c>
    </row>
    <row r="115" spans="1:2" x14ac:dyDescent="0.2">
      <c r="A115">
        <v>45394</v>
      </c>
      <c r="B115">
        <v>19.940000000000001</v>
      </c>
    </row>
    <row r="116" spans="1:2" x14ac:dyDescent="0.2">
      <c r="A116">
        <v>45393</v>
      </c>
      <c r="B116">
        <v>12.03</v>
      </c>
    </row>
    <row r="117" spans="1:2" x14ac:dyDescent="0.2">
      <c r="A117">
        <v>45392</v>
      </c>
      <c r="B117">
        <v>4.3099999999999996</v>
      </c>
    </row>
    <row r="118" spans="1:2" x14ac:dyDescent="0.2">
      <c r="A118">
        <v>45391</v>
      </c>
      <c r="B118">
        <v>1.29</v>
      </c>
    </row>
    <row r="119" spans="1:2" x14ac:dyDescent="0.2">
      <c r="A119">
        <v>45390</v>
      </c>
      <c r="B119">
        <v>0.52</v>
      </c>
    </row>
    <row r="120" spans="1:2" x14ac:dyDescent="0.2">
      <c r="A120">
        <v>45389</v>
      </c>
      <c r="B120">
        <v>4.05</v>
      </c>
    </row>
    <row r="121" spans="1:2" x14ac:dyDescent="0.2">
      <c r="A121">
        <v>45388</v>
      </c>
      <c r="B121">
        <v>0.74</v>
      </c>
    </row>
    <row r="122" spans="1:2" x14ac:dyDescent="0.2">
      <c r="A122">
        <v>45387</v>
      </c>
      <c r="B122">
        <v>0.44</v>
      </c>
    </row>
    <row r="123" spans="1:2" x14ac:dyDescent="0.2">
      <c r="A123">
        <v>45386</v>
      </c>
      <c r="B123">
        <v>4</v>
      </c>
    </row>
    <row r="124" spans="1:2" x14ac:dyDescent="0.2">
      <c r="A124">
        <v>45385</v>
      </c>
      <c r="B124">
        <v>9.0299999999999994</v>
      </c>
    </row>
    <row r="125" spans="1:2" x14ac:dyDescent="0.2">
      <c r="A125">
        <v>45384</v>
      </c>
      <c r="B125">
        <v>9.85</v>
      </c>
    </row>
    <row r="126" spans="1:2" x14ac:dyDescent="0.2">
      <c r="A126">
        <v>45383</v>
      </c>
      <c r="B126">
        <v>2.76</v>
      </c>
    </row>
    <row r="127" spans="1:2" x14ac:dyDescent="0.2">
      <c r="A127">
        <v>45382</v>
      </c>
      <c r="B127">
        <v>0.83</v>
      </c>
    </row>
    <row r="128" spans="1:2" x14ac:dyDescent="0.2">
      <c r="A128">
        <v>45381</v>
      </c>
      <c r="B128">
        <v>4.5199999999999996</v>
      </c>
    </row>
    <row r="129" spans="1:2" x14ac:dyDescent="0.2">
      <c r="A129">
        <v>45380</v>
      </c>
      <c r="B129">
        <v>4.05</v>
      </c>
    </row>
    <row r="130" spans="1:2" x14ac:dyDescent="0.2">
      <c r="A130">
        <v>45379</v>
      </c>
      <c r="B130">
        <v>0.66</v>
      </c>
    </row>
    <row r="131" spans="1:2" x14ac:dyDescent="0.2">
      <c r="A131">
        <v>45378</v>
      </c>
      <c r="B131">
        <v>0.76</v>
      </c>
    </row>
    <row r="132" spans="1:2" x14ac:dyDescent="0.2">
      <c r="A132">
        <v>45377</v>
      </c>
      <c r="B132">
        <v>2.36</v>
      </c>
    </row>
    <row r="133" spans="1:2" x14ac:dyDescent="0.2">
      <c r="A133">
        <v>45376</v>
      </c>
      <c r="B133">
        <v>23.75</v>
      </c>
    </row>
    <row r="134" spans="1:2" x14ac:dyDescent="0.2">
      <c r="A134">
        <v>45375</v>
      </c>
      <c r="B134">
        <v>6.69</v>
      </c>
    </row>
    <row r="135" spans="1:2" x14ac:dyDescent="0.2">
      <c r="A135">
        <v>45374</v>
      </c>
      <c r="B135">
        <v>2.0099999999999998</v>
      </c>
    </row>
    <row r="136" spans="1:2" x14ac:dyDescent="0.2">
      <c r="A136">
        <v>45373</v>
      </c>
      <c r="B136">
        <v>22.4</v>
      </c>
    </row>
    <row r="137" spans="1:2" x14ac:dyDescent="0.2">
      <c r="A137">
        <v>45372</v>
      </c>
      <c r="B137">
        <v>35.9</v>
      </c>
    </row>
    <row r="138" spans="1:2" x14ac:dyDescent="0.2">
      <c r="A138">
        <v>45371</v>
      </c>
      <c r="B138">
        <v>56.94</v>
      </c>
    </row>
    <row r="139" spans="1:2" x14ac:dyDescent="0.2">
      <c r="A139">
        <v>45370</v>
      </c>
      <c r="B139">
        <v>65</v>
      </c>
    </row>
    <row r="140" spans="1:2" x14ac:dyDescent="0.2">
      <c r="A140">
        <v>45369</v>
      </c>
      <c r="B140">
        <v>61.34</v>
      </c>
    </row>
    <row r="141" spans="1:2" x14ac:dyDescent="0.2">
      <c r="A141">
        <v>45368</v>
      </c>
      <c r="B141">
        <v>28.05</v>
      </c>
    </row>
    <row r="142" spans="1:2" x14ac:dyDescent="0.2">
      <c r="A142">
        <v>45367</v>
      </c>
      <c r="B142">
        <v>31.61</v>
      </c>
    </row>
    <row r="143" spans="1:2" x14ac:dyDescent="0.2">
      <c r="A143">
        <v>45366</v>
      </c>
      <c r="B143">
        <v>37.729999999999997</v>
      </c>
    </row>
    <row r="144" spans="1:2" x14ac:dyDescent="0.2">
      <c r="A144">
        <v>45365</v>
      </c>
      <c r="B144">
        <v>35.99</v>
      </c>
    </row>
    <row r="145" spans="1:2" x14ac:dyDescent="0.2">
      <c r="A145">
        <v>45364</v>
      </c>
      <c r="B145">
        <v>42.36</v>
      </c>
    </row>
    <row r="146" spans="1:2" x14ac:dyDescent="0.2">
      <c r="A146">
        <v>45363</v>
      </c>
      <c r="B146">
        <v>42.28</v>
      </c>
    </row>
    <row r="147" spans="1:2" x14ac:dyDescent="0.2">
      <c r="A147">
        <v>45362</v>
      </c>
      <c r="B147">
        <v>14.63</v>
      </c>
    </row>
    <row r="148" spans="1:2" x14ac:dyDescent="0.2">
      <c r="A148">
        <v>45361</v>
      </c>
      <c r="B148">
        <v>0.54</v>
      </c>
    </row>
    <row r="149" spans="1:2" x14ac:dyDescent="0.2">
      <c r="A149">
        <v>45360</v>
      </c>
      <c r="B149">
        <v>0.59</v>
      </c>
    </row>
    <row r="150" spans="1:2" x14ac:dyDescent="0.2">
      <c r="A150">
        <v>45359</v>
      </c>
      <c r="B150">
        <v>1.67</v>
      </c>
    </row>
    <row r="151" spans="1:2" x14ac:dyDescent="0.2">
      <c r="A151">
        <v>45358</v>
      </c>
      <c r="B151">
        <v>8.52</v>
      </c>
    </row>
    <row r="152" spans="1:2" x14ac:dyDescent="0.2">
      <c r="A152">
        <v>45357</v>
      </c>
      <c r="B152">
        <v>45.97</v>
      </c>
    </row>
    <row r="153" spans="1:2" x14ac:dyDescent="0.2">
      <c r="A153">
        <v>45356</v>
      </c>
      <c r="B153">
        <v>33.450000000000003</v>
      </c>
    </row>
    <row r="154" spans="1:2" x14ac:dyDescent="0.2">
      <c r="A154">
        <v>45355</v>
      </c>
      <c r="B154">
        <v>7.95</v>
      </c>
    </row>
    <row r="155" spans="1:2" x14ac:dyDescent="0.2">
      <c r="A155">
        <v>45354</v>
      </c>
      <c r="B155">
        <v>3.79</v>
      </c>
    </row>
    <row r="156" spans="1:2" x14ac:dyDescent="0.2">
      <c r="A156">
        <v>45353</v>
      </c>
      <c r="B156">
        <v>4.16</v>
      </c>
    </row>
    <row r="157" spans="1:2" x14ac:dyDescent="0.2">
      <c r="A157">
        <v>45352</v>
      </c>
      <c r="B157">
        <v>2.14</v>
      </c>
    </row>
    <row r="158" spans="1:2" x14ac:dyDescent="0.2">
      <c r="A158">
        <v>45351</v>
      </c>
      <c r="B158">
        <v>4.8</v>
      </c>
    </row>
    <row r="159" spans="1:2" x14ac:dyDescent="0.2">
      <c r="A159">
        <v>45350</v>
      </c>
      <c r="B159">
        <v>9.35</v>
      </c>
    </row>
    <row r="160" spans="1:2" x14ac:dyDescent="0.2">
      <c r="A160">
        <v>45349</v>
      </c>
      <c r="B160">
        <v>3.66</v>
      </c>
    </row>
    <row r="161" spans="1:2" x14ac:dyDescent="0.2">
      <c r="A161">
        <v>45348</v>
      </c>
      <c r="B161">
        <v>3.82</v>
      </c>
    </row>
    <row r="162" spans="1:2" x14ac:dyDescent="0.2">
      <c r="A162">
        <v>45347</v>
      </c>
      <c r="B162">
        <v>3.06</v>
      </c>
    </row>
    <row r="163" spans="1:2" x14ac:dyDescent="0.2">
      <c r="A163">
        <v>45346</v>
      </c>
      <c r="B163">
        <v>6.94</v>
      </c>
    </row>
    <row r="164" spans="1:2" x14ac:dyDescent="0.2">
      <c r="A164">
        <v>45345</v>
      </c>
      <c r="B164">
        <v>6.72</v>
      </c>
    </row>
    <row r="165" spans="1:2" x14ac:dyDescent="0.2">
      <c r="A165">
        <v>45344</v>
      </c>
      <c r="B165">
        <v>10.71</v>
      </c>
    </row>
    <row r="166" spans="1:2" x14ac:dyDescent="0.2">
      <c r="A166">
        <v>45343</v>
      </c>
      <c r="B166">
        <v>45.3</v>
      </c>
    </row>
    <row r="167" spans="1:2" x14ac:dyDescent="0.2">
      <c r="A167">
        <v>45342</v>
      </c>
      <c r="B167">
        <v>52.86</v>
      </c>
    </row>
    <row r="168" spans="1:2" x14ac:dyDescent="0.2">
      <c r="A168">
        <v>45341</v>
      </c>
      <c r="B168">
        <v>45.55</v>
      </c>
    </row>
    <row r="169" spans="1:2" x14ac:dyDescent="0.2">
      <c r="A169">
        <v>45340</v>
      </c>
      <c r="B169">
        <v>47.04</v>
      </c>
    </row>
    <row r="170" spans="1:2" x14ac:dyDescent="0.2">
      <c r="A170">
        <v>45339</v>
      </c>
      <c r="B170">
        <v>48.69</v>
      </c>
    </row>
    <row r="171" spans="1:2" x14ac:dyDescent="0.2">
      <c r="A171">
        <v>45338</v>
      </c>
      <c r="B171">
        <v>54.24</v>
      </c>
    </row>
    <row r="172" spans="1:2" x14ac:dyDescent="0.2">
      <c r="A172">
        <v>45337</v>
      </c>
      <c r="B172">
        <v>51.22</v>
      </c>
    </row>
    <row r="173" spans="1:2" x14ac:dyDescent="0.2">
      <c r="A173">
        <v>45336</v>
      </c>
      <c r="B173">
        <v>59.57</v>
      </c>
    </row>
    <row r="174" spans="1:2" x14ac:dyDescent="0.2">
      <c r="A174">
        <v>45335</v>
      </c>
      <c r="B174">
        <v>62.72</v>
      </c>
    </row>
    <row r="175" spans="1:2" x14ac:dyDescent="0.2">
      <c r="A175">
        <v>45334</v>
      </c>
      <c r="B175">
        <v>45.85</v>
      </c>
    </row>
    <row r="176" spans="1:2" x14ac:dyDescent="0.2">
      <c r="A176">
        <v>45333</v>
      </c>
      <c r="B176">
        <v>44.83</v>
      </c>
    </row>
    <row r="177" spans="1:2" x14ac:dyDescent="0.2">
      <c r="A177">
        <v>45332</v>
      </c>
      <c r="B177">
        <v>9.4700000000000006</v>
      </c>
    </row>
    <row r="178" spans="1:2" x14ac:dyDescent="0.2">
      <c r="A178">
        <v>45331</v>
      </c>
      <c r="B178">
        <v>40.18</v>
      </c>
    </row>
    <row r="179" spans="1:2" x14ac:dyDescent="0.2">
      <c r="A179">
        <v>45330</v>
      </c>
      <c r="B179">
        <v>38.67</v>
      </c>
    </row>
    <row r="180" spans="1:2" x14ac:dyDescent="0.2">
      <c r="A180">
        <v>45329</v>
      </c>
      <c r="B180">
        <v>50.11</v>
      </c>
    </row>
    <row r="181" spans="1:2" x14ac:dyDescent="0.2">
      <c r="A181">
        <v>45328</v>
      </c>
      <c r="B181">
        <v>74.03</v>
      </c>
    </row>
    <row r="182" spans="1:2" x14ac:dyDescent="0.2">
      <c r="A182">
        <v>45327</v>
      </c>
      <c r="B182">
        <v>80.92</v>
      </c>
    </row>
    <row r="183" spans="1:2" x14ac:dyDescent="0.2">
      <c r="A183">
        <v>45326</v>
      </c>
      <c r="B183">
        <v>63.1</v>
      </c>
    </row>
    <row r="184" spans="1:2" x14ac:dyDescent="0.2">
      <c r="A184">
        <v>45325</v>
      </c>
      <c r="B184">
        <v>60.32</v>
      </c>
    </row>
    <row r="185" spans="1:2" x14ac:dyDescent="0.2">
      <c r="A185">
        <v>45324</v>
      </c>
      <c r="B185">
        <v>65.319999999999993</v>
      </c>
    </row>
    <row r="186" spans="1:2" x14ac:dyDescent="0.2">
      <c r="A186">
        <v>45323</v>
      </c>
      <c r="B186">
        <v>70.95</v>
      </c>
    </row>
    <row r="187" spans="1:2" x14ac:dyDescent="0.2">
      <c r="A187">
        <v>45322</v>
      </c>
      <c r="B187">
        <v>84.26</v>
      </c>
    </row>
    <row r="188" spans="1:2" x14ac:dyDescent="0.2">
      <c r="A188">
        <v>45321</v>
      </c>
      <c r="B188">
        <v>81.28</v>
      </c>
    </row>
    <row r="189" spans="1:2" x14ac:dyDescent="0.2">
      <c r="A189">
        <v>45320</v>
      </c>
      <c r="B189">
        <v>77.97</v>
      </c>
    </row>
    <row r="190" spans="1:2" x14ac:dyDescent="0.2">
      <c r="A190">
        <v>45319</v>
      </c>
      <c r="B190">
        <v>52.14</v>
      </c>
    </row>
    <row r="191" spans="1:2" x14ac:dyDescent="0.2">
      <c r="A191">
        <v>45318</v>
      </c>
      <c r="B191">
        <v>66.06</v>
      </c>
    </row>
    <row r="192" spans="1:2" x14ac:dyDescent="0.2">
      <c r="A192">
        <v>45317</v>
      </c>
      <c r="B192">
        <v>72.56</v>
      </c>
    </row>
    <row r="193" spans="1:2" x14ac:dyDescent="0.2">
      <c r="A193">
        <v>45316</v>
      </c>
      <c r="B193">
        <v>76.8</v>
      </c>
    </row>
    <row r="194" spans="1:2" x14ac:dyDescent="0.2">
      <c r="A194">
        <v>45315</v>
      </c>
      <c r="B194">
        <v>83.42</v>
      </c>
    </row>
    <row r="195" spans="1:2" x14ac:dyDescent="0.2">
      <c r="A195">
        <v>45314</v>
      </c>
      <c r="B195">
        <v>78.02</v>
      </c>
    </row>
    <row r="196" spans="1:2" x14ac:dyDescent="0.2">
      <c r="A196">
        <v>45313</v>
      </c>
      <c r="B196">
        <v>67.92</v>
      </c>
    </row>
    <row r="197" spans="1:2" x14ac:dyDescent="0.2">
      <c r="A197">
        <v>45312</v>
      </c>
      <c r="B197">
        <v>64.400000000000006</v>
      </c>
    </row>
    <row r="198" spans="1:2" x14ac:dyDescent="0.2">
      <c r="A198">
        <v>45311</v>
      </c>
      <c r="B198">
        <v>80.53</v>
      </c>
    </row>
    <row r="199" spans="1:2" x14ac:dyDescent="0.2">
      <c r="A199">
        <v>45310</v>
      </c>
      <c r="B199">
        <v>70.87</v>
      </c>
    </row>
    <row r="200" spans="1:2" x14ac:dyDescent="0.2">
      <c r="A200">
        <v>45309</v>
      </c>
      <c r="B200">
        <v>46.84</v>
      </c>
    </row>
    <row r="201" spans="1:2" x14ac:dyDescent="0.2">
      <c r="A201">
        <v>45308</v>
      </c>
      <c r="B201">
        <v>26.96</v>
      </c>
    </row>
    <row r="202" spans="1:2" x14ac:dyDescent="0.2">
      <c r="A202">
        <v>45307</v>
      </c>
      <c r="B202">
        <v>90.12</v>
      </c>
    </row>
    <row r="203" spans="1:2" x14ac:dyDescent="0.2">
      <c r="A203">
        <v>45306</v>
      </c>
      <c r="B203">
        <v>87.56</v>
      </c>
    </row>
    <row r="204" spans="1:2" x14ac:dyDescent="0.2">
      <c r="A204">
        <v>45305</v>
      </c>
      <c r="B204">
        <v>75.13</v>
      </c>
    </row>
    <row r="205" spans="1:2" x14ac:dyDescent="0.2">
      <c r="A205">
        <v>45304</v>
      </c>
      <c r="B205">
        <v>87.35</v>
      </c>
    </row>
    <row r="206" spans="1:2" x14ac:dyDescent="0.2">
      <c r="A206">
        <v>45303</v>
      </c>
      <c r="B206">
        <v>97.56</v>
      </c>
    </row>
    <row r="207" spans="1:2" x14ac:dyDescent="0.2">
      <c r="A207">
        <v>45302</v>
      </c>
      <c r="B207">
        <v>96.97</v>
      </c>
    </row>
    <row r="208" spans="1:2" x14ac:dyDescent="0.2">
      <c r="A208">
        <v>45301</v>
      </c>
      <c r="B208">
        <v>100.88</v>
      </c>
    </row>
    <row r="209" spans="1:2" x14ac:dyDescent="0.2">
      <c r="A209">
        <v>45300</v>
      </c>
      <c r="B209">
        <v>113.83</v>
      </c>
    </row>
    <row r="210" spans="1:2" x14ac:dyDescent="0.2">
      <c r="A210">
        <v>45299</v>
      </c>
      <c r="B210">
        <v>105.51</v>
      </c>
    </row>
    <row r="211" spans="1:2" x14ac:dyDescent="0.2">
      <c r="A211">
        <v>45298</v>
      </c>
      <c r="B211">
        <v>76</v>
      </c>
    </row>
    <row r="212" spans="1:2" x14ac:dyDescent="0.2">
      <c r="A212">
        <v>45297</v>
      </c>
      <c r="B212">
        <v>43.97</v>
      </c>
    </row>
    <row r="213" spans="1:2" x14ac:dyDescent="0.2">
      <c r="A213">
        <v>45296</v>
      </c>
      <c r="B213">
        <v>68.62</v>
      </c>
    </row>
    <row r="214" spans="1:2" x14ac:dyDescent="0.2">
      <c r="A214">
        <v>45295</v>
      </c>
      <c r="B214">
        <v>91.36</v>
      </c>
    </row>
    <row r="215" spans="1:2" x14ac:dyDescent="0.2">
      <c r="A215">
        <v>45294</v>
      </c>
      <c r="B215">
        <v>55.08</v>
      </c>
    </row>
    <row r="216" spans="1:2" x14ac:dyDescent="0.2">
      <c r="A216">
        <v>45293</v>
      </c>
      <c r="B216">
        <v>40.909999999999997</v>
      </c>
    </row>
    <row r="217" spans="1:2" x14ac:dyDescent="0.2">
      <c r="A217">
        <v>45292</v>
      </c>
      <c r="B217">
        <v>36.24</v>
      </c>
    </row>
  </sheetData>
  <sortState xmlns:xlrd2="http://schemas.microsoft.com/office/spreadsheetml/2017/richdata2" ref="E5:H38">
    <sortCondition ref="H4"/>
  </sortState>
  <mergeCells count="9">
    <mergeCell ref="Y1:Z2"/>
    <mergeCell ref="V1:W2"/>
    <mergeCell ref="S1:T2"/>
    <mergeCell ref="P1:Q2"/>
    <mergeCell ref="A1:B3"/>
    <mergeCell ref="D1:E2"/>
    <mergeCell ref="G1:H2"/>
    <mergeCell ref="J1:K2"/>
    <mergeCell ref="M1:N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27</xdr:col>
                    <xdr:colOff>38100</xdr:colOff>
                    <xdr:row>10</xdr:row>
                    <xdr:rowOff>9525</xdr:rowOff>
                  </from>
                  <to>
                    <xdr:col>29</xdr:col>
                    <xdr:colOff>304800</xdr:colOff>
                    <xdr:row>13</xdr:row>
                    <xdr:rowOff>85725</xdr:rowOff>
                  </to>
                </anchor>
              </controlPr>
            </control>
          </mc:Choice>
        </mc:AlternateContent>
      </controls>
    </mc:Choice>
  </mc:AlternateContent>
  <tableParts count="9">
    <tablePart r:id="rId4"/>
    <tablePart r:id="rId5"/>
    <tablePart r:id="rId6"/>
    <tablePart r:id="rId7"/>
    <tablePart r:id="rId8"/>
    <tablePart r:id="rId9"/>
    <tablePart r:id="rId10"/>
    <tablePart r:id="rId11"/>
    <tablePart r:id="rId1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15" t="s">
        <v>246</v>
      </c>
      <c r="K1" s="116"/>
      <c r="L1" s="119" t="s">
        <v>3</v>
      </c>
      <c r="M1" s="125" t="s">
        <v>235</v>
      </c>
      <c r="N1" s="126"/>
      <c r="O1" s="123" t="s">
        <v>4</v>
      </c>
      <c r="P1" s="124"/>
      <c r="Q1" s="111" t="s">
        <v>246</v>
      </c>
      <c r="R1" s="111"/>
      <c r="S1" s="112"/>
      <c r="T1" s="110"/>
    </row>
    <row r="2" spans="1:20" ht="12" customHeight="1" x14ac:dyDescent="0.2">
      <c r="A2" t="s">
        <v>3</v>
      </c>
      <c r="B2" s="23" t="str">
        <f>A7</f>
        <v>Ene 2024</v>
      </c>
      <c r="C2" t="s">
        <v>243</v>
      </c>
      <c r="G2" s="15" t="s">
        <v>253</v>
      </c>
      <c r="H2" s="24">
        <f ca="1">TODAY()</f>
        <v>45509</v>
      </c>
      <c r="I2" s="24"/>
      <c r="J2" s="117"/>
      <c r="K2" s="112"/>
      <c r="L2" s="120"/>
      <c r="M2" s="127"/>
      <c r="N2" s="128"/>
      <c r="O2" s="123"/>
      <c r="P2" s="124"/>
      <c r="Q2" s="111"/>
      <c r="R2" s="111"/>
      <c r="S2" s="112"/>
      <c r="T2" s="110"/>
    </row>
    <row r="3" spans="1:20" ht="12" customHeight="1" x14ac:dyDescent="0.2">
      <c r="A3" t="s">
        <v>229</v>
      </c>
      <c r="B3" s="23">
        <f ca="1">IF(C3="",ROUND(AVERAGE(omie!E5:OFFSET(omie!E5,MATCH(B4,omie_enero[fecha],0)-1,0)),2),C3)</f>
        <v>74.099999999999994</v>
      </c>
      <c r="C3" s="26"/>
      <c r="G3" s="109" t="s">
        <v>248</v>
      </c>
      <c r="H3" s="109"/>
      <c r="I3" s="4"/>
      <c r="J3" s="117"/>
      <c r="K3" s="112"/>
      <c r="L3" s="121" t="s">
        <v>13</v>
      </c>
      <c r="M3" s="129">
        <f>H1</f>
        <v>31</v>
      </c>
      <c r="N3" s="129"/>
      <c r="O3" s="122">
        <f ca="1">B3</f>
        <v>74.099999999999994</v>
      </c>
      <c r="P3" s="122"/>
      <c r="Q3" s="111"/>
      <c r="R3" s="111"/>
      <c r="S3" s="112"/>
      <c r="T3" s="110"/>
    </row>
    <row r="4" spans="1:20" ht="12" customHeight="1" x14ac:dyDescent="0.2">
      <c r="A4" t="s">
        <v>6</v>
      </c>
      <c r="B4" s="3">
        <f>DATE(2024,1,H1)</f>
        <v>45322</v>
      </c>
      <c r="G4" t="s">
        <v>247</v>
      </c>
      <c r="H4" s="30">
        <f>[1]omie_dinamic_dia!$G$2</f>
        <v>5</v>
      </c>
      <c r="I4" s="42"/>
      <c r="J4" s="117"/>
      <c r="K4" s="112"/>
      <c r="L4" s="121"/>
      <c r="M4" s="129"/>
      <c r="N4" s="129"/>
      <c r="O4" s="122"/>
      <c r="P4" s="122"/>
      <c r="Q4" s="111"/>
      <c r="R4" s="111"/>
      <c r="S4" s="112"/>
      <c r="T4" s="110"/>
    </row>
    <row r="5" spans="1:20" ht="12" customHeight="1" x14ac:dyDescent="0.2">
      <c r="A5" t="s">
        <v>15</v>
      </c>
      <c r="B5" s="3">
        <f>MAX(omie_enero[fecha])</f>
        <v>45322</v>
      </c>
      <c r="J5" s="118"/>
      <c r="K5" s="114"/>
      <c r="L5" s="121"/>
      <c r="M5" s="129"/>
      <c r="N5" s="129"/>
      <c r="O5" s="122"/>
      <c r="P5" s="122"/>
      <c r="Q5" s="113"/>
      <c r="R5" s="113"/>
      <c r="S5" s="114"/>
      <c r="T5" s="110"/>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09"/>
      <c r="S20" s="109"/>
      <c r="T20" s="109"/>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09"/>
      <c r="S21" s="109"/>
      <c r="T21" s="109"/>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09"/>
      <c r="S22" s="109"/>
      <c r="T22" s="109"/>
    </row>
    <row r="23" spans="1:20" ht="11.45"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ht="11.45"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76" priority="14">
      <formula>$K7=3</formula>
    </cfRule>
    <cfRule type="expression" dxfId="75" priority="15">
      <formula>$K7=2</formula>
    </cfRule>
    <cfRule type="expression" dxfId="74"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15" t="s">
        <v>246</v>
      </c>
      <c r="K1" s="116"/>
      <c r="L1" s="119" t="s">
        <v>3</v>
      </c>
      <c r="M1" s="125" t="s">
        <v>365</v>
      </c>
      <c r="N1" s="126"/>
      <c r="O1" s="123" t="s">
        <v>4</v>
      </c>
      <c r="P1" s="124"/>
      <c r="Q1" s="111" t="s">
        <v>246</v>
      </c>
      <c r="R1" s="111"/>
      <c r="S1" s="112"/>
      <c r="T1" s="110"/>
    </row>
    <row r="2" spans="1:20" ht="12" customHeight="1" x14ac:dyDescent="0.2">
      <c r="A2" t="s">
        <v>3</v>
      </c>
      <c r="B2" s="23" t="str">
        <f>A7</f>
        <v>Feb 2024</v>
      </c>
      <c r="C2" t="s">
        <v>243</v>
      </c>
      <c r="G2" s="15" t="s">
        <v>253</v>
      </c>
      <c r="H2" s="24">
        <f ca="1">TODAY()</f>
        <v>45509</v>
      </c>
      <c r="I2" s="24"/>
      <c r="J2" s="117"/>
      <c r="K2" s="112"/>
      <c r="L2" s="120"/>
      <c r="M2" s="127"/>
      <c r="N2" s="128"/>
      <c r="O2" s="123"/>
      <c r="P2" s="124"/>
      <c r="Q2" s="111"/>
      <c r="R2" s="111"/>
      <c r="S2" s="112"/>
      <c r="T2" s="110"/>
    </row>
    <row r="3" spans="1:20" ht="12" customHeight="1" x14ac:dyDescent="0.2">
      <c r="A3" t="s">
        <v>229</v>
      </c>
      <c r="B3" s="23">
        <f ca="1">IF(C3="",ROUND(AVERAGE(omie!H5:OFFSET(omie!H5,MATCH(B4,omie_febrero[fecha],0)-1,0)),2),C3)</f>
        <v>40</v>
      </c>
      <c r="C3" s="26"/>
      <c r="G3" t="s">
        <v>248</v>
      </c>
      <c r="J3" s="117"/>
      <c r="K3" s="112"/>
      <c r="L3" s="121" t="s">
        <v>13</v>
      </c>
      <c r="M3" s="129">
        <f>H1</f>
        <v>29</v>
      </c>
      <c r="N3" s="129"/>
      <c r="O3" s="122">
        <f ca="1">B3</f>
        <v>40</v>
      </c>
      <c r="P3" s="122"/>
      <c r="Q3" s="111"/>
      <c r="R3" s="111"/>
      <c r="S3" s="112"/>
      <c r="T3" s="110"/>
    </row>
    <row r="4" spans="1:20" ht="12" customHeight="1" x14ac:dyDescent="0.2">
      <c r="A4" t="s">
        <v>6</v>
      </c>
      <c r="B4" s="3">
        <f>DATE(2024,2,H1)</f>
        <v>45351</v>
      </c>
      <c r="G4" t="s">
        <v>247</v>
      </c>
      <c r="H4" s="30">
        <f>[1]omie_dinamic_dia!$G$2</f>
        <v>5</v>
      </c>
      <c r="I4" s="42"/>
      <c r="J4" s="117"/>
      <c r="K4" s="112"/>
      <c r="L4" s="121"/>
      <c r="M4" s="129"/>
      <c r="N4" s="129"/>
      <c r="O4" s="122"/>
      <c r="P4" s="122"/>
      <c r="Q4" s="111"/>
      <c r="R4" s="111"/>
      <c r="S4" s="112"/>
      <c r="T4" s="110"/>
    </row>
    <row r="5" spans="1:20" ht="12" customHeight="1" x14ac:dyDescent="0.2">
      <c r="A5" t="s">
        <v>15</v>
      </c>
      <c r="B5" s="3">
        <f>MAX(omie_febrero[fecha])</f>
        <v>45351</v>
      </c>
      <c r="J5" s="118"/>
      <c r="K5" s="114"/>
      <c r="L5" s="121"/>
      <c r="M5" s="129"/>
      <c r="N5" s="129"/>
      <c r="O5" s="122"/>
      <c r="P5" s="122"/>
      <c r="Q5" s="113"/>
      <c r="R5" s="113"/>
      <c r="S5" s="114"/>
      <c r="T5" s="110"/>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09"/>
      <c r="S20" s="109"/>
      <c r="T20" s="109"/>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09"/>
      <c r="S21" s="109"/>
      <c r="T21" s="109"/>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09"/>
      <c r="S22" s="109"/>
      <c r="T22" s="109"/>
    </row>
    <row r="23" spans="1:20" ht="11.45"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ht="11.45"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J1:K5"/>
    <mergeCell ref="L1:L2"/>
    <mergeCell ref="M1:N2"/>
    <mergeCell ref="O1:P2"/>
    <mergeCell ref="Q1:S5"/>
    <mergeCell ref="T1:T5"/>
    <mergeCell ref="L3:L5"/>
    <mergeCell ref="M3:N5"/>
    <mergeCell ref="O3:P5"/>
    <mergeCell ref="R20:T22"/>
  </mergeCells>
  <conditionalFormatting sqref="J7:O41">
    <cfRule type="expression" dxfId="73" priority="2">
      <formula>$K7=3</formula>
    </cfRule>
    <cfRule type="expression" dxfId="72" priority="3">
      <formula>$K7=2</formula>
    </cfRule>
    <cfRule type="expression" dxfId="71"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2" x14ac:dyDescent="0.2"/>
  <cols>
    <col min="1" max="1" width="11.140625" customWidth="1"/>
    <col min="2" max="2" width="23" customWidth="1"/>
    <col min="3" max="3" width="6.5703125" customWidth="1"/>
    <col min="4" max="4" width="19" customWidth="1"/>
    <col min="5" max="5" width="8.5703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15" t="s">
        <v>246</v>
      </c>
      <c r="K1" s="116"/>
      <c r="L1" s="119" t="s">
        <v>3</v>
      </c>
      <c r="M1" s="125" t="s">
        <v>478</v>
      </c>
      <c r="N1" s="126"/>
      <c r="O1" s="123" t="s">
        <v>4</v>
      </c>
      <c r="P1" s="124"/>
      <c r="Q1" s="111" t="s">
        <v>246</v>
      </c>
      <c r="R1" s="111"/>
      <c r="S1" s="112"/>
      <c r="T1" s="110"/>
    </row>
    <row r="2" spans="1:20" ht="12" customHeight="1" x14ac:dyDescent="0.2">
      <c r="A2" t="s">
        <v>3</v>
      </c>
      <c r="B2" s="23" t="str">
        <f>A7</f>
        <v>Mar 2024</v>
      </c>
      <c r="C2" t="s">
        <v>243</v>
      </c>
      <c r="G2" s="15" t="s">
        <v>253</v>
      </c>
      <c r="H2" s="24">
        <f ca="1">TODAY()</f>
        <v>45509</v>
      </c>
      <c r="I2" s="24"/>
      <c r="J2" s="117"/>
      <c r="K2" s="112"/>
      <c r="L2" s="120"/>
      <c r="M2" s="127"/>
      <c r="N2" s="128"/>
      <c r="O2" s="123"/>
      <c r="P2" s="124"/>
      <c r="Q2" s="111"/>
      <c r="R2" s="111"/>
      <c r="S2" s="112"/>
      <c r="T2" s="110"/>
    </row>
    <row r="3" spans="1:20" ht="12" customHeight="1" x14ac:dyDescent="0.2">
      <c r="A3" t="s">
        <v>229</v>
      </c>
      <c r="B3" s="44">
        <f ca="1">IF(C3="",ROUND(AVERAGE(omie!K5:OFFSET(omie!K5,MATCH(B4,omie_marzo[fecha],0)-1,0)),2),C3)</f>
        <v>20.28</v>
      </c>
      <c r="C3" s="26"/>
      <c r="G3" s="109" t="s">
        <v>248</v>
      </c>
      <c r="H3" s="109"/>
      <c r="I3" s="4"/>
      <c r="J3" s="117"/>
      <c r="K3" s="112"/>
      <c r="L3" s="121" t="s">
        <v>13</v>
      </c>
      <c r="M3" s="129">
        <f>H1</f>
        <v>31</v>
      </c>
      <c r="N3" s="129"/>
      <c r="O3" s="122">
        <f ca="1">B3</f>
        <v>20.28</v>
      </c>
      <c r="P3" s="122"/>
      <c r="Q3" s="111"/>
      <c r="R3" s="111"/>
      <c r="S3" s="112"/>
      <c r="T3" s="110"/>
    </row>
    <row r="4" spans="1:20" ht="12" customHeight="1" x14ac:dyDescent="0.2">
      <c r="A4" t="s">
        <v>6</v>
      </c>
      <c r="B4" s="3">
        <f>DATE(2024,3,H1)</f>
        <v>45382</v>
      </c>
      <c r="G4" t="s">
        <v>247</v>
      </c>
      <c r="H4" s="30">
        <f>[1]omie_dinamic_dia!$G$2</f>
        <v>5</v>
      </c>
      <c r="I4" s="42"/>
      <c r="J4" s="117"/>
      <c r="K4" s="112"/>
      <c r="L4" s="121"/>
      <c r="M4" s="129"/>
      <c r="N4" s="129"/>
      <c r="O4" s="122"/>
      <c r="P4" s="122"/>
      <c r="Q4" s="111"/>
      <c r="R4" s="111"/>
      <c r="S4" s="112"/>
      <c r="T4" s="110"/>
    </row>
    <row r="5" spans="1:20" ht="12" customHeight="1" x14ac:dyDescent="0.2">
      <c r="A5" t="s">
        <v>15</v>
      </c>
      <c r="B5" s="3">
        <f>MAX(omie_marzo[fecha])</f>
        <v>45382</v>
      </c>
      <c r="J5" s="118"/>
      <c r="K5" s="114"/>
      <c r="L5" s="121"/>
      <c r="M5" s="129"/>
      <c r="N5" s="129"/>
      <c r="O5" s="122"/>
      <c r="P5" s="122"/>
      <c r="Q5" s="113"/>
      <c r="R5" s="113"/>
      <c r="S5" s="114"/>
      <c r="T5" s="110"/>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09"/>
      <c r="S20" s="109"/>
      <c r="T20" s="109"/>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09"/>
      <c r="S21" s="109"/>
      <c r="T21" s="109"/>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09"/>
      <c r="S22" s="109"/>
      <c r="T22" s="109"/>
    </row>
    <row r="23" spans="1:20" ht="11.45"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ht="11.45"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G3:H3"/>
    <mergeCell ref="T1:T5"/>
    <mergeCell ref="L3:L5"/>
    <mergeCell ref="M3:N5"/>
    <mergeCell ref="O3:P5"/>
    <mergeCell ref="R20:T22"/>
    <mergeCell ref="J1:K5"/>
    <mergeCell ref="L1:L2"/>
    <mergeCell ref="M1:N2"/>
    <mergeCell ref="O1:P2"/>
    <mergeCell ref="Q1:S5"/>
  </mergeCells>
  <phoneticPr fontId="9" type="noConversion"/>
  <conditionalFormatting sqref="K7:O31">
    <cfRule type="expression" dxfId="70" priority="2">
      <formula>$K7=3</formula>
    </cfRule>
    <cfRule type="expression" dxfId="69" priority="3">
      <formula>$K7=2</formula>
    </cfRule>
    <cfRule type="expression" dxfId="68"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1266825</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2" x14ac:dyDescent="0.2"/>
  <cols>
    <col min="1" max="1" width="16" bestFit="1" customWidth="1"/>
    <col min="2" max="2" width="10" customWidth="1"/>
    <col min="3" max="3" width="10.5703125" customWidth="1"/>
    <col min="4" max="4" width="18.140625" customWidth="1"/>
    <col min="5" max="5" width="8.7109375"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30" t="s">
        <v>546</v>
      </c>
      <c r="L1" s="131"/>
      <c r="M1" s="119" t="s">
        <v>3</v>
      </c>
      <c r="N1" s="125" t="s">
        <v>545</v>
      </c>
      <c r="O1" s="126"/>
      <c r="P1" s="123" t="s">
        <v>4</v>
      </c>
      <c r="Q1" s="124"/>
      <c r="R1" s="136" t="s">
        <v>547</v>
      </c>
      <c r="S1" s="137"/>
      <c r="T1" s="138"/>
      <c r="U1" s="110"/>
    </row>
    <row r="2" spans="1:21" ht="12" customHeight="1" x14ac:dyDescent="0.2">
      <c r="A2" t="s">
        <v>3</v>
      </c>
      <c r="B2" s="23" t="str">
        <f>A7</f>
        <v>Abr 2024</v>
      </c>
      <c r="C2" t="s">
        <v>243</v>
      </c>
      <c r="G2" s="15" t="s">
        <v>253</v>
      </c>
      <c r="H2" s="24">
        <f ca="1">TODAY()</f>
        <v>45509</v>
      </c>
      <c r="I2" s="29"/>
      <c r="K2" s="132"/>
      <c r="L2" s="133"/>
      <c r="M2" s="120"/>
      <c r="N2" s="127"/>
      <c r="O2" s="128"/>
      <c r="P2" s="123"/>
      <c r="Q2" s="124"/>
      <c r="R2" s="139"/>
      <c r="S2" s="140"/>
      <c r="T2" s="141"/>
      <c r="U2" s="110"/>
    </row>
    <row r="3" spans="1:21" ht="12" customHeight="1" x14ac:dyDescent="0.2">
      <c r="A3" t="s">
        <v>229</v>
      </c>
      <c r="B3" s="44">
        <f ca="1">IF(C3="",ROUND(AVERAGE(omie!N5:OFFSET(omie!N5,MATCH(B4,omie_abril[fecha],0)-1,0)),2),C3)</f>
        <v>13.67</v>
      </c>
      <c r="C3" s="26"/>
      <c r="G3" s="109" t="s">
        <v>248</v>
      </c>
      <c r="H3" s="109"/>
      <c r="I3" s="29"/>
      <c r="K3" s="132"/>
      <c r="L3" s="133"/>
      <c r="M3" s="121" t="s">
        <v>13</v>
      </c>
      <c r="N3" s="129">
        <f>H1</f>
        <v>30</v>
      </c>
      <c r="O3" s="129"/>
      <c r="P3" s="122">
        <f ca="1">B3</f>
        <v>13.67</v>
      </c>
      <c r="Q3" s="122"/>
      <c r="R3" s="139"/>
      <c r="S3" s="140"/>
      <c r="T3" s="141"/>
      <c r="U3" s="110"/>
    </row>
    <row r="4" spans="1:21" ht="12" customHeight="1" x14ac:dyDescent="0.2">
      <c r="A4" t="s">
        <v>6</v>
      </c>
      <c r="B4" s="3">
        <f>DATE(2024,4,H1)</f>
        <v>45412</v>
      </c>
      <c r="G4" t="s">
        <v>247</v>
      </c>
      <c r="H4" s="30">
        <f>[1]omie_dinamic_dia!$G$2</f>
        <v>5</v>
      </c>
      <c r="I4" s="29"/>
      <c r="K4" s="132"/>
      <c r="L4" s="133"/>
      <c r="M4" s="121"/>
      <c r="N4" s="129"/>
      <c r="O4" s="129"/>
      <c r="P4" s="122"/>
      <c r="Q4" s="122"/>
      <c r="R4" s="139"/>
      <c r="S4" s="140"/>
      <c r="T4" s="141"/>
      <c r="U4" s="110"/>
    </row>
    <row r="5" spans="1:21" ht="12" customHeight="1" x14ac:dyDescent="0.2">
      <c r="A5" t="s">
        <v>15</v>
      </c>
      <c r="B5" s="3">
        <f>MAX(omie_abril[fecha])</f>
        <v>45412</v>
      </c>
      <c r="I5" s="29"/>
      <c r="K5" s="134"/>
      <c r="L5" s="135"/>
      <c r="M5" s="121"/>
      <c r="N5" s="129"/>
      <c r="O5" s="129"/>
      <c r="P5" s="122"/>
      <c r="Q5" s="122"/>
      <c r="R5" s="142"/>
      <c r="S5" s="143"/>
      <c r="T5" s="144"/>
      <c r="U5" s="110"/>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09"/>
      <c r="T20" s="109"/>
      <c r="U20" s="109"/>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09"/>
      <c r="T21" s="109"/>
      <c r="U21" s="109"/>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09"/>
      <c r="T22" s="109"/>
      <c r="U22" s="109"/>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ht="11.45"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ht="11.45"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67" priority="17">
      <formula>$K7=3</formula>
    </cfRule>
    <cfRule type="expression" dxfId="66" priority="18">
      <formula>$K7=2</formula>
    </cfRule>
    <cfRule type="expression" dxfId="65"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30" t="s">
        <v>546</v>
      </c>
      <c r="L1" s="131"/>
      <c r="M1" s="119" t="s">
        <v>3</v>
      </c>
      <c r="N1" s="125" t="s">
        <v>654</v>
      </c>
      <c r="O1" s="126"/>
      <c r="P1" s="123" t="s">
        <v>4</v>
      </c>
      <c r="Q1" s="124"/>
      <c r="R1" s="136" t="s">
        <v>655</v>
      </c>
      <c r="S1" s="137"/>
      <c r="T1" s="138"/>
      <c r="U1" s="110"/>
    </row>
    <row r="2" spans="1:21" ht="12" customHeight="1" x14ac:dyDescent="0.2">
      <c r="A2" t="s">
        <v>3</v>
      </c>
      <c r="B2" s="23" t="str">
        <f>A7</f>
        <v>May 2024</v>
      </c>
      <c r="C2" s="4" t="s">
        <v>243</v>
      </c>
      <c r="G2" s="15" t="s">
        <v>253</v>
      </c>
      <c r="H2" s="24">
        <f ca="1">TODAY()</f>
        <v>45509</v>
      </c>
      <c r="I2" s="29"/>
      <c r="K2" s="132"/>
      <c r="L2" s="133"/>
      <c r="M2" s="120"/>
      <c r="N2" s="127"/>
      <c r="O2" s="128"/>
      <c r="P2" s="123"/>
      <c r="Q2" s="124"/>
      <c r="R2" s="139"/>
      <c r="S2" s="140"/>
      <c r="T2" s="141"/>
      <c r="U2" s="110"/>
    </row>
    <row r="3" spans="1:21" ht="12" customHeight="1" x14ac:dyDescent="0.2">
      <c r="A3" t="s">
        <v>229</v>
      </c>
      <c r="B3" s="44">
        <f ca="1">IF(C3="",ROUND(AVERAGE(omie!Q5:OFFSET(omie!Q5,MATCH(B4,omie_mayo[fecha],0)-1,0)),2),C3)</f>
        <v>30.4</v>
      </c>
      <c r="C3" s="65"/>
      <c r="G3" s="109" t="s">
        <v>248</v>
      </c>
      <c r="H3" s="109"/>
      <c r="I3" s="29"/>
      <c r="K3" s="132"/>
      <c r="L3" s="133"/>
      <c r="M3" s="121" t="s">
        <v>13</v>
      </c>
      <c r="N3" s="129">
        <f>H1</f>
        <v>31</v>
      </c>
      <c r="O3" s="129"/>
      <c r="P3" s="122">
        <f ca="1">B3</f>
        <v>30.4</v>
      </c>
      <c r="Q3" s="122"/>
      <c r="R3" s="139"/>
      <c r="S3" s="140"/>
      <c r="T3" s="141"/>
      <c r="U3" s="110"/>
    </row>
    <row r="4" spans="1:21" ht="12" customHeight="1" x14ac:dyDescent="0.2">
      <c r="A4" t="s">
        <v>6</v>
      </c>
      <c r="B4" s="3">
        <f>DATE(2024,5,H1)</f>
        <v>45443</v>
      </c>
      <c r="G4" t="s">
        <v>247</v>
      </c>
      <c r="H4" s="67">
        <f>[1]omie_dinamic_dia!$G$2</f>
        <v>5</v>
      </c>
      <c r="I4" s="29"/>
      <c r="K4" s="132"/>
      <c r="L4" s="133"/>
      <c r="M4" s="121"/>
      <c r="N4" s="129"/>
      <c r="O4" s="129"/>
      <c r="P4" s="122"/>
      <c r="Q4" s="122"/>
      <c r="R4" s="139"/>
      <c r="S4" s="140"/>
      <c r="T4" s="141"/>
      <c r="U4" s="110"/>
    </row>
    <row r="5" spans="1:21" ht="12" customHeight="1" x14ac:dyDescent="0.2">
      <c r="A5" t="s">
        <v>15</v>
      </c>
      <c r="B5" s="3">
        <f>MAX(omie_mayo[fecha])</f>
        <v>45443</v>
      </c>
      <c r="I5" s="29"/>
      <c r="K5" s="134"/>
      <c r="L5" s="135"/>
      <c r="M5" s="121"/>
      <c r="N5" s="129"/>
      <c r="O5" s="129"/>
      <c r="P5" s="122"/>
      <c r="Q5" s="122"/>
      <c r="R5" s="142"/>
      <c r="S5" s="143"/>
      <c r="T5" s="144"/>
      <c r="U5" s="110"/>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610</v>
      </c>
      <c r="E7" t="s">
        <v>611</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645</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650</v>
      </c>
      <c r="C11" s="28">
        <v>35.6</v>
      </c>
      <c r="D11" t="s">
        <v>118</v>
      </c>
      <c r="E11" t="s">
        <v>625</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597</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652</v>
      </c>
      <c r="C17" s="28">
        <v>34.47</v>
      </c>
      <c r="D17" t="s">
        <v>118</v>
      </c>
      <c r="E17" t="s">
        <v>637</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641</v>
      </c>
      <c r="E18" t="s">
        <v>642</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647</v>
      </c>
      <c r="C19" s="28">
        <v>33.36</v>
      </c>
      <c r="D19" t="s">
        <v>118</v>
      </c>
      <c r="E19" t="s">
        <v>608</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621</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09"/>
      <c r="T20" s="109"/>
      <c r="U20" s="109"/>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09"/>
      <c r="T21" s="109"/>
      <c r="U21" s="109"/>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09"/>
      <c r="T22" s="109"/>
      <c r="U22" s="109"/>
    </row>
    <row r="23" spans="1:21" ht="11.45"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ht="11.45" x14ac:dyDescent="0.2">
      <c r="A24" t="s">
        <v>563</v>
      </c>
      <c r="B24" t="s">
        <v>403</v>
      </c>
      <c r="C24" s="28">
        <v>30.7</v>
      </c>
      <c r="D24" t="s">
        <v>644</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656</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657</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ht="11.45"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613</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629</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646</v>
      </c>
      <c r="C34" s="28">
        <v>27.25</v>
      </c>
      <c r="D34" t="s">
        <v>118</v>
      </c>
      <c r="E34" t="s">
        <v>599</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790</v>
      </c>
      <c r="C40" s="28">
        <v>23.7</v>
      </c>
      <c r="D40" t="s">
        <v>623</v>
      </c>
      <c r="E40" t="s">
        <v>624</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604</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653</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648</v>
      </c>
      <c r="C44" s="28">
        <v>18.12</v>
      </c>
      <c r="D44" t="s">
        <v>616</v>
      </c>
      <c r="E44" t="s">
        <v>617</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651</v>
      </c>
      <c r="C46" s="28">
        <v>13.1</v>
      </c>
      <c r="D46" t="s">
        <v>632</v>
      </c>
      <c r="E46" t="s">
        <v>633</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639</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619</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64" priority="3">
      <formula>$K7=3</formula>
    </cfRule>
    <cfRule type="expression" dxfId="63" priority="4">
      <formula>$K7=2</formula>
    </cfRule>
    <cfRule type="expression" dxfId="62" priority="5">
      <formula>$K7=1</formula>
    </cfRule>
  </conditionalFormatting>
  <conditionalFormatting sqref="C7:C49">
    <cfRule type="duplicateValues" dxfId="61"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C00000"/>
  </sheetPr>
  <dimension ref="A1:Y72"/>
  <sheetViews>
    <sheetView showGridLines="0" zoomScale="115" zoomScaleNormal="115" workbookViewId="0">
      <selection activeCell="B22" sqref="B2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30</v>
      </c>
      <c r="I1" s="29"/>
      <c r="K1" s="130" t="s">
        <v>546</v>
      </c>
      <c r="L1" s="131"/>
      <c r="M1" s="119" t="s">
        <v>3</v>
      </c>
      <c r="N1" s="125" t="s">
        <v>795</v>
      </c>
      <c r="O1" s="126"/>
      <c r="P1" s="123" t="s">
        <v>4</v>
      </c>
      <c r="Q1" s="124"/>
      <c r="R1" s="145" t="s">
        <v>796</v>
      </c>
      <c r="S1" s="146"/>
      <c r="T1" s="146"/>
      <c r="U1" s="79"/>
      <c r="Y1" s="109"/>
    </row>
    <row r="2" spans="1:25" ht="12" customHeight="1" x14ac:dyDescent="0.2">
      <c r="A2" t="s">
        <v>3</v>
      </c>
      <c r="B2" s="23" t="str">
        <f>A7</f>
        <v>Jun 2024</v>
      </c>
      <c r="C2" s="4" t="s">
        <v>243</v>
      </c>
      <c r="G2" s="15" t="s">
        <v>253</v>
      </c>
      <c r="H2" s="24">
        <f ca="1">TODAY()</f>
        <v>45509</v>
      </c>
      <c r="I2" s="29"/>
      <c r="K2" s="132"/>
      <c r="L2" s="133"/>
      <c r="M2" s="120"/>
      <c r="N2" s="127"/>
      <c r="O2" s="128"/>
      <c r="P2" s="123"/>
      <c r="Q2" s="124"/>
      <c r="R2" s="145"/>
      <c r="S2" s="146"/>
      <c r="T2" s="146"/>
      <c r="U2" s="79"/>
      <c r="Y2" s="109"/>
    </row>
    <row r="3" spans="1:25" ht="12" customHeight="1" x14ac:dyDescent="0.2">
      <c r="A3" t="s">
        <v>229</v>
      </c>
      <c r="B3" s="44">
        <f ca="1">IF(C3="",ROUND(AVERAGE(omie!T5:OFFSET(omie!T5,MATCH(B4,omie_junio[fecha],0)-1,0)),2),C3)</f>
        <v>56.08</v>
      </c>
      <c r="C3" s="65"/>
      <c r="G3" s="109" t="s">
        <v>248</v>
      </c>
      <c r="H3" s="109"/>
      <c r="I3" s="29"/>
      <c r="K3" s="132"/>
      <c r="L3" s="133"/>
      <c r="M3" s="121" t="s">
        <v>13</v>
      </c>
      <c r="N3" s="129">
        <f>H1</f>
        <v>30</v>
      </c>
      <c r="O3" s="129"/>
      <c r="P3" s="122">
        <f ca="1">B3</f>
        <v>56.08</v>
      </c>
      <c r="Q3" s="122"/>
      <c r="R3" s="145"/>
      <c r="S3" s="146"/>
      <c r="T3" s="146"/>
      <c r="U3" s="79"/>
      <c r="Y3" s="109"/>
    </row>
    <row r="4" spans="1:25" ht="12" customHeight="1" x14ac:dyDescent="0.2">
      <c r="A4" t="s">
        <v>6</v>
      </c>
      <c r="B4" s="3">
        <f>DATE(2024,6,H1)</f>
        <v>45473</v>
      </c>
      <c r="G4" t="s">
        <v>247</v>
      </c>
      <c r="H4" s="67">
        <f>[1]omie_dinamic_dia!$G$2</f>
        <v>5</v>
      </c>
      <c r="I4" s="29"/>
      <c r="K4" s="132"/>
      <c r="L4" s="133"/>
      <c r="M4" s="121"/>
      <c r="N4" s="129"/>
      <c r="O4" s="129"/>
      <c r="P4" s="122"/>
      <c r="Q4" s="122"/>
      <c r="R4" s="145"/>
      <c r="S4" s="146"/>
      <c r="T4" s="146"/>
      <c r="U4" s="79"/>
      <c r="Y4" s="109"/>
    </row>
    <row r="5" spans="1:25" ht="12" customHeight="1" x14ac:dyDescent="0.2">
      <c r="A5" t="s">
        <v>15</v>
      </c>
      <c r="B5" s="3">
        <f>MAX(omie_junio[fecha])</f>
        <v>45473</v>
      </c>
      <c r="I5" s="29"/>
      <c r="K5" s="134"/>
      <c r="L5" s="135"/>
      <c r="M5" s="121"/>
      <c r="N5" s="129"/>
      <c r="O5" s="129"/>
      <c r="P5" s="122"/>
      <c r="Q5" s="122"/>
      <c r="R5" s="145"/>
      <c r="S5" s="146"/>
      <c r="T5" s="146"/>
      <c r="U5" s="79"/>
      <c r="Y5" s="109"/>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682</v>
      </c>
      <c r="B7" t="s">
        <v>788</v>
      </c>
      <c r="C7" s="28">
        <v>99.95</v>
      </c>
      <c r="D7" t="s">
        <v>739</v>
      </c>
      <c r="E7" t="s">
        <v>740</v>
      </c>
      <c r="F7" s="28">
        <f ca="1">apuestas_jun24[[#This Row],[Apuesta Miniporra]]-$B$3</f>
        <v>43.870000000000005</v>
      </c>
      <c r="G7" s="68">
        <f ca="1">ABS(apuestas_jun24[[#This Row],[desvio]])/$B$3</f>
        <v>0.78227532097004293</v>
      </c>
      <c r="H7" s="4">
        <f ca="1">_xlfn.RANK.EQ(apuestas_jun24[[#This Row],[desvio %]],apuestas_jun24[desvio %],1)</f>
        <v>53</v>
      </c>
      <c r="J7" s="66" t="s">
        <v>682</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43.870000000000005</v>
      </c>
      <c r="O7" s="13">
        <f ca="1">INDEX(apuestas_jun24[desvio %],MATCH(resultados_jun[[#This Row],[Apuesta MiniPorra]],apuestas_jun24[Apuesta Miniporra],0))</f>
        <v>0.78227532097004293</v>
      </c>
      <c r="P7" s="4">
        <v>1</v>
      </c>
      <c r="Q7" s="28">
        <f>IF(ISBLANK(omie!S5),"",omie!T5)</f>
        <v>1.76</v>
      </c>
      <c r="T7"/>
      <c r="U7"/>
      <c r="X7" s="4"/>
      <c r="Y7" s="4"/>
    </row>
    <row r="8" spans="1:25" x14ac:dyDescent="0.2">
      <c r="A8" t="s">
        <v>682</v>
      </c>
      <c r="B8" t="s">
        <v>650</v>
      </c>
      <c r="C8" s="28">
        <v>86.46</v>
      </c>
      <c r="D8" t="s">
        <v>118</v>
      </c>
      <c r="E8" t="s">
        <v>761</v>
      </c>
      <c r="F8" s="28">
        <f ca="1">apuestas_jun24[[#This Row],[Apuesta Miniporra]]-$B$3</f>
        <v>30.379999999999995</v>
      </c>
      <c r="G8" s="68">
        <f ca="1">ABS(apuestas_jun24[[#This Row],[desvio]])/$B$3</f>
        <v>0.54172610556348066</v>
      </c>
      <c r="H8" s="4">
        <f ca="1">_xlfn.RANK.EQ(apuestas_jun24[[#This Row],[desvio %]],apuestas_jun24[desvio %],1)</f>
        <v>52</v>
      </c>
      <c r="J8" s="66" t="s">
        <v>682</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30.379999999999995</v>
      </c>
      <c r="O8" s="13">
        <f ca="1">INDEX(apuestas_jun24[desvio %],MATCH(resultados_jun[[#This Row],[Apuesta MiniPorra]],apuestas_jun24[Apuesta Miniporra],0))</f>
        <v>0.54172610556348066</v>
      </c>
      <c r="P8" s="4">
        <v>2</v>
      </c>
      <c r="Q8" s="28">
        <f>IF(ISBLANK(omie!S6),"",omie!T6)</f>
        <v>4.26</v>
      </c>
      <c r="R8" s="78"/>
      <c r="S8" s="78"/>
      <c r="T8"/>
      <c r="U8"/>
      <c r="X8" s="4"/>
      <c r="Y8" s="4"/>
    </row>
    <row r="9" spans="1:25" x14ac:dyDescent="0.2">
      <c r="A9" t="s">
        <v>682</v>
      </c>
      <c r="B9" t="s">
        <v>218</v>
      </c>
      <c r="C9" s="28">
        <v>69</v>
      </c>
      <c r="D9" t="s">
        <v>118</v>
      </c>
      <c r="E9" t="s">
        <v>464</v>
      </c>
      <c r="F9" s="28">
        <f ca="1">apuestas_jun24[[#This Row],[Apuesta Miniporra]]-$B$3</f>
        <v>12.920000000000002</v>
      </c>
      <c r="G9" s="68">
        <f ca="1">ABS(apuestas_jun24[[#This Row],[desvio]])/$B$3</f>
        <v>0.23038516405135526</v>
      </c>
      <c r="H9" s="4">
        <f ca="1">_xlfn.RANK.EQ(apuestas_jun24[[#This Row],[desvio %]],apuestas_jun24[desvio %],1)</f>
        <v>38</v>
      </c>
      <c r="J9" s="66" t="s">
        <v>682</v>
      </c>
      <c r="K9" s="10">
        <f ca="1">INDEX(apuestas_jun24[orden],MATCH(resultados_jun[Apuesta MiniPorra],apuestas_jun24[Apuesta Miniporra],0))</f>
        <v>38</v>
      </c>
      <c r="L9" s="6" t="str">
        <f>apuestas_jun24[[#This Row],[Nombre]]</f>
        <v>Jorge Antonio González Sánchez</v>
      </c>
      <c r="M9" s="14">
        <f>apuestas_jun24[[#This Row],[Apuesta Miniporra]]</f>
        <v>69</v>
      </c>
      <c r="N9" s="14">
        <f ca="1">INDEX(apuestas_jun24[desvio],MATCH(resultados_jun[[#This Row],[Apuesta MiniPorra]],apuestas_jun24[Apuesta Miniporra],0))</f>
        <v>12.920000000000002</v>
      </c>
      <c r="O9" s="13">
        <f ca="1">INDEX(apuestas_jun24[desvio %],MATCH(resultados_jun[[#This Row],[Apuesta MiniPorra]],apuestas_jun24[Apuesta Miniporra],0))</f>
        <v>0.23038516405135526</v>
      </c>
      <c r="P9" s="4">
        <v>3</v>
      </c>
      <c r="Q9" s="28">
        <f>IF(ISBLANK(omie!S7),"",omie!T7)</f>
        <v>28.56</v>
      </c>
      <c r="R9" s="78"/>
      <c r="S9" s="78"/>
      <c r="T9" s="28"/>
      <c r="U9"/>
      <c r="X9" s="4"/>
      <c r="Y9" s="4"/>
    </row>
    <row r="10" spans="1:25" x14ac:dyDescent="0.2">
      <c r="A10" t="s">
        <v>682</v>
      </c>
      <c r="B10" t="s">
        <v>787</v>
      </c>
      <c r="C10" s="28">
        <v>63.57</v>
      </c>
      <c r="D10" t="s">
        <v>733</v>
      </c>
      <c r="E10" t="s">
        <v>734</v>
      </c>
      <c r="F10" s="28">
        <f ca="1">apuestas_jun24[[#This Row],[Apuesta Miniporra]]-$B$3</f>
        <v>7.490000000000002</v>
      </c>
      <c r="G10" s="68">
        <f ca="1">ABS(apuestas_jun24[[#This Row],[desvio]])/$B$3</f>
        <v>0.13355920114122685</v>
      </c>
      <c r="H10" s="4">
        <f ca="1">_xlfn.RANK.EQ(apuestas_jun24[[#This Row],[desvio %]],apuestas_jun24[desvio %],1)</f>
        <v>26</v>
      </c>
      <c r="J10" s="66" t="s">
        <v>682</v>
      </c>
      <c r="K10" s="10">
        <f ca="1">INDEX(apuestas_jun24[orden],MATCH(resultados_jun[Apuesta MiniPorra],apuestas_jun24[Apuesta Miniporra],0))</f>
        <v>26</v>
      </c>
      <c r="L10" s="6" t="str">
        <f>apuestas_jun24[[#This Row],[Nombre]]</f>
        <v>Víctor Baeschlin Sánchez</v>
      </c>
      <c r="M10" s="14">
        <f>apuestas_jun24[[#This Row],[Apuesta Miniporra]]</f>
        <v>63.57</v>
      </c>
      <c r="N10" s="14">
        <f ca="1">INDEX(apuestas_jun24[desvio],MATCH(resultados_jun[[#This Row],[Apuesta MiniPorra]],apuestas_jun24[Apuesta Miniporra],0))</f>
        <v>7.490000000000002</v>
      </c>
      <c r="O10" s="13">
        <f ca="1">INDEX(apuestas_jun24[desvio %],MATCH(resultados_jun[[#This Row],[Apuesta MiniPorra]],apuestas_jun24[Apuesta Miniporra],0))</f>
        <v>0.13355920114122685</v>
      </c>
      <c r="P10" s="4">
        <v>4</v>
      </c>
      <c r="Q10" s="28">
        <f>IF(ISBLANK(omie!S8),"",omie!T8)</f>
        <v>87.64</v>
      </c>
      <c r="R10" s="78"/>
      <c r="S10" s="78"/>
      <c r="T10" s="28"/>
      <c r="U10"/>
      <c r="X10" s="4"/>
      <c r="Y10" s="4"/>
    </row>
    <row r="11" spans="1:25" x14ac:dyDescent="0.2">
      <c r="A11" t="s">
        <v>682</v>
      </c>
      <c r="B11" t="s">
        <v>806</v>
      </c>
      <c r="C11" s="28">
        <v>63.18</v>
      </c>
      <c r="D11" t="s">
        <v>807</v>
      </c>
      <c r="E11" t="s">
        <v>808</v>
      </c>
      <c r="F11" s="28">
        <f ca="1">apuestas_jun24[[#This Row],[Apuesta Miniporra]]-$B$3</f>
        <v>7.1000000000000014</v>
      </c>
      <c r="G11" s="68">
        <f ca="1">ABS(apuestas_jun24[[#This Row],[desvio]])/$B$3</f>
        <v>0.12660485021398005</v>
      </c>
      <c r="H11" s="4">
        <f ca="1">_xlfn.RANK.EQ(apuestas_jun24[[#This Row],[desvio %]],apuestas_jun24[desvio %],1)</f>
        <v>25</v>
      </c>
      <c r="J11" s="66" t="s">
        <v>682</v>
      </c>
      <c r="K11" s="10">
        <f ca="1">INDEX(apuestas_jun24[orden],MATCH(resultados_jun[Apuesta MiniPorra],apuestas_jun24[Apuesta Miniporra],0))</f>
        <v>25</v>
      </c>
      <c r="L11" s="6" t="str">
        <f>apuestas_jun24[[#This Row],[Nombre]]</f>
        <v>Jorge González Arconada</v>
      </c>
      <c r="M11" s="14">
        <f>apuestas_jun24[[#This Row],[Apuesta Miniporra]]</f>
        <v>63.18</v>
      </c>
      <c r="N11" s="14">
        <f ca="1">INDEX(apuestas_jun24[desvio],MATCH(resultados_jun[[#This Row],[Apuesta MiniPorra]],apuestas_jun24[Apuesta Miniporra],0))</f>
        <v>7.1000000000000014</v>
      </c>
      <c r="O11" s="13">
        <f ca="1">INDEX(apuestas_jun24[desvio %],MATCH(resultados_jun[[#This Row],[Apuesta MiniPorra]],apuestas_jun24[Apuesta Miniporra],0))</f>
        <v>0.12660485021398005</v>
      </c>
      <c r="P11" s="4">
        <v>5</v>
      </c>
      <c r="Q11" s="28">
        <f>IF(ISBLANK(omie!S9),"",omie!T9)</f>
        <v>93.26</v>
      </c>
      <c r="R11" s="78"/>
      <c r="S11" s="78"/>
      <c r="T11" s="28"/>
      <c r="U11"/>
    </row>
    <row r="12" spans="1:25" x14ac:dyDescent="0.2">
      <c r="A12" t="s">
        <v>682</v>
      </c>
      <c r="B12" t="s">
        <v>786</v>
      </c>
      <c r="C12" s="28">
        <v>60.31</v>
      </c>
      <c r="D12" t="s">
        <v>727</v>
      </c>
      <c r="E12" t="s">
        <v>728</v>
      </c>
      <c r="F12" s="28">
        <f ca="1">apuestas_jun24[[#This Row],[Apuesta Miniporra]]-$B$3</f>
        <v>4.230000000000004</v>
      </c>
      <c r="G12" s="68">
        <f ca="1">ABS(apuestas_jun24[[#This Row],[desvio]])/$B$3</f>
        <v>7.5427960057061413E-2</v>
      </c>
      <c r="H12" s="4">
        <f ca="1">_xlfn.RANK.EQ(apuestas_jun24[[#This Row],[desvio %]],apuestas_jun24[desvio %],1)</f>
        <v>20</v>
      </c>
      <c r="J12" s="66" t="s">
        <v>682</v>
      </c>
      <c r="K12" s="10">
        <f ca="1">INDEX(apuestas_jun24[orden],MATCH(resultados_jun[Apuesta MiniPorra],apuestas_jun24[Apuesta Miniporra],0))</f>
        <v>20</v>
      </c>
      <c r="L12" s="6" t="str">
        <f>apuestas_jun24[[#This Row],[Nombre]]</f>
        <v>Paco Cuadrado</v>
      </c>
      <c r="M12" s="14">
        <f>apuestas_jun24[[#This Row],[Apuesta Miniporra]]</f>
        <v>60.31</v>
      </c>
      <c r="N12" s="14">
        <f ca="1">INDEX(apuestas_jun24[desvio],MATCH(resultados_jun[[#This Row],[Apuesta MiniPorra]],apuestas_jun24[Apuesta Miniporra],0))</f>
        <v>4.230000000000004</v>
      </c>
      <c r="O12" s="13">
        <f ca="1">INDEX(apuestas_jun24[desvio %],MATCH(resultados_jun[[#This Row],[Apuesta MiniPorra]],apuestas_jun24[Apuesta Miniporra],0))</f>
        <v>7.5427960057061413E-2</v>
      </c>
      <c r="P12" s="4">
        <v>6</v>
      </c>
      <c r="Q12" s="28">
        <f>IF(ISBLANK(omie!S10),"",omie!T10)</f>
        <v>93.42</v>
      </c>
      <c r="R12" s="78"/>
      <c r="S12" s="78"/>
      <c r="T12" s="28"/>
      <c r="U12"/>
    </row>
    <row r="13" spans="1:25" x14ac:dyDescent="0.2">
      <c r="A13" t="s">
        <v>682</v>
      </c>
      <c r="B13" t="s">
        <v>403</v>
      </c>
      <c r="C13" s="28">
        <v>60.1</v>
      </c>
      <c r="D13" t="s">
        <v>766</v>
      </c>
      <c r="E13" t="s">
        <v>67</v>
      </c>
      <c r="F13" s="28">
        <f ca="1">apuestas_jun24[[#This Row],[Apuesta Miniporra]]-$B$3</f>
        <v>4.0200000000000031</v>
      </c>
      <c r="G13" s="68">
        <f ca="1">ABS(apuestas_jun24[[#This Row],[desvio]])/$B$3</f>
        <v>7.168330955777466E-2</v>
      </c>
      <c r="H13" s="4">
        <f ca="1">_xlfn.RANK.EQ(apuestas_jun24[[#This Row],[desvio %]],apuestas_jun24[desvio %],1)</f>
        <v>19</v>
      </c>
      <c r="J13" s="66" t="s">
        <v>682</v>
      </c>
      <c r="K13" s="10">
        <f ca="1">INDEX(apuestas_jun24[orden],MATCH(resultados_jun[Apuesta MiniPorra],apuestas_jun24[Apuesta Miniporra],0))</f>
        <v>19</v>
      </c>
      <c r="L13" s="6" t="str">
        <f>apuestas_jun24[[#This Row],[Nombre]]</f>
        <v>Luis Angel Garzon Velasco</v>
      </c>
      <c r="M13" s="14">
        <f>apuestas_jun24[[#This Row],[Apuesta Miniporra]]</f>
        <v>60.1</v>
      </c>
      <c r="N13" s="14">
        <f ca="1">INDEX(apuestas_jun24[desvio],MATCH(resultados_jun[[#This Row],[Apuesta MiniPorra]],apuestas_jun24[Apuesta Miniporra],0))</f>
        <v>4.0200000000000031</v>
      </c>
      <c r="O13" s="13">
        <f ca="1">INDEX(apuestas_jun24[desvio %],MATCH(resultados_jun[[#This Row],[Apuesta MiniPorra]],apuestas_jun24[Apuesta Miniporra],0))</f>
        <v>7.168330955777466E-2</v>
      </c>
      <c r="P13" s="4">
        <v>7</v>
      </c>
      <c r="Q13" s="28">
        <f>IF(ISBLANK(omie!S11),"",omie!T11)</f>
        <v>79.13</v>
      </c>
      <c r="R13" s="78"/>
      <c r="S13" s="78"/>
      <c r="T13" s="28"/>
      <c r="U13"/>
    </row>
    <row r="14" spans="1:25" x14ac:dyDescent="0.2">
      <c r="A14" t="s">
        <v>682</v>
      </c>
      <c r="B14" t="s">
        <v>328</v>
      </c>
      <c r="C14" s="28">
        <v>59</v>
      </c>
      <c r="D14" t="s">
        <v>118</v>
      </c>
      <c r="E14" t="s">
        <v>328</v>
      </c>
      <c r="F14" s="28">
        <f ca="1">apuestas_jun24[[#This Row],[Apuesta Miniporra]]-$B$3</f>
        <v>2.9200000000000017</v>
      </c>
      <c r="G14" s="68">
        <f ca="1">ABS(apuestas_jun24[[#This Row],[desvio]])/$B$3</f>
        <v>5.2068473609129848E-2</v>
      </c>
      <c r="H14" s="4">
        <f ca="1">_xlfn.RANK.EQ(apuestas_jun24[[#This Row],[desvio %]],apuestas_jun24[desvio %],1)</f>
        <v>15</v>
      </c>
      <c r="J14" s="66" t="s">
        <v>682</v>
      </c>
      <c r="K14" s="10">
        <f ca="1">INDEX(apuestas_jun24[orden],MATCH(resultados_jun[Apuesta MiniPorra],apuestas_jun24[Apuesta Miniporra],0))</f>
        <v>15</v>
      </c>
      <c r="L14" s="6" t="str">
        <f>apuestas_jun24[[#This Row],[Nombre]]</f>
        <v>Aitor Folch</v>
      </c>
      <c r="M14" s="14">
        <f>apuestas_jun24[[#This Row],[Apuesta Miniporra]]</f>
        <v>59</v>
      </c>
      <c r="N14" s="14">
        <f ca="1">INDEX(apuestas_jun24[desvio],MATCH(resultados_jun[[#This Row],[Apuesta MiniPorra]],apuestas_jun24[Apuesta Miniporra],0))</f>
        <v>2.9200000000000017</v>
      </c>
      <c r="O14" s="13">
        <f ca="1">INDEX(apuestas_jun24[desvio %],MATCH(resultados_jun[[#This Row],[Apuesta MiniPorra]],apuestas_jun24[Apuesta Miniporra],0))</f>
        <v>5.2068473609129848E-2</v>
      </c>
      <c r="P14" s="4">
        <v>8</v>
      </c>
      <c r="Q14" s="28">
        <f>IF(ISBLANK(omie!S12),"",omie!T12)</f>
        <v>71.42</v>
      </c>
      <c r="R14" s="78"/>
      <c r="S14" s="78"/>
      <c r="T14" s="28"/>
      <c r="U14"/>
    </row>
    <row r="15" spans="1:25" x14ac:dyDescent="0.2">
      <c r="A15" t="s">
        <v>682</v>
      </c>
      <c r="B15" t="s">
        <v>219</v>
      </c>
      <c r="C15" s="28">
        <v>58.88</v>
      </c>
      <c r="D15" t="s">
        <v>118</v>
      </c>
      <c r="E15" t="s">
        <v>142</v>
      </c>
      <c r="F15" s="28">
        <f ca="1">apuestas_jun24[[#This Row],[Apuesta Miniporra]]-$B$3</f>
        <v>2.8000000000000043</v>
      </c>
      <c r="G15" s="68">
        <f ca="1">ABS(apuestas_jun24[[#This Row],[desvio]])/$B$3</f>
        <v>4.992867332382319E-2</v>
      </c>
      <c r="H15" s="4">
        <f ca="1">_xlfn.RANK.EQ(apuestas_jun24[[#This Row],[desvio %]],apuestas_jun24[desvio %],1)</f>
        <v>12</v>
      </c>
      <c r="J15" s="66" t="s">
        <v>682</v>
      </c>
      <c r="K15" s="10">
        <f ca="1">INDEX(apuestas_jun24[orden],MATCH(resultados_jun[Apuesta MiniPorra],apuestas_jun24[Apuesta Miniporra],0))</f>
        <v>12</v>
      </c>
      <c r="L15" s="6" t="str">
        <f>apuestas_jun24[[#This Row],[Nombre]]</f>
        <v>Jaime Larrañaga Juez</v>
      </c>
      <c r="M15" s="14">
        <f>apuestas_jun24[[#This Row],[Apuesta Miniporra]]</f>
        <v>58.88</v>
      </c>
      <c r="N15" s="14">
        <f ca="1">INDEX(apuestas_jun24[desvio],MATCH(resultados_jun[[#This Row],[Apuesta MiniPorra]],apuestas_jun24[Apuesta Miniporra],0))</f>
        <v>2.8000000000000043</v>
      </c>
      <c r="O15" s="13">
        <f ca="1">INDEX(apuestas_jun24[desvio %],MATCH(resultados_jun[[#This Row],[Apuesta MiniPorra]],apuestas_jun24[Apuesta Miniporra],0))</f>
        <v>4.992867332382319E-2</v>
      </c>
      <c r="P15" s="4">
        <v>9</v>
      </c>
      <c r="Q15" s="28">
        <f>IF(ISBLANK(omie!S13),"",omie!T13)</f>
        <v>16.43</v>
      </c>
      <c r="R15" s="78"/>
      <c r="S15" s="78"/>
      <c r="T15" s="28"/>
      <c r="U15"/>
    </row>
    <row r="16" spans="1:25" x14ac:dyDescent="0.2">
      <c r="A16" t="s">
        <v>682</v>
      </c>
      <c r="B16" t="s">
        <v>791</v>
      </c>
      <c r="C16" s="28">
        <v>56.3</v>
      </c>
      <c r="D16" t="s">
        <v>118</v>
      </c>
      <c r="E16" t="s">
        <v>754</v>
      </c>
      <c r="F16" s="28">
        <f ca="1">apuestas_jun24[[#This Row],[Apuesta Miniporra]]-$B$3</f>
        <v>0.21999999999999886</v>
      </c>
      <c r="G16" s="68">
        <f ca="1">ABS(apuestas_jun24[[#This Row],[desvio]])/$B$3</f>
        <v>3.9229671897289386E-3</v>
      </c>
      <c r="H16" s="4">
        <f ca="1">_xlfn.RANK.EQ(apuestas_jun24[[#This Row],[desvio %]],apuestas_jun24[desvio %],1)</f>
        <v>2</v>
      </c>
      <c r="J16" s="66" t="s">
        <v>682</v>
      </c>
      <c r="K16" s="10">
        <f ca="1">INDEX(apuestas_jun24[orden],MATCH(resultados_jun[Apuesta MiniPorra],apuestas_jun24[Apuesta Miniporra],0))</f>
        <v>2</v>
      </c>
      <c r="L16" s="6" t="str">
        <f>apuestas_jun24[[#This Row],[Nombre]]</f>
        <v>Javier Lazaro</v>
      </c>
      <c r="M16" s="14">
        <f>apuestas_jun24[[#This Row],[Apuesta Miniporra]]</f>
        <v>56.3</v>
      </c>
      <c r="N16" s="14">
        <f ca="1">INDEX(apuestas_jun24[desvio],MATCH(resultados_jun[[#This Row],[Apuesta MiniPorra]],apuestas_jun24[Apuesta Miniporra],0))</f>
        <v>0.21999999999999886</v>
      </c>
      <c r="O16" s="13">
        <f ca="1">INDEX(apuestas_jun24[desvio %],MATCH(resultados_jun[[#This Row],[Apuesta MiniPorra]],apuestas_jun24[Apuesta Miniporra],0))</f>
        <v>3.9229671897289386E-3</v>
      </c>
      <c r="P16" s="4">
        <v>10</v>
      </c>
      <c r="Q16" s="28">
        <f>IF(ISBLANK(omie!S14),"",omie!T14)</f>
        <v>44.61</v>
      </c>
      <c r="R16" s="78"/>
      <c r="S16" s="78"/>
      <c r="T16" s="28"/>
      <c r="U16"/>
    </row>
    <row r="17" spans="1:23" x14ac:dyDescent="0.2">
      <c r="A17" t="s">
        <v>682</v>
      </c>
      <c r="B17" t="s">
        <v>793</v>
      </c>
      <c r="C17" s="28">
        <v>56.2</v>
      </c>
      <c r="D17" t="s">
        <v>118</v>
      </c>
      <c r="E17" t="s">
        <v>776</v>
      </c>
      <c r="F17" s="28">
        <f ca="1">apuestas_jun24[[#This Row],[Apuesta Miniporra]]-$B$3</f>
        <v>0.12000000000000455</v>
      </c>
      <c r="G17" s="68">
        <f ca="1">ABS(apuestas_jun24[[#This Row],[desvio]])/$B$3</f>
        <v>2.1398002853067859E-3</v>
      </c>
      <c r="H17" s="4">
        <f ca="1">_xlfn.RANK.EQ(apuestas_jun24[[#This Row],[desvio %]],apuestas_jun24[desvio %],1)</f>
        <v>1</v>
      </c>
      <c r="J17" s="66" t="s">
        <v>682</v>
      </c>
      <c r="K17" s="10">
        <f ca="1">INDEX(apuestas_jun24[orden],MATCH(resultados_jun[Apuesta MiniPorra],apuestas_jun24[Apuesta Miniporra],0))</f>
        <v>1</v>
      </c>
      <c r="L17" s="6" t="str">
        <f>apuestas_jun24[[#This Row],[Nombre]]</f>
        <v>Paco Luis Pérez Zarco</v>
      </c>
      <c r="M17" s="14">
        <f>apuestas_jun24[[#This Row],[Apuesta Miniporra]]</f>
        <v>56.2</v>
      </c>
      <c r="N17" s="14">
        <f ca="1">INDEX(apuestas_jun24[desvio],MATCH(resultados_jun[[#This Row],[Apuesta MiniPorra]],apuestas_jun24[Apuesta Miniporra],0))</f>
        <v>0.12000000000000455</v>
      </c>
      <c r="O17" s="13">
        <f ca="1">INDEX(apuestas_jun24[desvio %],MATCH(resultados_jun[[#This Row],[Apuesta MiniPorra]],apuestas_jun24[Apuesta Miniporra],0))</f>
        <v>2.1398002853067859E-3</v>
      </c>
      <c r="P17" s="4">
        <v>11</v>
      </c>
      <c r="Q17" s="28">
        <f>IF(ISBLANK(omie!S15),"",omie!T15)</f>
        <v>65.48</v>
      </c>
      <c r="R17" s="78"/>
      <c r="S17" s="78"/>
      <c r="T17" s="28"/>
      <c r="U17"/>
    </row>
    <row r="18" spans="1:23" x14ac:dyDescent="0.2">
      <c r="A18" t="s">
        <v>682</v>
      </c>
      <c r="B18" t="s">
        <v>215</v>
      </c>
      <c r="C18" s="28">
        <v>55.55</v>
      </c>
      <c r="D18" t="s">
        <v>118</v>
      </c>
      <c r="E18" t="s">
        <v>103</v>
      </c>
      <c r="F18" s="28">
        <f ca="1">apuestas_jun24[[#This Row],[Apuesta Miniporra]]-$B$3</f>
        <v>-0.53000000000000114</v>
      </c>
      <c r="G18" s="68">
        <f ca="1">ABS(apuestas_jun24[[#This Row],[desvio]])/$B$3</f>
        <v>9.4507845934379657E-3</v>
      </c>
      <c r="H18" s="4">
        <f ca="1">_xlfn.RANK.EQ(apuestas_jun24[[#This Row],[desvio %]],apuestas_jun24[desvio %],1)</f>
        <v>3</v>
      </c>
      <c r="J18" s="66" t="s">
        <v>682</v>
      </c>
      <c r="K18" s="10">
        <f ca="1">INDEX(apuestas_jun24[orden],MATCH(resultados_jun[Apuesta MiniPorra],apuestas_jun24[Apuesta Miniporra],0))</f>
        <v>3</v>
      </c>
      <c r="L18" s="6" t="str">
        <f>apuestas_jun24[[#This Row],[Nombre]]</f>
        <v>Carles Estruch Puig</v>
      </c>
      <c r="M18" s="14">
        <f>apuestas_jun24[[#This Row],[Apuesta Miniporra]]</f>
        <v>55.55</v>
      </c>
      <c r="N18" s="14">
        <f ca="1">INDEX(apuestas_jun24[desvio],MATCH(resultados_jun[[#This Row],[Apuesta MiniPorra]],apuestas_jun24[Apuesta Miniporra],0))</f>
        <v>-0.53000000000000114</v>
      </c>
      <c r="O18" s="13">
        <f ca="1">INDEX(apuestas_jun24[desvio %],MATCH(resultados_jun[[#This Row],[Apuesta MiniPorra]],apuestas_jun24[Apuesta Miniporra],0))</f>
        <v>9.4507845934379657E-3</v>
      </c>
      <c r="P18" s="4">
        <v>12</v>
      </c>
      <c r="Q18" s="28">
        <f>IF(ISBLANK(omie!S16),"",omie!T16)</f>
        <v>55.15</v>
      </c>
      <c r="R18" s="78"/>
      <c r="S18" s="78"/>
      <c r="T18" s="28"/>
      <c r="U18"/>
    </row>
    <row r="19" spans="1:23" x14ac:dyDescent="0.2">
      <c r="A19" t="s">
        <v>682</v>
      </c>
      <c r="B19" t="s">
        <v>653</v>
      </c>
      <c r="C19" s="28">
        <v>55.33</v>
      </c>
      <c r="D19" t="s">
        <v>118</v>
      </c>
      <c r="E19" t="s">
        <v>566</v>
      </c>
      <c r="F19" s="28">
        <f ca="1">apuestas_jun24[[#This Row],[Apuesta Miniporra]]-$B$3</f>
        <v>-0.75</v>
      </c>
      <c r="G19" s="68">
        <f ca="1">ABS(apuestas_jun24[[#This Row],[desvio]])/$B$3</f>
        <v>1.3373751783166904E-2</v>
      </c>
      <c r="H19" s="4">
        <f ca="1">_xlfn.RANK.EQ(apuestas_jun24[[#This Row],[desvio %]],apuestas_jun24[desvio %],1)</f>
        <v>4</v>
      </c>
      <c r="J19" s="66" t="s">
        <v>682</v>
      </c>
      <c r="K19" s="10">
        <f ca="1">INDEX(apuestas_jun24[orden],MATCH(resultados_jun[Apuesta MiniPorra],apuestas_jun24[Apuesta Miniporra],0))</f>
        <v>4</v>
      </c>
      <c r="L19" s="6" t="str">
        <f>apuestas_jun24[[#This Row],[Nombre]]</f>
        <v>Sergio Gallego Bolaños</v>
      </c>
      <c r="M19" s="14">
        <f>apuestas_jun24[[#This Row],[Apuesta Miniporra]]</f>
        <v>55.33</v>
      </c>
      <c r="N19" s="14">
        <f ca="1">INDEX(apuestas_jun24[desvio],MATCH(resultados_jun[[#This Row],[Apuesta MiniPorra]],apuestas_jun24[Apuesta Miniporra],0))</f>
        <v>-0.75</v>
      </c>
      <c r="O19" s="13">
        <f ca="1">INDEX(apuestas_jun24[desvio %],MATCH(resultados_jun[[#This Row],[Apuesta MiniPorra]],apuestas_jun24[Apuesta Miniporra],0))</f>
        <v>1.3373751783166904E-2</v>
      </c>
      <c r="P19" s="4">
        <v>13</v>
      </c>
      <c r="Q19" s="28">
        <f>IF(ISBLANK(omie!S17),"",omie!T17)</f>
        <v>65.22</v>
      </c>
      <c r="R19" s="71"/>
      <c r="S19" s="71"/>
      <c r="T19" s="28"/>
      <c r="U19"/>
    </row>
    <row r="20" spans="1:23" x14ac:dyDescent="0.2">
      <c r="A20" t="s">
        <v>682</v>
      </c>
      <c r="B20" t="s">
        <v>1039</v>
      </c>
      <c r="C20" s="28">
        <v>55.32</v>
      </c>
      <c r="D20" t="s">
        <v>771</v>
      </c>
      <c r="E20" t="s">
        <v>772</v>
      </c>
      <c r="F20" s="28">
        <f ca="1">apuestas_jun24[[#This Row],[Apuesta Miniporra]]-$B$3</f>
        <v>-0.75999999999999801</v>
      </c>
      <c r="G20" s="68">
        <f ca="1">ABS(apuestas_jun24[[#This Row],[desvio]])/$B$3</f>
        <v>1.3552068473609095E-2</v>
      </c>
      <c r="H20" s="4">
        <f ca="1">_xlfn.RANK.EQ(apuestas_jun24[[#This Row],[desvio %]],apuestas_jun24[desvio %],1)</f>
        <v>5</v>
      </c>
      <c r="J20" s="66" t="s">
        <v>682</v>
      </c>
      <c r="K20" s="10">
        <f ca="1">INDEX(apuestas_jun24[orden],MATCH(resultados_jun[Apuesta MiniPorra],apuestas_jun24[Apuesta Miniporra],0))</f>
        <v>5</v>
      </c>
      <c r="L20" s="6" t="str">
        <f>apuestas_jun24[[#This Row],[Nombre]]</f>
        <v>Ricardo Estévez Solís</v>
      </c>
      <c r="M20" s="14">
        <f>apuestas_jun24[[#This Row],[Apuesta Miniporra]]</f>
        <v>55.32</v>
      </c>
      <c r="N20" s="14">
        <f ca="1">INDEX(apuestas_jun24[desvio],MATCH(resultados_jun[[#This Row],[Apuesta MiniPorra]],apuestas_jun24[Apuesta Miniporra],0))</f>
        <v>-0.75999999999999801</v>
      </c>
      <c r="O20" s="13">
        <f ca="1">INDEX(apuestas_jun24[desvio %],MATCH(resultados_jun[[#This Row],[Apuesta MiniPorra]],apuestas_jun24[Apuesta Miniporra],0))</f>
        <v>1.3552068473609095E-2</v>
      </c>
      <c r="P20" s="4">
        <v>14</v>
      </c>
      <c r="Q20" s="28">
        <f>IF(ISBLANK(omie!S18),"",omie!T18)</f>
        <v>43.74</v>
      </c>
      <c r="T20" s="28"/>
      <c r="U20" s="109"/>
      <c r="V20" s="109"/>
      <c r="W20" s="109"/>
    </row>
    <row r="21" spans="1:23" x14ac:dyDescent="0.2">
      <c r="A21" t="s">
        <v>682</v>
      </c>
      <c r="B21" t="s">
        <v>794</v>
      </c>
      <c r="C21" s="28">
        <v>55.3</v>
      </c>
      <c r="D21" t="s">
        <v>118</v>
      </c>
      <c r="E21" t="s">
        <v>664</v>
      </c>
      <c r="F21" s="28">
        <f ca="1">apuestas_jun24[[#This Row],[Apuesta Miniporra]]-$B$3</f>
        <v>-0.78000000000000114</v>
      </c>
      <c r="G21" s="68">
        <f ca="1">ABS(apuestas_jun24[[#This Row],[desvio]])/$B$3</f>
        <v>1.3908701854493602E-2</v>
      </c>
      <c r="H21" s="4">
        <f ca="1">_xlfn.RANK.EQ(apuestas_jun24[[#This Row],[desvio %]],apuestas_jun24[desvio %],1)</f>
        <v>6</v>
      </c>
      <c r="J21" s="66" t="s">
        <v>682</v>
      </c>
      <c r="K21" s="10">
        <f ca="1">INDEX(apuestas_jun24[orden],MATCH(resultados_jun[Apuesta MiniPorra],apuestas_jun24[Apuesta Miniporra],0))</f>
        <v>6</v>
      </c>
      <c r="L21" s="6" t="str">
        <f>apuestas_jun24[[#This Row],[Nombre]]</f>
        <v>Gorka Arratibel Pastor</v>
      </c>
      <c r="M21" s="14">
        <f>apuestas_jun24[[#This Row],[Apuesta Miniporra]]</f>
        <v>55.3</v>
      </c>
      <c r="N21" s="14">
        <f ca="1">INDEX(apuestas_jun24[desvio],MATCH(resultados_jun[[#This Row],[Apuesta MiniPorra]],apuestas_jun24[Apuesta Miniporra],0))</f>
        <v>-0.78000000000000114</v>
      </c>
      <c r="O21" s="13">
        <f ca="1">INDEX(apuestas_jun24[desvio %],MATCH(resultados_jun[[#This Row],[Apuesta MiniPorra]],apuestas_jun24[Apuesta Miniporra],0))</f>
        <v>1.3908701854493602E-2</v>
      </c>
      <c r="P21" s="4">
        <v>15</v>
      </c>
      <c r="Q21" s="28">
        <f>IF(ISBLANK(omie!S19),"",omie!T19)</f>
        <v>19.690000000000001</v>
      </c>
      <c r="T21" s="28"/>
      <c r="U21" s="109"/>
      <c r="V21" s="109"/>
      <c r="W21" s="109"/>
    </row>
    <row r="22" spans="1:23" x14ac:dyDescent="0.2">
      <c r="A22" t="s">
        <v>682</v>
      </c>
      <c r="B22" t="s">
        <v>406</v>
      </c>
      <c r="C22" s="28">
        <v>55</v>
      </c>
      <c r="D22" t="s">
        <v>747</v>
      </c>
      <c r="E22" t="s">
        <v>271</v>
      </c>
      <c r="F22" s="28">
        <f ca="1">apuestas_jun24[[#This Row],[Apuesta Miniporra]]-$B$3</f>
        <v>-1.0799999999999983</v>
      </c>
      <c r="G22" s="68">
        <f ca="1">ABS(apuestas_jun24[[#This Row],[desvio]])/$B$3</f>
        <v>1.9258202567760313E-2</v>
      </c>
      <c r="H22" s="4">
        <f ca="1">_xlfn.RANK.EQ(apuestas_jun24[[#This Row],[desvio %]],apuestas_jun24[desvio %],1)</f>
        <v>7</v>
      </c>
      <c r="J22" s="66" t="s">
        <v>682</v>
      </c>
      <c r="K22" s="10">
        <f ca="1">INDEX(apuestas_jun24[orden],MATCH(resultados_jun[Apuesta MiniPorra],apuestas_jun24[Apuesta Miniporra],0))</f>
        <v>7</v>
      </c>
      <c r="L22" s="6" t="str">
        <f>apuestas_jun24[[#This Row],[Nombre]]</f>
        <v>Javier Pérez Salazar</v>
      </c>
      <c r="M22" s="14">
        <f>apuestas_jun24[[#This Row],[Apuesta Miniporra]]</f>
        <v>55</v>
      </c>
      <c r="N22" s="14">
        <f ca="1">INDEX(apuestas_jun24[desvio],MATCH(resultados_jun[[#This Row],[Apuesta MiniPorra]],apuestas_jun24[Apuesta Miniporra],0))</f>
        <v>-1.0799999999999983</v>
      </c>
      <c r="O22" s="13">
        <f ca="1">INDEX(apuestas_jun24[desvio %],MATCH(resultados_jun[[#This Row],[Apuesta MiniPorra]],apuestas_jun24[Apuesta Miniporra],0))</f>
        <v>1.9258202567760313E-2</v>
      </c>
      <c r="P22" s="4">
        <v>16</v>
      </c>
      <c r="Q22" s="28">
        <f>IF(ISBLANK(omie!S20),"",omie!T20)</f>
        <v>16.12</v>
      </c>
      <c r="T22" s="28"/>
      <c r="U22" s="109"/>
      <c r="V22" s="109"/>
      <c r="W22" s="109"/>
    </row>
    <row r="23" spans="1:23" x14ac:dyDescent="0.2">
      <c r="A23" t="s">
        <v>682</v>
      </c>
      <c r="B23" t="s">
        <v>401</v>
      </c>
      <c r="C23" s="28">
        <v>54.56</v>
      </c>
      <c r="D23" t="s">
        <v>118</v>
      </c>
      <c r="E23" t="s">
        <v>331</v>
      </c>
      <c r="F23" s="28">
        <f ca="1">apuestas_jun24[[#This Row],[Apuesta Miniporra]]-$B$3</f>
        <v>-1.519999999999996</v>
      </c>
      <c r="G23" s="68">
        <f ca="1">ABS(apuestas_jun24[[#This Row],[desvio]])/$B$3</f>
        <v>2.710413694721819E-2</v>
      </c>
      <c r="H23" s="4">
        <f ca="1">_xlfn.RANK.EQ(apuestas_jun24[[#This Row],[desvio %]],apuestas_jun24[desvio %],1)</f>
        <v>8</v>
      </c>
      <c r="J23" s="66" t="s">
        <v>682</v>
      </c>
      <c r="K23" s="10">
        <f ca="1">INDEX(apuestas_jun24[orden],MATCH(resultados_jun[Apuesta MiniPorra],apuestas_jun24[Apuesta Miniporra],0))</f>
        <v>8</v>
      </c>
      <c r="L23" s="6" t="str">
        <f>apuestas_jun24[[#This Row],[Nombre]]</f>
        <v>Juan Pedro Conejo Sanchez</v>
      </c>
      <c r="M23" s="14">
        <f>apuestas_jun24[[#This Row],[Apuesta Miniporra]]</f>
        <v>54.56</v>
      </c>
      <c r="N23" s="14">
        <f ca="1">INDEX(apuestas_jun24[desvio],MATCH(resultados_jun[[#This Row],[Apuesta MiniPorra]],apuestas_jun24[Apuesta Miniporra],0))</f>
        <v>-1.519999999999996</v>
      </c>
      <c r="O23" s="13">
        <f ca="1">INDEX(apuestas_jun24[desvio %],MATCH(resultados_jun[[#This Row],[Apuesta MiniPorra]],apuestas_jun24[Apuesta Miniporra],0))</f>
        <v>2.710413694721819E-2</v>
      </c>
      <c r="P23" s="4">
        <v>17</v>
      </c>
      <c r="Q23" s="28">
        <f>IF(ISBLANK(omie!S21),"",omie!T21)</f>
        <v>29.27</v>
      </c>
      <c r="T23" s="28"/>
      <c r="U23"/>
    </row>
    <row r="24" spans="1:23" x14ac:dyDescent="0.2">
      <c r="A24" t="s">
        <v>682</v>
      </c>
      <c r="B24" t="s">
        <v>412</v>
      </c>
      <c r="C24" s="28">
        <v>54.22</v>
      </c>
      <c r="D24" t="s">
        <v>118</v>
      </c>
      <c r="E24" t="s">
        <v>746</v>
      </c>
      <c r="F24" s="28">
        <f ca="1">apuestas_jun24[[#This Row],[Apuesta Miniporra]]-$B$3</f>
        <v>-1.8599999999999994</v>
      </c>
      <c r="G24" s="68">
        <f ca="1">ABS(apuestas_jun24[[#This Row],[desvio]])/$B$3</f>
        <v>3.3166904422253916E-2</v>
      </c>
      <c r="H24" s="4">
        <f ca="1">_xlfn.RANK.EQ(apuestas_jun24[[#This Row],[desvio %]],apuestas_jun24[desvio %],1)</f>
        <v>9</v>
      </c>
      <c r="J24" s="66" t="s">
        <v>682</v>
      </c>
      <c r="K24" s="10">
        <f ca="1">INDEX(apuestas_jun24[orden],MATCH(resultados_jun[Apuesta MiniPorra],apuestas_jun24[Apuesta Miniporra],0))</f>
        <v>9</v>
      </c>
      <c r="L24" s="6" t="str">
        <f>apuestas_jun24[[#This Row],[Nombre]]</f>
        <v>Jose Manuel Otero López</v>
      </c>
      <c r="M24" s="14">
        <f>apuestas_jun24[[#This Row],[Apuesta Miniporra]]</f>
        <v>54.22</v>
      </c>
      <c r="N24" s="14">
        <f ca="1">INDEX(apuestas_jun24[desvio],MATCH(resultados_jun[[#This Row],[Apuesta MiniPorra]],apuestas_jun24[Apuesta Miniporra],0))</f>
        <v>-1.8599999999999994</v>
      </c>
      <c r="O24" s="13">
        <f ca="1">INDEX(apuestas_jun24[desvio %],MATCH(resultados_jun[[#This Row],[Apuesta MiniPorra]],apuestas_jun24[Apuesta Miniporra],0))</f>
        <v>3.3166904422253916E-2</v>
      </c>
      <c r="P24" s="4">
        <v>18</v>
      </c>
      <c r="Q24" s="28">
        <f>IF(ISBLANK(omie!S22),"",omie!T22)</f>
        <v>56.71</v>
      </c>
      <c r="T24" s="28"/>
      <c r="U24"/>
    </row>
    <row r="25" spans="1:23" x14ac:dyDescent="0.2">
      <c r="A25" t="s">
        <v>682</v>
      </c>
      <c r="B25" t="s">
        <v>789</v>
      </c>
      <c r="C25" s="28">
        <v>53.41</v>
      </c>
      <c r="D25" t="s">
        <v>118</v>
      </c>
      <c r="E25" t="s">
        <v>203</v>
      </c>
      <c r="F25" s="28">
        <f ca="1">apuestas_jun24[[#This Row],[Apuesta Miniporra]]-$B$3</f>
        <v>-2.6700000000000017</v>
      </c>
      <c r="G25" s="68">
        <f ca="1">ABS(apuestas_jun24[[#This Row],[desvio]])/$B$3</f>
        <v>4.7610556348074214E-2</v>
      </c>
      <c r="H25" s="4">
        <f ca="1">_xlfn.RANK.EQ(apuestas_jun24[[#This Row],[desvio %]],apuestas_jun24[desvio %],1)</f>
        <v>10</v>
      </c>
      <c r="J25" s="66" t="s">
        <v>682</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-2.6700000000000017</v>
      </c>
      <c r="O25" s="13">
        <f ca="1">INDEX(apuestas_jun24[desvio %],MATCH(resultados_jun[[#This Row],[Apuesta MiniPorra]],apuestas_jun24[Apuesta Miniporra],0))</f>
        <v>4.7610556348074214E-2</v>
      </c>
      <c r="P25" s="4">
        <v>19</v>
      </c>
      <c r="Q25" s="28">
        <f>IF(ISBLANK(omie!S23),"",omie!T23)</f>
        <v>76.33</v>
      </c>
      <c r="T25" s="28"/>
      <c r="U25"/>
    </row>
    <row r="26" spans="1:23" x14ac:dyDescent="0.2">
      <c r="A26" t="s">
        <v>682</v>
      </c>
      <c r="B26" t="s">
        <v>790</v>
      </c>
      <c r="C26" s="28">
        <v>53.4</v>
      </c>
      <c r="D26" t="s">
        <v>118</v>
      </c>
      <c r="E26" t="s">
        <v>749</v>
      </c>
      <c r="F26" s="28">
        <f ca="1">apuestas_jun24[[#This Row],[Apuesta Miniporra]]-$B$3</f>
        <v>-2.6799999999999997</v>
      </c>
      <c r="G26" s="68">
        <f ca="1">ABS(apuestas_jun24[[#This Row],[desvio]])/$B$3</f>
        <v>4.7788873038516401E-2</v>
      </c>
      <c r="H26" s="4">
        <f ca="1">_xlfn.RANK.EQ(apuestas_jun24[[#This Row],[desvio %]],apuestas_jun24[desvio %],1)</f>
        <v>11</v>
      </c>
      <c r="J26" s="66" t="s">
        <v>682</v>
      </c>
      <c r="K26" s="10">
        <f ca="1">INDEX(apuestas_jun24[orden],MATCH(resultados_jun[Apuesta MiniPorra],apuestas_jun24[Apuesta Miniporra],0))</f>
        <v>11</v>
      </c>
      <c r="L26" s="6" t="str">
        <f>apuestas_jun24[[#This Row],[Nombre]]</f>
        <v>Gabino Jiménez-Castillo</v>
      </c>
      <c r="M26" s="14">
        <f>apuestas_jun24[[#This Row],[Apuesta Miniporra]]</f>
        <v>53.4</v>
      </c>
      <c r="N26" s="14">
        <f ca="1">INDEX(apuestas_jun24[desvio],MATCH(resultados_jun[[#This Row],[Apuesta MiniPorra]],apuestas_jun24[Apuesta Miniporra],0))</f>
        <v>-2.6799999999999997</v>
      </c>
      <c r="O26" s="13">
        <f ca="1">INDEX(apuestas_jun24[desvio %],MATCH(resultados_jun[[#This Row],[Apuesta MiniPorra]],apuestas_jun24[Apuesta Miniporra],0))</f>
        <v>4.7788873038516401E-2</v>
      </c>
      <c r="P26" s="4">
        <v>20</v>
      </c>
      <c r="Q26" s="28">
        <f>IF(ISBLANK(omie!S24),"",omie!T24)</f>
        <v>90.6</v>
      </c>
      <c r="T26" s="28"/>
      <c r="U26"/>
    </row>
    <row r="27" spans="1:23" x14ac:dyDescent="0.2">
      <c r="A27" t="s">
        <v>682</v>
      </c>
      <c r="B27" t="s">
        <v>335</v>
      </c>
      <c r="C27" s="28">
        <v>53.21</v>
      </c>
      <c r="D27" t="s">
        <v>758</v>
      </c>
      <c r="E27" t="s">
        <v>759</v>
      </c>
      <c r="F27" s="28">
        <f ca="1">apuestas_jun24[[#This Row],[Apuesta Miniporra]]-$B$3</f>
        <v>-2.8699999999999974</v>
      </c>
      <c r="G27" s="68">
        <f ca="1">ABS(apuestas_jun24[[#This Row],[desvio]])/$B$3</f>
        <v>5.117689015691864E-2</v>
      </c>
      <c r="H27" s="4">
        <f ca="1">_xlfn.RANK.EQ(apuestas_jun24[[#This Row],[desvio %]],apuestas_jun24[desvio %],1)</f>
        <v>13</v>
      </c>
      <c r="J27" s="66" t="s">
        <v>682</v>
      </c>
      <c r="K27" s="10">
        <f ca="1">INDEX(apuestas_jun24[orden],MATCH(resultados_jun[Apuesta MiniPorra],apuestas_jun24[Apuesta Miniporra],0))</f>
        <v>13</v>
      </c>
      <c r="L27" s="6" t="str">
        <f>apuestas_jun24[[#This Row],[Nombre]]</f>
        <v>Carlos Callejón</v>
      </c>
      <c r="M27" s="14">
        <f>apuestas_jun24[[#This Row],[Apuesta Miniporra]]</f>
        <v>53.21</v>
      </c>
      <c r="N27" s="14">
        <f ca="1">INDEX(apuestas_jun24[desvio],MATCH(resultados_jun[[#This Row],[Apuesta MiniPorra]],apuestas_jun24[Apuesta Miniporra],0))</f>
        <v>-2.8699999999999974</v>
      </c>
      <c r="O27" s="13">
        <f ca="1">INDEX(apuestas_jun24[desvio %],MATCH(resultados_jun[[#This Row],[Apuesta MiniPorra]],apuestas_jun24[Apuesta Miniporra],0))</f>
        <v>5.117689015691864E-2</v>
      </c>
      <c r="P27" s="4">
        <v>21</v>
      </c>
      <c r="Q27" s="28">
        <f>IF(ISBLANK(omie!S25),"",omie!T25)</f>
        <v>85.92</v>
      </c>
      <c r="T27" s="28"/>
      <c r="U27"/>
    </row>
    <row r="28" spans="1:23" x14ac:dyDescent="0.2">
      <c r="A28" t="s">
        <v>682</v>
      </c>
      <c r="B28" t="s">
        <v>414</v>
      </c>
      <c r="C28" s="28">
        <v>53.2</v>
      </c>
      <c r="D28" t="s">
        <v>118</v>
      </c>
      <c r="E28" t="s">
        <v>300</v>
      </c>
      <c r="F28" s="28">
        <f ca="1">apuestas_jun24[[#This Row],[Apuesta Miniporra]]-$B$3</f>
        <v>-2.8799999999999955</v>
      </c>
      <c r="G28" s="68">
        <f ca="1">ABS(apuestas_jun24[[#This Row],[desvio]])/$B$3</f>
        <v>5.1355206847360835E-2</v>
      </c>
      <c r="H28" s="4">
        <f ca="1">_xlfn.RANK.EQ(apuestas_jun24[[#This Row],[desvio %]],apuestas_jun24[desvio %],1)</f>
        <v>14</v>
      </c>
      <c r="J28" s="66" t="s">
        <v>682</v>
      </c>
      <c r="K28" s="10">
        <f ca="1">INDEX(apuestas_jun24[orden],MATCH(resultados_jun[Apuesta MiniPorra],apuestas_jun24[Apuesta Miniporra],0))</f>
        <v>14</v>
      </c>
      <c r="L28" s="6" t="str">
        <f>apuestas_jun24[[#This Row],[Nombre]]</f>
        <v>Laura Gómez López</v>
      </c>
      <c r="M28" s="14">
        <f>apuestas_jun24[[#This Row],[Apuesta Miniporra]]</f>
        <v>53.2</v>
      </c>
      <c r="N28" s="14">
        <f ca="1">INDEX(apuestas_jun24[desvio],MATCH(resultados_jun[[#This Row],[Apuesta MiniPorra]],apuestas_jun24[Apuesta Miniporra],0))</f>
        <v>-2.8799999999999955</v>
      </c>
      <c r="O28" s="13">
        <f ca="1">INDEX(apuestas_jun24[desvio %],MATCH(resultados_jun[[#This Row],[Apuesta MiniPorra]],apuestas_jun24[Apuesta Miniporra],0))</f>
        <v>5.1355206847360835E-2</v>
      </c>
      <c r="P28" s="4">
        <v>22</v>
      </c>
      <c r="Q28" s="28">
        <f>IF(ISBLANK(omie!S26),"",omie!T26)</f>
        <v>42.91</v>
      </c>
      <c r="T28" s="28"/>
      <c r="U28"/>
    </row>
    <row r="29" spans="1:23" x14ac:dyDescent="0.2">
      <c r="A29" t="s">
        <v>682</v>
      </c>
      <c r="B29" t="s">
        <v>381</v>
      </c>
      <c r="C29" s="28">
        <v>52.95</v>
      </c>
      <c r="D29" t="s">
        <v>695</v>
      </c>
      <c r="E29" t="s">
        <v>37</v>
      </c>
      <c r="F29" s="28">
        <f ca="1">apuestas_jun24[[#This Row],[Apuesta Miniporra]]-$B$3</f>
        <v>-3.1299999999999955</v>
      </c>
      <c r="G29" s="68">
        <f ca="1">ABS(apuestas_jun24[[#This Row],[desvio]])/$B$3</f>
        <v>5.5813124108416469E-2</v>
      </c>
      <c r="H29" s="4">
        <f ca="1">_xlfn.RANK.EQ(apuestas_jun24[[#This Row],[desvio %]],apuestas_jun24[desvio %],1)</f>
        <v>16</v>
      </c>
      <c r="J29" s="66" t="s">
        <v>682</v>
      </c>
      <c r="K29" s="10">
        <f ca="1">INDEX(apuestas_jun24[orden],MATCH(resultados_jun[Apuesta MiniPorra],apuestas_jun24[Apuesta Miniporra],0))</f>
        <v>16</v>
      </c>
      <c r="L29" s="6" t="str">
        <f>apuestas_jun24[[#This Row],[Nombre]]</f>
        <v>Roberto Cavero García</v>
      </c>
      <c r="M29" s="14">
        <f>apuestas_jun24[[#This Row],[Apuesta Miniporra]]</f>
        <v>52.95</v>
      </c>
      <c r="N29" s="14">
        <f ca="1">INDEX(apuestas_jun24[desvio],MATCH(resultados_jun[[#This Row],[Apuesta MiniPorra]],apuestas_jun24[Apuesta Miniporra],0))</f>
        <v>-3.1299999999999955</v>
      </c>
      <c r="O29" s="13">
        <f ca="1">INDEX(apuestas_jun24[desvio %],MATCH(resultados_jun[[#This Row],[Apuesta MiniPorra]],apuestas_jun24[Apuesta Miniporra],0))</f>
        <v>5.5813124108416469E-2</v>
      </c>
      <c r="P29" s="4">
        <v>23</v>
      </c>
      <c r="Q29" s="28">
        <f>IF(ISBLANK(omie!S27),"",omie!T27)</f>
        <v>26.76</v>
      </c>
      <c r="T29" s="28"/>
      <c r="U29"/>
    </row>
    <row r="30" spans="1:23" x14ac:dyDescent="0.2">
      <c r="A30" t="s">
        <v>682</v>
      </c>
      <c r="B30" t="s">
        <v>409</v>
      </c>
      <c r="C30" s="28">
        <v>52.5</v>
      </c>
      <c r="D30" t="s">
        <v>763</v>
      </c>
      <c r="E30" t="s">
        <v>462</v>
      </c>
      <c r="F30" s="28">
        <f ca="1">apuestas_jun24[[#This Row],[Apuesta Miniporra]]-$B$3</f>
        <v>-3.5799999999999983</v>
      </c>
      <c r="G30" s="68">
        <f ca="1">ABS(apuestas_jun24[[#This Row],[desvio]])/$B$3</f>
        <v>6.3837375178316669E-2</v>
      </c>
      <c r="H30" s="4">
        <f ca="1">_xlfn.RANK.EQ(apuestas_jun24[[#This Row],[desvio %]],apuestas_jun24[desvio %],1)</f>
        <v>17</v>
      </c>
      <c r="J30" s="66" t="s">
        <v>682</v>
      </c>
      <c r="K30" s="10">
        <f ca="1">INDEX(apuestas_jun24[orden],MATCH(resultados_jun[Apuesta MiniPorra],apuestas_jun24[Apuesta Miniporra],0))</f>
        <v>17</v>
      </c>
      <c r="L30" s="6" t="str">
        <f>apuestas_jun24[[#This Row],[Nombre]]</f>
        <v>Gladys Rocha Blanco</v>
      </c>
      <c r="M30" s="14">
        <f>apuestas_jun24[[#This Row],[Apuesta Miniporra]]</f>
        <v>52.5</v>
      </c>
      <c r="N30" s="14">
        <f ca="1">INDEX(apuestas_jun24[desvio],MATCH(resultados_jun[[#This Row],[Apuesta MiniPorra]],apuestas_jun24[Apuesta Miniporra],0))</f>
        <v>-3.5799999999999983</v>
      </c>
      <c r="O30" s="13">
        <f ca="1">INDEX(apuestas_jun24[desvio %],MATCH(resultados_jun[[#This Row],[Apuesta MiniPorra]],apuestas_jun24[Apuesta Miniporra],0))</f>
        <v>6.3837375178316669E-2</v>
      </c>
      <c r="P30" s="4">
        <v>24</v>
      </c>
      <c r="Q30" s="28">
        <f>IF(ISBLANK(omie!S28),"",omie!T28)</f>
        <v>41.15</v>
      </c>
      <c r="T30" s="28"/>
      <c r="U30"/>
    </row>
    <row r="31" spans="1:23" x14ac:dyDescent="0.2">
      <c r="A31" t="s">
        <v>682</v>
      </c>
      <c r="B31" t="s">
        <v>404</v>
      </c>
      <c r="C31" s="28">
        <v>52.24</v>
      </c>
      <c r="D31" t="s">
        <v>804</v>
      </c>
      <c r="E31" t="s">
        <v>805</v>
      </c>
      <c r="F31" s="28">
        <f ca="1">apuestas_jun24[[#This Row],[Apuesta Miniporra]]-$B$3</f>
        <v>-3.8399999999999963</v>
      </c>
      <c r="G31" s="68">
        <f ca="1">ABS(apuestas_jun24[[#This Row],[desvio]])/$B$3</f>
        <v>6.8473609129814483E-2</v>
      </c>
      <c r="H31" s="4">
        <f ca="1">_xlfn.RANK.EQ(apuestas_jun24[[#This Row],[desvio %]],apuestas_jun24[desvio %],1)</f>
        <v>18</v>
      </c>
      <c r="J31" s="66" t="s">
        <v>682</v>
      </c>
      <c r="K31" s="10">
        <f ca="1">INDEX(apuestas_jun24[orden],MATCH(resultados_jun[Apuesta MiniPorra],apuestas_jun24[Apuesta Miniporra],0))</f>
        <v>18</v>
      </c>
      <c r="L31" s="6" t="str">
        <f>apuestas_jun24[[#This Row],[Nombre]]</f>
        <v>Juan Luis Jarillo Gómez</v>
      </c>
      <c r="M31" s="14">
        <f>apuestas_jun24[[#This Row],[Apuesta Miniporra]]</f>
        <v>52.24</v>
      </c>
      <c r="N31" s="14">
        <f ca="1">INDEX(apuestas_jun24[desvio],MATCH(resultados_jun[[#This Row],[Apuesta MiniPorra]],apuestas_jun24[Apuesta Miniporra],0))</f>
        <v>-3.8399999999999963</v>
      </c>
      <c r="O31" s="13">
        <f ca="1">INDEX(apuestas_jun24[desvio %],MATCH(resultados_jun[[#This Row],[Apuesta MiniPorra]],apuestas_jun24[Apuesta Miniporra],0))</f>
        <v>6.8473609129814483E-2</v>
      </c>
      <c r="P31" s="4">
        <v>25</v>
      </c>
      <c r="Q31" s="28">
        <f>IF(ISBLANK(omie!S29),"",omie!T29)</f>
        <v>70.069999999999993</v>
      </c>
      <c r="T31" s="28"/>
      <c r="U31"/>
    </row>
    <row r="32" spans="1:23" ht="11.45" customHeight="1" x14ac:dyDescent="0.2">
      <c r="A32" t="s">
        <v>682</v>
      </c>
      <c r="B32" t="s">
        <v>652</v>
      </c>
      <c r="C32" s="28">
        <v>51.49</v>
      </c>
      <c r="D32" t="s">
        <v>118</v>
      </c>
      <c r="E32" t="s">
        <v>637</v>
      </c>
      <c r="F32" s="28">
        <f ca="1">apuestas_jun24[[#This Row],[Apuesta Miniporra]]-$B$3</f>
        <v>-4.5899999999999963</v>
      </c>
      <c r="G32" s="68">
        <f ca="1">ABS(apuestas_jun24[[#This Row],[desvio]])/$B$3</f>
        <v>8.1847360912981393E-2</v>
      </c>
      <c r="H32" s="4">
        <f ca="1">_xlfn.RANK.EQ(apuestas_jun24[[#This Row],[desvio %]],apuestas_jun24[desvio %],1)</f>
        <v>21</v>
      </c>
      <c r="J32" s="66" t="s">
        <v>682</v>
      </c>
      <c r="K32" s="10">
        <f ca="1">INDEX(apuestas_jun24[orden],MATCH(resultados_jun[Apuesta MiniPorra],apuestas_jun24[Apuesta Miniporra],0))</f>
        <v>21</v>
      </c>
      <c r="L32" s="6" t="str">
        <f>apuestas_jun24[[#This Row],[Nombre]]</f>
        <v>Carlos Martin</v>
      </c>
      <c r="M32" s="14">
        <f>apuestas_jun24[[#This Row],[Apuesta Miniporra]]</f>
        <v>51.49</v>
      </c>
      <c r="N32" s="14">
        <f ca="1">INDEX(apuestas_jun24[desvio],MATCH(resultados_jun[[#This Row],[Apuesta MiniPorra]],apuestas_jun24[Apuesta Miniporra],0))</f>
        <v>-4.5899999999999963</v>
      </c>
      <c r="O32" s="13">
        <f ca="1">INDEX(apuestas_jun24[desvio %],MATCH(resultados_jun[[#This Row],[Apuesta MiniPorra]],apuestas_jun24[Apuesta Miniporra],0))</f>
        <v>8.1847360912981393E-2</v>
      </c>
      <c r="P32" s="4">
        <v>26</v>
      </c>
      <c r="Q32" s="28">
        <f>IF(ISBLANK(omie!S30),"",omie!T30)</f>
        <v>97.17</v>
      </c>
      <c r="T32" s="28"/>
      <c r="U32"/>
    </row>
    <row r="33" spans="1:21" x14ac:dyDescent="0.2">
      <c r="A33" t="s">
        <v>682</v>
      </c>
      <c r="B33" t="s">
        <v>336</v>
      </c>
      <c r="C33" s="28">
        <v>51.4</v>
      </c>
      <c r="D33" t="s">
        <v>810</v>
      </c>
      <c r="E33" t="s">
        <v>2</v>
      </c>
      <c r="F33" s="28">
        <f ca="1">apuestas_jun24[[#This Row],[Apuesta Miniporra]]-$B$3</f>
        <v>-4.68</v>
      </c>
      <c r="G33" s="68">
        <f ca="1">ABS(apuestas_jun24[[#This Row],[desvio]])/$B$3</f>
        <v>8.3452211126961481E-2</v>
      </c>
      <c r="H33" s="4">
        <f ca="1">_xlfn.RANK.EQ(apuestas_jun24[[#This Row],[desvio %]],apuestas_jun24[desvio %],1)</f>
        <v>22</v>
      </c>
      <c r="J33" s="66" t="s">
        <v>682</v>
      </c>
      <c r="K33" s="10">
        <f ca="1">INDEX(apuestas_jun24[orden],MATCH(resultados_jun[Apuesta MiniPorra],apuestas_jun24[Apuesta Miniporra],0))</f>
        <v>22</v>
      </c>
      <c r="L33" s="6" t="str">
        <f>apuestas_jun24[[#This Row],[Nombre]]</f>
        <v>Javier Revuelta Alonso</v>
      </c>
      <c r="M33" s="14">
        <f>apuestas_jun24[[#This Row],[Apuesta Miniporra]]</f>
        <v>51.4</v>
      </c>
      <c r="N33" s="14">
        <f ca="1">INDEX(apuestas_jun24[desvio],MATCH(resultados_jun[[#This Row],[Apuesta MiniPorra]],apuestas_jun24[Apuesta Miniporra],0))</f>
        <v>-4.68</v>
      </c>
      <c r="O33" s="13">
        <f ca="1">INDEX(apuestas_jun24[desvio %],MATCH(resultados_jun[[#This Row],[Apuesta MiniPorra]],apuestas_jun24[Apuesta Miniporra],0))</f>
        <v>8.3452211126961481E-2</v>
      </c>
      <c r="P33" s="4">
        <v>27</v>
      </c>
      <c r="Q33" s="28">
        <f>IF(ISBLANK(omie!S31),"",omie!T31)</f>
        <v>89.1</v>
      </c>
      <c r="T33" s="28"/>
      <c r="U33"/>
    </row>
    <row r="34" spans="1:21" x14ac:dyDescent="0.2">
      <c r="A34" t="s">
        <v>682</v>
      </c>
      <c r="B34" t="s">
        <v>225</v>
      </c>
      <c r="C34" s="28">
        <v>50.8</v>
      </c>
      <c r="D34" t="s">
        <v>765</v>
      </c>
      <c r="E34" t="s">
        <v>199</v>
      </c>
      <c r="F34" s="28">
        <f ca="1">apuestas_jun24[[#This Row],[Apuesta Miniporra]]-$B$3</f>
        <v>-5.2800000000000011</v>
      </c>
      <c r="G34" s="68">
        <f ca="1">ABS(apuestas_jun24[[#This Row],[desvio]])/$B$3</f>
        <v>9.4151212553495026E-2</v>
      </c>
      <c r="H34" s="4">
        <f ca="1">_xlfn.RANK.EQ(apuestas_jun24[[#This Row],[desvio %]],apuestas_jun24[desvio %],1)</f>
        <v>23</v>
      </c>
      <c r="J34" s="66" t="s">
        <v>682</v>
      </c>
      <c r="K34" s="10">
        <f ca="1">INDEX(apuestas_jun24[orden],MATCH(resultados_jun[Apuesta MiniPorra],apuestas_jun24[Apuesta Miniporra],0))</f>
        <v>23</v>
      </c>
      <c r="L34" s="6" t="str">
        <f>apuestas_jun24[[#This Row],[Nombre]]</f>
        <v>Elena Muñoz Vioque</v>
      </c>
      <c r="M34" s="14">
        <f>apuestas_jun24[[#This Row],[Apuesta Miniporra]]</f>
        <v>50.8</v>
      </c>
      <c r="N34" s="14">
        <f ca="1">INDEX(apuestas_jun24[desvio],MATCH(resultados_jun[[#This Row],[Apuesta MiniPorra]],apuestas_jun24[Apuesta Miniporra],0))</f>
        <v>-5.2800000000000011</v>
      </c>
      <c r="O34" s="13">
        <f ca="1">INDEX(apuestas_jun24[desvio %],MATCH(resultados_jun[[#This Row],[Apuesta MiniPorra]],apuestas_jun24[Apuesta Miniporra],0))</f>
        <v>9.4151212553495026E-2</v>
      </c>
      <c r="P34" s="4">
        <v>28</v>
      </c>
      <c r="Q34" s="28">
        <f>IF(ISBLANK(omie!S32),"",omie!T32)</f>
        <v>82.04</v>
      </c>
      <c r="T34" s="28"/>
      <c r="U34"/>
    </row>
    <row r="35" spans="1:21" x14ac:dyDescent="0.2">
      <c r="A35" t="s">
        <v>682</v>
      </c>
      <c r="B35" t="s">
        <v>543</v>
      </c>
      <c r="C35" s="28">
        <v>49.29</v>
      </c>
      <c r="D35" t="s">
        <v>809</v>
      </c>
      <c r="E35" t="s">
        <v>351</v>
      </c>
      <c r="F35" s="28">
        <f ca="1">apuestas_jun24[[#This Row],[Apuesta Miniporra]]-$B$3</f>
        <v>-6.7899999999999991</v>
      </c>
      <c r="G35" s="68">
        <f ca="1">ABS(apuestas_jun24[[#This Row],[desvio]])/$B$3</f>
        <v>0.12107703281027103</v>
      </c>
      <c r="H35" s="4">
        <f ca="1">_xlfn.RANK.EQ(apuestas_jun24[[#This Row],[desvio %]],apuestas_jun24[desvio %],1)</f>
        <v>24</v>
      </c>
      <c r="J35" s="66" t="s">
        <v>682</v>
      </c>
      <c r="K35" s="10">
        <f ca="1">INDEX(apuestas_jun24[orden],MATCH(resultados_jun[Apuesta MiniPorra],apuestas_jun24[Apuesta Miniporra],0))</f>
        <v>24</v>
      </c>
      <c r="L35" s="6" t="str">
        <f>apuestas_jun24[[#This Row],[Nombre]]</f>
        <v>Roberto Parro Cortés</v>
      </c>
      <c r="M35" s="14">
        <f>apuestas_jun24[[#This Row],[Apuesta Miniporra]]</f>
        <v>49.29</v>
      </c>
      <c r="N35" s="14">
        <f ca="1">INDEX(apuestas_jun24[desvio],MATCH(resultados_jun[[#This Row],[Apuesta MiniPorra]],apuestas_jun24[Apuesta Miniporra],0))</f>
        <v>-6.7899999999999991</v>
      </c>
      <c r="O35" s="13">
        <f ca="1">INDEX(apuestas_jun24[desvio %],MATCH(resultados_jun[[#This Row],[Apuesta MiniPorra]],apuestas_jun24[Apuesta Miniporra],0))</f>
        <v>0.12107703281027103</v>
      </c>
      <c r="P35" s="4">
        <v>29</v>
      </c>
      <c r="Q35" s="28">
        <f>IF(ISBLANK(omie!S33),"",omie!T33)</f>
        <v>50.54</v>
      </c>
      <c r="T35" s="28"/>
      <c r="U35"/>
    </row>
    <row r="36" spans="1:21" x14ac:dyDescent="0.2">
      <c r="A36" t="s">
        <v>682</v>
      </c>
      <c r="B36" t="s">
        <v>364</v>
      </c>
      <c r="C36" s="28">
        <v>48.01</v>
      </c>
      <c r="D36" t="s">
        <v>118</v>
      </c>
      <c r="E36" t="s">
        <v>357</v>
      </c>
      <c r="F36" s="28">
        <f ca="1">apuestas_jun24[[#This Row],[Apuesta Miniporra]]-$B$3</f>
        <v>-8.07</v>
      </c>
      <c r="G36" s="68">
        <f ca="1">ABS(apuestas_jun24[[#This Row],[desvio]])/$B$3</f>
        <v>0.14390156918687591</v>
      </c>
      <c r="H36" s="4">
        <f ca="1">_xlfn.RANK.EQ(apuestas_jun24[[#This Row],[desvio %]],apuestas_jun24[desvio %],1)</f>
        <v>27</v>
      </c>
      <c r="J36" s="66" t="s">
        <v>682</v>
      </c>
      <c r="K36" s="4">
        <f ca="1">INDEX(apuestas_jun24[orden],MATCH(resultados_jun[Apuesta MiniPorra],apuestas_jun24[Apuesta Miniporra],0))</f>
        <v>27</v>
      </c>
      <c r="L36" s="63" t="str">
        <f>apuestas_jun24[[#This Row],[Nombre]]</f>
        <v>Marcos Fortea Escolano</v>
      </c>
      <c r="M36" s="28">
        <f>apuestas_jun24[[#This Row],[Apuesta Miniporra]]</f>
        <v>48.01</v>
      </c>
      <c r="N36" s="4">
        <f ca="1">INDEX(apuestas_jun24[desvio],MATCH(resultados_jun[[#This Row],[Apuesta MiniPorra]],apuestas_jun24[Apuesta Miniporra],0))</f>
        <v>-8.07</v>
      </c>
      <c r="O36" s="13">
        <f ca="1">INDEX(apuestas_jun24[desvio %],MATCH(resultados_jun[[#This Row],[Apuesta MiniPorra]],apuestas_jun24[Apuesta Miniporra],0))</f>
        <v>0.14390156918687591</v>
      </c>
      <c r="P36" s="4">
        <v>30</v>
      </c>
      <c r="Q36" s="28">
        <f>IF(ISBLANK(omie!S34),"",omie!T34)</f>
        <v>57.94</v>
      </c>
      <c r="T36"/>
      <c r="U36"/>
    </row>
    <row r="37" spans="1:21" x14ac:dyDescent="0.2">
      <c r="A37" t="s">
        <v>682</v>
      </c>
      <c r="B37" t="s">
        <v>222</v>
      </c>
      <c r="C37" s="28">
        <v>47.82</v>
      </c>
      <c r="D37" t="s">
        <v>801</v>
      </c>
      <c r="E37" t="s">
        <v>178</v>
      </c>
      <c r="F37" s="28">
        <f ca="1">apuestas_jun24[[#This Row],[Apuesta Miniporra]]-$B$3</f>
        <v>-8.259999999999998</v>
      </c>
      <c r="G37" s="68">
        <f ca="1">ABS(apuestas_jun24[[#This Row],[desvio]])/$B$3</f>
        <v>0.14728958630527814</v>
      </c>
      <c r="H37" s="4">
        <f ca="1">_xlfn.RANK.EQ(apuestas_jun24[[#This Row],[desvio %]],apuestas_jun24[desvio %],1)</f>
        <v>28</v>
      </c>
      <c r="J37" s="66" t="s">
        <v>682</v>
      </c>
      <c r="K37" s="4">
        <f ca="1">INDEX(apuestas_jun24[orden],MATCH(resultados_jun[Apuesta MiniPorra],apuestas_jun24[Apuesta Miniporra],0))</f>
        <v>28</v>
      </c>
      <c r="L37" s="63" t="str">
        <f>apuestas_jun24[[#This Row],[Nombre]]</f>
        <v>Jose F Vidal</v>
      </c>
      <c r="M37" s="28">
        <f>apuestas_jun24[[#This Row],[Apuesta Miniporra]]</f>
        <v>47.82</v>
      </c>
      <c r="N37" s="4">
        <f ca="1">INDEX(apuestas_jun24[desvio],MATCH(resultados_jun[[#This Row],[Apuesta MiniPorra]],apuestas_jun24[Apuesta Miniporra],0))</f>
        <v>-8.259999999999998</v>
      </c>
      <c r="O37" s="13">
        <f ca="1">INDEX(apuestas_jun24[desvio %],MATCH(resultados_jun[[#This Row],[Apuesta MiniPorra]],apuestas_jun24[Apuesta Miniporra],0))</f>
        <v>0.14728958630527814</v>
      </c>
      <c r="Q37" s="78"/>
      <c r="T37"/>
      <c r="U37"/>
    </row>
    <row r="38" spans="1:21" x14ac:dyDescent="0.2">
      <c r="A38" t="s">
        <v>682</v>
      </c>
      <c r="B38" t="s">
        <v>407</v>
      </c>
      <c r="C38" s="28">
        <v>46.66</v>
      </c>
      <c r="D38" t="s">
        <v>118</v>
      </c>
      <c r="E38" t="s">
        <v>151</v>
      </c>
      <c r="F38" s="28">
        <f ca="1">apuestas_jun24[[#This Row],[Apuesta Miniporra]]-$B$3</f>
        <v>-9.4200000000000017</v>
      </c>
      <c r="G38" s="68">
        <f ca="1">ABS(apuestas_jun24[[#This Row],[desvio]])/$B$3</f>
        <v>0.16797432239657636</v>
      </c>
      <c r="H38" s="4">
        <f ca="1">_xlfn.RANK.EQ(apuestas_jun24[[#This Row],[desvio %]],apuestas_jun24[desvio %],1)</f>
        <v>29</v>
      </c>
      <c r="J38" s="66" t="s">
        <v>682</v>
      </c>
      <c r="K38" s="4">
        <f ca="1">INDEX(apuestas_jun24[orden],MATCH(resultados_jun[Apuesta MiniPorra],apuestas_jun24[Apuesta Miniporra],0))</f>
        <v>29</v>
      </c>
      <c r="L38" s="63" t="str">
        <f>apuestas_jun24[[#This Row],[Nombre]]</f>
        <v>Vicente Fayos Gavila</v>
      </c>
      <c r="M38" s="28">
        <f>apuestas_jun24[[#This Row],[Apuesta Miniporra]]</f>
        <v>46.66</v>
      </c>
      <c r="N38" s="4">
        <f ca="1">INDEX(apuestas_jun24[desvio],MATCH(resultados_jun[[#This Row],[Apuesta MiniPorra]],apuestas_jun24[Apuesta Miniporra],0))</f>
        <v>-9.4200000000000017</v>
      </c>
      <c r="O38" s="13">
        <f ca="1">INDEX(apuestas_jun24[desvio %],MATCH(resultados_jun[[#This Row],[Apuesta MiniPorra]],apuestas_jun24[Apuesta Miniporra],0))</f>
        <v>0.16797432239657636</v>
      </c>
      <c r="P38" s="78"/>
      <c r="Q38" s="78"/>
      <c r="U38" s="42"/>
    </row>
    <row r="39" spans="1:21" x14ac:dyDescent="0.2">
      <c r="A39" t="s">
        <v>682</v>
      </c>
      <c r="B39" t="s">
        <v>242</v>
      </c>
      <c r="C39" s="28">
        <v>46.5</v>
      </c>
      <c r="D39" t="s">
        <v>712</v>
      </c>
      <c r="E39" t="s">
        <v>242</v>
      </c>
      <c r="F39" s="28">
        <f ca="1">apuestas_jun24[[#This Row],[Apuesta Miniporra]]-$B$3</f>
        <v>-9.5799999999999983</v>
      </c>
      <c r="G39" s="68">
        <f ca="1">ABS(apuestas_jun24[[#This Row],[desvio]])/$B$3</f>
        <v>0.17082738944365189</v>
      </c>
      <c r="H39" s="4">
        <f ca="1">_xlfn.RANK.EQ(apuestas_jun24[[#This Row],[desvio %]],apuestas_jun24[desvio %],1)</f>
        <v>30</v>
      </c>
      <c r="J39" s="66" t="s">
        <v>682</v>
      </c>
      <c r="K39" s="4">
        <f ca="1">INDEX(apuestas_jun24[orden],MATCH(resultados_jun[Apuesta MiniPorra],apuestas_jun24[Apuesta Miniporra],0))</f>
        <v>30</v>
      </c>
      <c r="L39" s="63" t="str">
        <f>apuestas_jun24[[#This Row],[Nombre]]</f>
        <v>Javier Espelta</v>
      </c>
      <c r="M39" s="28">
        <f>apuestas_jun24[[#This Row],[Apuesta Miniporra]]</f>
        <v>46.5</v>
      </c>
      <c r="N39" s="4">
        <f ca="1">INDEX(apuestas_jun24[desvio],MATCH(resultados_jun[[#This Row],[Apuesta MiniPorra]],apuestas_jun24[Apuesta Miniporra],0))</f>
        <v>-9.5799999999999983</v>
      </c>
      <c r="O39" s="13">
        <f ca="1">INDEX(apuestas_jun24[desvio %],MATCH(resultados_jun[[#This Row],[Apuesta MiniPorra]],apuestas_jun24[Apuesta Miniporra],0))</f>
        <v>0.17082738944365189</v>
      </c>
      <c r="P39" s="78"/>
      <c r="Q39" s="78"/>
      <c r="U39" s="42"/>
    </row>
    <row r="40" spans="1:21" x14ac:dyDescent="0.2">
      <c r="A40" t="s">
        <v>682</v>
      </c>
      <c r="B40" t="s">
        <v>542</v>
      </c>
      <c r="C40" s="28">
        <v>44.45</v>
      </c>
      <c r="D40" t="s">
        <v>716</v>
      </c>
      <c r="E40" t="s">
        <v>542</v>
      </c>
      <c r="F40" s="28">
        <f ca="1">apuestas_jun24[[#This Row],[Apuesta Miniporra]]-$B$3</f>
        <v>-11.629999999999995</v>
      </c>
      <c r="G40" s="68">
        <f ca="1">ABS(apuestas_jun24[[#This Row],[desvio]])/$B$3</f>
        <v>0.20738231098430807</v>
      </c>
      <c r="H40" s="4">
        <f ca="1">_xlfn.RANK.EQ(apuestas_jun24[[#This Row],[desvio %]],apuestas_jun24[desvio %],1)</f>
        <v>31</v>
      </c>
      <c r="J40" s="66" t="s">
        <v>682</v>
      </c>
      <c r="K40" s="4">
        <f ca="1">INDEX(apuestas_jun24[orden],MATCH(resultados_jun[Apuesta MiniPorra],apuestas_jun24[Apuesta Miniporra],0))</f>
        <v>31</v>
      </c>
      <c r="L40" s="63" t="str">
        <f>apuestas_jun24[[#This Row],[Nombre]]</f>
        <v>Sergio Alfonso</v>
      </c>
      <c r="M40" s="28">
        <f>apuestas_jun24[[#This Row],[Apuesta Miniporra]]</f>
        <v>44.45</v>
      </c>
      <c r="N40" s="4">
        <f ca="1">INDEX(apuestas_jun24[desvio],MATCH(resultados_jun[[#This Row],[Apuesta MiniPorra]],apuestas_jun24[Apuesta Miniporra],0))</f>
        <v>-11.629999999999995</v>
      </c>
      <c r="O40" s="13">
        <f ca="1">INDEX(apuestas_jun24[desvio %],MATCH(resultados_jun[[#This Row],[Apuesta MiniPorra]],apuestas_jun24[Apuesta Miniporra],0))</f>
        <v>0.20738231098430807</v>
      </c>
      <c r="P40" s="78"/>
      <c r="Q40" s="78"/>
      <c r="U40" s="42"/>
    </row>
    <row r="41" spans="1:21" x14ac:dyDescent="0.2">
      <c r="A41" t="s">
        <v>682</v>
      </c>
      <c r="B41" t="s">
        <v>337</v>
      </c>
      <c r="C41" s="28">
        <v>44.44</v>
      </c>
      <c r="D41" t="s">
        <v>729</v>
      </c>
      <c r="E41" t="s">
        <v>309</v>
      </c>
      <c r="F41" s="28">
        <f ca="1">apuestas_jun24[[#This Row],[Apuesta Miniporra]]-$B$3</f>
        <v>-11.64</v>
      </c>
      <c r="G41" s="68">
        <f ca="1">ABS(apuestas_jun24[[#This Row],[desvio]])/$B$3</f>
        <v>0.20756062767475036</v>
      </c>
      <c r="H41" s="4">
        <f ca="1">_xlfn.RANK.EQ(apuestas_jun24[[#This Row],[desvio %]],apuestas_jun24[desvio %],1)</f>
        <v>32</v>
      </c>
      <c r="J41" s="66" t="s">
        <v>682</v>
      </c>
      <c r="K41" s="4">
        <f ca="1">INDEX(apuestas_jun24[orden],MATCH(resultados_jun[Apuesta MiniPorra],apuestas_jun24[Apuesta Miniporra],0))</f>
        <v>32</v>
      </c>
      <c r="L41" s="63" t="str">
        <f>apuestas_jun24[[#This Row],[Nombre]]</f>
        <v>Francisco Valverde Sánchez</v>
      </c>
      <c r="M41" s="28">
        <f>apuestas_jun24[[#This Row],[Apuesta Miniporra]]</f>
        <v>44.44</v>
      </c>
      <c r="N41" s="4">
        <f ca="1">INDEX(apuestas_jun24[desvio],MATCH(resultados_jun[[#This Row],[Apuesta MiniPorra]],apuestas_jun24[Apuesta Miniporra],0))</f>
        <v>-11.64</v>
      </c>
      <c r="O41" s="13">
        <f ca="1">INDEX(apuestas_jun24[desvio %],MATCH(resultados_jun[[#This Row],[Apuesta MiniPorra]],apuestas_jun24[Apuesta Miniporra],0))</f>
        <v>0.20756062767475036</v>
      </c>
      <c r="P41" s="78"/>
      <c r="Q41" s="78"/>
      <c r="U41" s="42"/>
    </row>
    <row r="42" spans="1:21" x14ac:dyDescent="0.2">
      <c r="A42" t="s">
        <v>682</v>
      </c>
      <c r="B42" t="s">
        <v>292</v>
      </c>
      <c r="C42" s="28">
        <v>43.83</v>
      </c>
      <c r="D42" t="s">
        <v>118</v>
      </c>
      <c r="E42" t="s">
        <v>531</v>
      </c>
      <c r="F42" s="28">
        <f ca="1">apuestas_jun24[[#This Row],[Apuesta Miniporra]]-$B$3</f>
        <v>-12.25</v>
      </c>
      <c r="G42" s="68">
        <f ca="1">ABS(apuestas_jun24[[#This Row],[desvio]])/$B$3</f>
        <v>0.21843794579172612</v>
      </c>
      <c r="H42" s="4">
        <f ca="1">_xlfn.RANK.EQ(apuestas_jun24[[#This Row],[desvio %]],apuestas_jun24[desvio %],1)</f>
        <v>33</v>
      </c>
      <c r="J42" s="66" t="s">
        <v>682</v>
      </c>
      <c r="K42" s="4">
        <f ca="1">INDEX(apuestas_jun24[orden],MATCH(resultados_jun[Apuesta MiniPorra],apuestas_jun24[Apuesta Miniporra],0))</f>
        <v>33</v>
      </c>
      <c r="L42" t="str">
        <f>apuestas_jun24[[#This Row],[Nombre]]</f>
        <v>Oscar Mulas Crespo</v>
      </c>
      <c r="M42" s="28">
        <f>apuestas_jun24[[#This Row],[Apuesta Miniporra]]</f>
        <v>43.83</v>
      </c>
      <c r="N42" s="4">
        <f ca="1">INDEX(apuestas_jun24[desvio],MATCH(resultados_jun[[#This Row],[Apuesta MiniPorra]],apuestas_jun24[Apuesta Miniporra],0))</f>
        <v>-12.25</v>
      </c>
      <c r="O42" s="13">
        <f ca="1">INDEX(apuestas_jun24[desvio %],MATCH(resultados_jun[[#This Row],[Apuesta MiniPorra]],apuestas_jun24[Apuesta Miniporra],0))</f>
        <v>0.21843794579172612</v>
      </c>
      <c r="P42" s="78"/>
      <c r="Q42" s="78"/>
      <c r="U42" s="42"/>
    </row>
    <row r="43" spans="1:21" x14ac:dyDescent="0.2">
      <c r="A43" t="s">
        <v>682</v>
      </c>
      <c r="B43" t="s">
        <v>784</v>
      </c>
      <c r="C43" s="28">
        <v>43.73</v>
      </c>
      <c r="D43" t="s">
        <v>118</v>
      </c>
      <c r="E43" t="s">
        <v>710</v>
      </c>
      <c r="F43" s="28">
        <f ca="1">apuestas_jun24[[#This Row],[Apuesta Miniporra]]-$B$3</f>
        <v>-12.350000000000001</v>
      </c>
      <c r="G43" s="68">
        <f ca="1">ABS(apuestas_jun24[[#This Row],[desvio]])/$B$3</f>
        <v>0.22022111269614839</v>
      </c>
      <c r="H43" s="4">
        <f ca="1">_xlfn.RANK.EQ(apuestas_jun24[[#This Row],[desvio %]],apuestas_jun24[desvio %],1)</f>
        <v>34</v>
      </c>
      <c r="J43" s="66" t="s">
        <v>682</v>
      </c>
      <c r="K43" s="4">
        <f ca="1">INDEX(apuestas_jun24[orden],MATCH(resultados_jun[Apuesta MiniPorra],apuestas_jun24[Apuesta Miniporra],0))</f>
        <v>34</v>
      </c>
      <c r="L43" t="str">
        <f>apuestas_jun24[[#This Row],[Nombre]]</f>
        <v>Sergio García Sanz</v>
      </c>
      <c r="M43" s="28">
        <f>apuestas_jun24[[#This Row],[Apuesta Miniporra]]</f>
        <v>43.73</v>
      </c>
      <c r="N43" s="4">
        <f ca="1">INDEX(apuestas_jun24[desvio],MATCH(resultados_jun[[#This Row],[Apuesta MiniPorra]],apuestas_jun24[Apuesta Miniporra],0))</f>
        <v>-12.350000000000001</v>
      </c>
      <c r="O43" s="13">
        <f ca="1">INDEX(apuestas_jun24[desvio %],MATCH(resultados_jun[[#This Row],[Apuesta MiniPorra]],apuestas_jun24[Apuesta Miniporra],0))</f>
        <v>0.22022111269614839</v>
      </c>
      <c r="P43" s="78"/>
      <c r="Q43" s="78"/>
      <c r="U43" s="42"/>
    </row>
    <row r="44" spans="1:21" x14ac:dyDescent="0.2">
      <c r="A44" t="s">
        <v>682</v>
      </c>
      <c r="B44" t="s">
        <v>645</v>
      </c>
      <c r="C44" s="28">
        <v>43.71</v>
      </c>
      <c r="D44" t="s">
        <v>743</v>
      </c>
      <c r="E44" t="s">
        <v>581</v>
      </c>
      <c r="F44" s="28">
        <f ca="1">apuestas_jun24[[#This Row],[Apuesta Miniporra]]-$B$3</f>
        <v>-12.369999999999997</v>
      </c>
      <c r="G44" s="68">
        <f ca="1">ABS(apuestas_jun24[[#This Row],[desvio]])/$B$3</f>
        <v>0.22057774607703276</v>
      </c>
      <c r="H44" s="4">
        <f ca="1">_xlfn.RANK.EQ(apuestas_jun24[[#This Row],[desvio %]],apuestas_jun24[desvio %],1)</f>
        <v>35</v>
      </c>
      <c r="J44" s="66" t="s">
        <v>682</v>
      </c>
      <c r="K44" s="4">
        <f ca="1">INDEX(apuestas_jun24[orden],MATCH(resultados_jun[Apuesta MiniPorra],apuestas_jun24[Apuesta Miniporra],0))</f>
        <v>35</v>
      </c>
      <c r="L44" t="str">
        <f>apuestas_jun24[[#This Row],[Nombre]]</f>
        <v>Jose Antonio Quidiello Antuña</v>
      </c>
      <c r="M44" s="28">
        <f>apuestas_jun24[[#This Row],[Apuesta Miniporra]]</f>
        <v>43.71</v>
      </c>
      <c r="N44" s="4">
        <f ca="1">INDEX(apuestas_jun24[desvio],MATCH(resultados_jun[[#This Row],[Apuesta MiniPorra]],apuestas_jun24[Apuesta Miniporra],0))</f>
        <v>-12.369999999999997</v>
      </c>
      <c r="O44" s="13">
        <f ca="1">INDEX(apuestas_jun24[desvio %],MATCH(resultados_jun[[#This Row],[Apuesta MiniPorra]],apuestas_jun24[Apuesta Miniporra],0))</f>
        <v>0.22057774607703276</v>
      </c>
      <c r="P44" s="78"/>
      <c r="Q44" s="78"/>
      <c r="U44" s="42"/>
    </row>
    <row r="45" spans="1:21" x14ac:dyDescent="0.2">
      <c r="A45" t="s">
        <v>682</v>
      </c>
      <c r="B45" t="s">
        <v>780</v>
      </c>
      <c r="C45" s="28">
        <v>43.28</v>
      </c>
      <c r="D45" t="s">
        <v>688</v>
      </c>
      <c r="E45" t="s">
        <v>689</v>
      </c>
      <c r="F45" s="28">
        <f ca="1">apuestas_jun24[[#This Row],[Apuesta Miniporra]]-$B$3</f>
        <v>-12.799999999999997</v>
      </c>
      <c r="G45" s="68">
        <f ca="1">ABS(apuestas_jun24[[#This Row],[desvio]])/$B$3</f>
        <v>0.22824536376604845</v>
      </c>
      <c r="H45" s="4">
        <f ca="1">_xlfn.RANK.EQ(apuestas_jun24[[#This Row],[desvio %]],apuestas_jun24[desvio %],1)</f>
        <v>36</v>
      </c>
      <c r="J45" s="66" t="s">
        <v>682</v>
      </c>
      <c r="K45" s="4">
        <f ca="1">INDEX(apuestas_jun24[orden],MATCH(resultados_jun[Apuesta MiniPorra],apuestas_jun24[Apuesta Miniporra],0))</f>
        <v>36</v>
      </c>
      <c r="L45" t="str">
        <f>apuestas_jun24[[#This Row],[Nombre]]</f>
        <v>Javier Fernandez Maza</v>
      </c>
      <c r="M45" s="28">
        <f>apuestas_jun24[[#This Row],[Apuesta Miniporra]]</f>
        <v>43.28</v>
      </c>
      <c r="N45" s="4">
        <f ca="1">INDEX(apuestas_jun24[desvio],MATCH(resultados_jun[[#This Row],[Apuesta MiniPorra]],apuestas_jun24[Apuesta Miniporra],0))</f>
        <v>-12.799999999999997</v>
      </c>
      <c r="O45" s="13">
        <f ca="1">INDEX(apuestas_jun24[desvio %],MATCH(resultados_jun[[#This Row],[Apuesta MiniPorra]],apuestas_jun24[Apuesta Miniporra],0))</f>
        <v>0.22824536376604845</v>
      </c>
      <c r="P45" s="78"/>
      <c r="Q45" s="78"/>
      <c r="U45" s="42"/>
    </row>
    <row r="46" spans="1:21" x14ac:dyDescent="0.2">
      <c r="A46" t="s">
        <v>682</v>
      </c>
      <c r="B46" t="s">
        <v>399</v>
      </c>
      <c r="C46" s="28">
        <v>43.2</v>
      </c>
      <c r="D46" t="s">
        <v>700</v>
      </c>
      <c r="E46" t="s">
        <v>701</v>
      </c>
      <c r="F46" s="28">
        <f ca="1">apuestas_jun24[[#This Row],[Apuesta Miniporra]]-$B$3</f>
        <v>-12.879999999999995</v>
      </c>
      <c r="G46" s="68">
        <f ca="1">ABS(apuestas_jun24[[#This Row],[desvio]])/$B$3</f>
        <v>0.22967189728958623</v>
      </c>
      <c r="H46" s="4">
        <f ca="1">_xlfn.RANK.EQ(apuestas_jun24[[#This Row],[desvio %]],apuestas_jun24[desvio %],1)</f>
        <v>37</v>
      </c>
      <c r="J46" s="66" t="s">
        <v>682</v>
      </c>
      <c r="K46" s="4">
        <f ca="1">INDEX(apuestas_jun24[orden],MATCH(resultados_jun[Apuesta MiniPorra],apuestas_jun24[Apuesta Miniporra],0))</f>
        <v>37</v>
      </c>
      <c r="L46" t="str">
        <f>apuestas_jun24[[#This Row],[Nombre]]</f>
        <v>Sergio Lopez Oliver</v>
      </c>
      <c r="M46" s="28">
        <f>apuestas_jun24[[#This Row],[Apuesta Miniporra]]</f>
        <v>43.2</v>
      </c>
      <c r="N46" s="4">
        <f ca="1">INDEX(apuestas_jun24[desvio],MATCH(resultados_jun[[#This Row],[Apuesta MiniPorra]],apuestas_jun24[Apuesta Miniporra],0))</f>
        <v>-12.879999999999995</v>
      </c>
      <c r="O46" s="13">
        <f ca="1">INDEX(apuestas_jun24[desvio %],MATCH(resultados_jun[[#This Row],[Apuesta MiniPorra]],apuestas_jun24[Apuesta Miniporra],0))</f>
        <v>0.22967189728958623</v>
      </c>
      <c r="P46" s="78"/>
      <c r="Q46" s="78"/>
      <c r="U46" s="42"/>
    </row>
    <row r="47" spans="1:21" x14ac:dyDescent="0.2">
      <c r="A47" t="s">
        <v>682</v>
      </c>
      <c r="B47" t="s">
        <v>474</v>
      </c>
      <c r="C47" s="28">
        <v>42.25</v>
      </c>
      <c r="D47" t="s">
        <v>118</v>
      </c>
      <c r="E47" t="s">
        <v>535</v>
      </c>
      <c r="F47" s="28">
        <f ca="1">apuestas_jun24[[#This Row],[Apuesta Miniporra]]-$B$3</f>
        <v>-13.829999999999998</v>
      </c>
      <c r="G47" s="68">
        <f ca="1">ABS(apuestas_jun24[[#This Row],[desvio]])/$B$3</f>
        <v>0.24661198288159769</v>
      </c>
      <c r="H47" s="4">
        <f ca="1">_xlfn.RANK.EQ(apuestas_jun24[[#This Row],[desvio %]],apuestas_jun24[desvio %],1)</f>
        <v>39</v>
      </c>
      <c r="J47" s="66" t="s">
        <v>682</v>
      </c>
      <c r="K47" s="4">
        <f ca="1">INDEX(apuestas_jun24[orden],MATCH(resultados_jun[Apuesta MiniPorra],apuestas_jun24[Apuesta Miniporra],0))</f>
        <v>39</v>
      </c>
      <c r="L47" t="str">
        <f>apuestas_jun24[[#This Row],[Nombre]]</f>
        <v>Javier Colón Cortegoso</v>
      </c>
      <c r="M47" s="28">
        <f>apuestas_jun24[[#This Row],[Apuesta Miniporra]]</f>
        <v>42.25</v>
      </c>
      <c r="N47" s="4">
        <f ca="1">INDEX(apuestas_jun24[desvio],MATCH(resultados_jun[[#This Row],[Apuesta MiniPorra]],apuestas_jun24[Apuesta Miniporra],0))</f>
        <v>-13.829999999999998</v>
      </c>
      <c r="O47" s="13">
        <f ca="1">INDEX(apuestas_jun24[desvio %],MATCH(resultados_jun[[#This Row],[Apuesta MiniPorra]],apuestas_jun24[Apuesta Miniporra],0))</f>
        <v>0.24661198288159769</v>
      </c>
      <c r="P47" s="78"/>
      <c r="Q47" s="78"/>
      <c r="U47" s="42"/>
    </row>
    <row r="48" spans="1:21" x14ac:dyDescent="0.2">
      <c r="A48" t="s">
        <v>682</v>
      </c>
      <c r="B48" t="s">
        <v>362</v>
      </c>
      <c r="C48" s="28">
        <v>42.11</v>
      </c>
      <c r="D48" t="s">
        <v>118</v>
      </c>
      <c r="E48" t="s">
        <v>213</v>
      </c>
      <c r="F48" s="28">
        <f ca="1">apuestas_jun24[[#This Row],[Apuesta Miniporra]]-$B$3</f>
        <v>-13.969999999999999</v>
      </c>
      <c r="G48" s="68">
        <f ca="1">ABS(apuestas_jun24[[#This Row],[desvio]])/$B$3</f>
        <v>0.24910841654778887</v>
      </c>
      <c r="H48" s="4">
        <f ca="1">_xlfn.RANK.EQ(apuestas_jun24[[#This Row],[desvio %]],apuestas_jun24[desvio %],1)</f>
        <v>40</v>
      </c>
      <c r="J48" s="66" t="s">
        <v>682</v>
      </c>
      <c r="K48" s="4">
        <f ca="1">INDEX(apuestas_jun24[orden],MATCH(resultados_jun[Apuesta MiniPorra],apuestas_jun24[Apuesta Miniporra],0))</f>
        <v>40</v>
      </c>
      <c r="L48" t="str">
        <f>apuestas_jun24[[#This Row],[Nombre]]</f>
        <v>Inés Monroy</v>
      </c>
      <c r="M48" s="28">
        <f>apuestas_jun24[[#This Row],[Apuesta Miniporra]]</f>
        <v>42.11</v>
      </c>
      <c r="N48" s="4">
        <f ca="1">INDEX(apuestas_jun24[desvio],MATCH(resultados_jun[[#This Row],[Apuesta MiniPorra]],apuestas_jun24[Apuesta Miniporra],0))</f>
        <v>-13.969999999999999</v>
      </c>
      <c r="O48" s="13">
        <f ca="1">INDEX(apuestas_jun24[desvio %],MATCH(resultados_jun[[#This Row],[Apuesta MiniPorra]],apuestas_jun24[Apuesta Miniporra],0))</f>
        <v>0.24910841654778887</v>
      </c>
      <c r="P48" s="78"/>
      <c r="Q48" s="78"/>
      <c r="U48" s="42"/>
    </row>
    <row r="49" spans="1:21" x14ac:dyDescent="0.2">
      <c r="A49" t="s">
        <v>682</v>
      </c>
      <c r="B49" t="s">
        <v>363</v>
      </c>
      <c r="C49" s="28">
        <v>42.1</v>
      </c>
      <c r="D49" t="s">
        <v>118</v>
      </c>
      <c r="E49" t="s">
        <v>76</v>
      </c>
      <c r="F49" s="28">
        <f ca="1">apuestas_jun24[[#This Row],[Apuesta Miniporra]]-$B$3</f>
        <v>-13.979999999999997</v>
      </c>
      <c r="G49" s="68">
        <f ca="1">ABS(apuestas_jun24[[#This Row],[desvio]])/$B$3</f>
        <v>0.24928673323823106</v>
      </c>
      <c r="H49" s="4">
        <f ca="1">_xlfn.RANK.EQ(apuestas_jun24[[#This Row],[desvio %]],apuestas_jun24[desvio %],1)</f>
        <v>41</v>
      </c>
      <c r="J49" s="66" t="s">
        <v>682</v>
      </c>
      <c r="K49" s="4">
        <f ca="1">INDEX(apuestas_jun24[orden],MATCH(resultados_jun[Apuesta MiniPorra],apuestas_jun24[Apuesta Miniporra],0))</f>
        <v>41</v>
      </c>
      <c r="L49" t="str">
        <f>apuestas_jun24[[#This Row],[Nombre]]</f>
        <v>Roque Alonso Alonso</v>
      </c>
      <c r="M49" s="28">
        <f>apuestas_jun24[[#This Row],[Apuesta Miniporra]]</f>
        <v>42.1</v>
      </c>
      <c r="N49" s="4">
        <f ca="1">INDEX(apuestas_jun24[desvio],MATCH(resultados_jun[[#This Row],[Apuesta MiniPorra]],apuestas_jun24[Apuesta Miniporra],0))</f>
        <v>-13.979999999999997</v>
      </c>
      <c r="O49" s="71">
        <f ca="1">INDEX(apuestas_jun24[desvio %],MATCH(resultados_jun[[#This Row],[Apuesta MiniPorra]],apuestas_jun24[Apuesta Miniporra],0))</f>
        <v>0.24928673323823106</v>
      </c>
      <c r="P49" s="78"/>
      <c r="Q49" s="78"/>
      <c r="U49" s="42"/>
    </row>
    <row r="50" spans="1:21" x14ac:dyDescent="0.2">
      <c r="A50" t="s">
        <v>682</v>
      </c>
      <c r="B50" t="s">
        <v>408</v>
      </c>
      <c r="C50" s="28">
        <v>41.91</v>
      </c>
      <c r="D50" t="s">
        <v>685</v>
      </c>
      <c r="E50" t="s">
        <v>456</v>
      </c>
      <c r="F50" s="28">
        <f ca="1">apuestas_jun24[[#This Row],[Apuesta Miniporra]]-$B$3</f>
        <v>-14.170000000000002</v>
      </c>
      <c r="G50" s="68">
        <f ca="1">ABS(apuestas_jun24[[#This Row],[desvio]])/$B$3</f>
        <v>0.25267475035663339</v>
      </c>
      <c r="H50" s="4">
        <f ca="1">_xlfn.RANK.EQ(apuestas_jun24[[#This Row],[desvio %]],apuestas_jun24[desvio %],1)</f>
        <v>42</v>
      </c>
      <c r="J50" s="66" t="s">
        <v>682</v>
      </c>
      <c r="K50" s="4">
        <f ca="1">INDEX(apuestas_jun24[orden],MATCH(resultados_jun[Apuesta MiniPorra],apuestas_jun24[Apuesta Miniporra],0))</f>
        <v>42</v>
      </c>
      <c r="L50" t="str">
        <f>apuestas_jun24[[#This Row],[Nombre]]</f>
        <v>Julián Mateo Muñoz</v>
      </c>
      <c r="M50" s="28">
        <f>apuestas_jun24[[#This Row],[Apuesta Miniporra]]</f>
        <v>41.91</v>
      </c>
      <c r="N50" s="4">
        <f ca="1">INDEX(apuestas_jun24[desvio],MATCH(resultados_jun[[#This Row],[Apuesta MiniPorra]],apuestas_jun24[Apuesta Miniporra],0))</f>
        <v>-14.170000000000002</v>
      </c>
      <c r="O50" s="71">
        <f ca="1">INDEX(apuestas_jun24[desvio %],MATCH(resultados_jun[[#This Row],[Apuesta MiniPorra]],apuestas_jun24[Apuesta Miniporra],0))</f>
        <v>0.25267475035663339</v>
      </c>
      <c r="P50" s="78"/>
      <c r="Q50" s="78"/>
      <c r="U50" s="42"/>
    </row>
    <row r="51" spans="1:21" x14ac:dyDescent="0.2">
      <c r="A51" t="s">
        <v>682</v>
      </c>
      <c r="B51" t="s">
        <v>217</v>
      </c>
      <c r="C51" s="28">
        <v>39.93</v>
      </c>
      <c r="D51" t="s">
        <v>118</v>
      </c>
      <c r="E51" t="s">
        <v>123</v>
      </c>
      <c r="F51" s="28">
        <f ca="1">apuestas_jun24[[#This Row],[Apuesta Miniporra]]-$B$3</f>
        <v>-16.149999999999999</v>
      </c>
      <c r="G51" s="68">
        <f ca="1">ABS(apuestas_jun24[[#This Row],[desvio]])/$B$3</f>
        <v>0.28798145506419398</v>
      </c>
      <c r="H51" s="4">
        <f ca="1">_xlfn.RANK.EQ(apuestas_jun24[[#This Row],[desvio %]],apuestas_jun24[desvio %],1)</f>
        <v>43</v>
      </c>
      <c r="J51" s="66" t="s">
        <v>682</v>
      </c>
      <c r="K51" s="4">
        <f ca="1">INDEX(apuestas_jun24[orden],MATCH(resultados_jun[Apuesta MiniPorra],apuestas_jun24[Apuesta Miniporra],0))</f>
        <v>43</v>
      </c>
      <c r="L51" t="str">
        <f>apuestas_jun24[[#This Row],[Nombre]]</f>
        <v>Fernando Sánchez-Rey Maeso</v>
      </c>
      <c r="M51" s="28">
        <f>apuestas_jun24[[#This Row],[Apuesta Miniporra]]</f>
        <v>39.93</v>
      </c>
      <c r="N51" s="4">
        <f ca="1">INDEX(apuestas_jun24[desvio],MATCH(resultados_jun[[#This Row],[Apuesta MiniPorra]],apuestas_jun24[Apuesta Miniporra],0))</f>
        <v>-16.149999999999999</v>
      </c>
      <c r="O51" s="71">
        <f ca="1">INDEX(apuestas_jun24[desvio %],MATCH(resultados_jun[[#This Row],[Apuesta MiniPorra]],apuestas_jun24[Apuesta Miniporra],0))</f>
        <v>0.28798145506419398</v>
      </c>
      <c r="P51" s="78"/>
      <c r="Q51" s="78"/>
      <c r="U51" s="42"/>
    </row>
    <row r="52" spans="1:21" x14ac:dyDescent="0.2">
      <c r="A52" t="s">
        <v>682</v>
      </c>
      <c r="B52" t="s">
        <v>221</v>
      </c>
      <c r="C52" s="28">
        <v>39.590000000000003</v>
      </c>
      <c r="D52" t="s">
        <v>118</v>
      </c>
      <c r="E52" t="s">
        <v>124</v>
      </c>
      <c r="F52" s="28">
        <f ca="1">apuestas_jun24[[#This Row],[Apuesta Miniporra]]-$B$3</f>
        <v>-16.489999999999995</v>
      </c>
      <c r="G52" s="68">
        <f ca="1">ABS(apuestas_jun24[[#This Row],[desvio]])/$B$3</f>
        <v>0.29404422253922957</v>
      </c>
      <c r="H52" s="4">
        <f ca="1">_xlfn.RANK.EQ(apuestas_jun24[[#This Row],[desvio %]],apuestas_jun24[desvio %],1)</f>
        <v>44</v>
      </c>
      <c r="J52" s="66" t="s">
        <v>682</v>
      </c>
      <c r="K52" s="4">
        <f ca="1">INDEX(apuestas_jun24[orden],MATCH(resultados_jun[Apuesta MiniPorra],apuestas_jun24[Apuesta Miniporra],0))</f>
        <v>44</v>
      </c>
      <c r="L52" t="str">
        <f>apuestas_jun24[[#This Row],[Nombre]]</f>
        <v>Alfonso Lezcano</v>
      </c>
      <c r="M52" s="28">
        <f>apuestas_jun24[[#This Row],[Apuesta Miniporra]]</f>
        <v>39.590000000000003</v>
      </c>
      <c r="N52" s="4">
        <f ca="1">INDEX(apuestas_jun24[desvio],MATCH(resultados_jun[[#This Row],[Apuesta MiniPorra]],apuestas_jun24[Apuesta Miniporra],0))</f>
        <v>-16.489999999999995</v>
      </c>
      <c r="O52" s="71">
        <f ca="1">INDEX(apuestas_jun24[desvio %],MATCH(resultados_jun[[#This Row],[Apuesta MiniPorra]],apuestas_jun24[Apuesta Miniporra],0))</f>
        <v>0.29404422253922957</v>
      </c>
      <c r="P52" s="71"/>
      <c r="Q52" s="71"/>
      <c r="U52" s="42"/>
    </row>
    <row r="53" spans="1:21" x14ac:dyDescent="0.2">
      <c r="A53" t="s">
        <v>682</v>
      </c>
      <c r="B53" t="s">
        <v>651</v>
      </c>
      <c r="C53" s="28">
        <v>38.9</v>
      </c>
      <c r="D53" t="s">
        <v>118</v>
      </c>
      <c r="E53" t="s">
        <v>633</v>
      </c>
      <c r="F53" s="28">
        <f ca="1">apuestas_jun24[[#This Row],[Apuesta Miniporra]]-$B$3</f>
        <v>-17.18</v>
      </c>
      <c r="G53" s="68">
        <f ca="1">ABS(apuestas_jun24[[#This Row],[desvio]])/$B$3</f>
        <v>0.30634807417974325</v>
      </c>
      <c r="H53" s="4">
        <f ca="1">_xlfn.RANK.EQ(apuestas_jun24[[#This Row],[desvio %]],apuestas_jun24[desvio %],1)</f>
        <v>45</v>
      </c>
      <c r="J53" s="66" t="s">
        <v>682</v>
      </c>
      <c r="K53" s="4">
        <f ca="1">INDEX(apuestas_jun24[orden],MATCH(resultados_jun[Apuesta MiniPorra],apuestas_jun24[Apuesta Miniporra],0))</f>
        <v>45</v>
      </c>
      <c r="L53" t="str">
        <f>apuestas_jun24[[#This Row],[Nombre]]</f>
        <v>Carlos Martínez García</v>
      </c>
      <c r="M53" s="28">
        <f>apuestas_jun24[[#This Row],[Apuesta Miniporra]]</f>
        <v>38.9</v>
      </c>
      <c r="N53" s="4">
        <f ca="1">INDEX(apuestas_jun24[desvio],MATCH(resultados_jun[[#This Row],[Apuesta MiniPorra]],apuestas_jun24[Apuesta Miniporra],0))</f>
        <v>-17.18</v>
      </c>
      <c r="O53" s="71">
        <f ca="1">INDEX(apuestas_jun24[desvio %],MATCH(resultados_jun[[#This Row],[Apuesta MiniPorra]],apuestas_jun24[Apuesta Miniporra],0))</f>
        <v>0.30634807417974325</v>
      </c>
      <c r="U53" s="42"/>
    </row>
    <row r="54" spans="1:21" x14ac:dyDescent="0.2">
      <c r="A54" t="s">
        <v>682</v>
      </c>
      <c r="B54" t="s">
        <v>781</v>
      </c>
      <c r="C54" s="28">
        <v>38.5</v>
      </c>
      <c r="D54" t="s">
        <v>118</v>
      </c>
      <c r="E54" t="s">
        <v>693</v>
      </c>
      <c r="F54" s="28">
        <f ca="1">apuestas_jun24[[#This Row],[Apuesta Miniporra]]-$B$3</f>
        <v>-17.579999999999998</v>
      </c>
      <c r="G54" s="68">
        <f ca="1">ABS(apuestas_jun24[[#This Row],[desvio]])/$B$3</f>
        <v>0.31348074179743224</v>
      </c>
      <c r="H54" s="4">
        <f ca="1">_xlfn.RANK.EQ(apuestas_jun24[[#This Row],[desvio %]],apuestas_jun24[desvio %],1)</f>
        <v>46</v>
      </c>
      <c r="J54" s="66" t="s">
        <v>682</v>
      </c>
      <c r="K54" s="4">
        <f ca="1">INDEX(apuestas_jun24[orden],MATCH(resultados_jun[Apuesta MiniPorra],apuestas_jun24[Apuesta Miniporra],0))</f>
        <v>46</v>
      </c>
      <c r="L54" t="str">
        <f>apuestas_jun24[[#This Row],[Nombre]]</f>
        <v>Daniel Pérez Carrasco</v>
      </c>
      <c r="M54" s="28">
        <f>apuestas_jun24[[#This Row],[Apuesta Miniporra]]</f>
        <v>38.5</v>
      </c>
      <c r="N54" s="4">
        <f ca="1">INDEX(apuestas_jun24[desvio],MATCH(resultados_jun[[#This Row],[Apuesta MiniPorra]],apuestas_jun24[Apuesta Miniporra],0))</f>
        <v>-17.579999999999998</v>
      </c>
      <c r="O54" s="71">
        <f ca="1">INDEX(apuestas_jun24[desvio %],MATCH(resultados_jun[[#This Row],[Apuesta MiniPorra]],apuestas_jun24[Apuesta Miniporra],0))</f>
        <v>0.31348074179743224</v>
      </c>
      <c r="U54" s="42"/>
    </row>
    <row r="55" spans="1:21" x14ac:dyDescent="0.2">
      <c r="A55" t="s">
        <v>682</v>
      </c>
      <c r="B55" t="s">
        <v>785</v>
      </c>
      <c r="C55" s="28">
        <v>35.880000000000003</v>
      </c>
      <c r="D55" t="s">
        <v>118</v>
      </c>
      <c r="E55" t="s">
        <v>720</v>
      </c>
      <c r="F55" s="28">
        <f ca="1">apuestas_jun24[[#This Row],[Apuesta Miniporra]]-$B$3</f>
        <v>-20.199999999999996</v>
      </c>
      <c r="G55" s="68">
        <f ca="1">ABS(apuestas_jun24[[#This Row],[desvio]])/$B$3</f>
        <v>0.3601997146932952</v>
      </c>
      <c r="H55" s="4">
        <f ca="1">_xlfn.RANK.EQ(apuestas_jun24[[#This Row],[desvio %]],apuestas_jun24[desvio %],1)</f>
        <v>47</v>
      </c>
      <c r="J55" s="66" t="s">
        <v>682</v>
      </c>
      <c r="K55" s="4">
        <f ca="1">INDEX(apuestas_jun24[orden],MATCH(resultados_jun[Apuesta MiniPorra],apuestas_jun24[Apuesta Miniporra],0))</f>
        <v>47</v>
      </c>
      <c r="L55" t="str">
        <f>apuestas_jun24[[#This Row],[Nombre]]</f>
        <v>Ignacio Irigoyen</v>
      </c>
      <c r="M55" s="28">
        <f>apuestas_jun24[[#This Row],[Apuesta Miniporra]]</f>
        <v>35.880000000000003</v>
      </c>
      <c r="N55" s="4">
        <f ca="1">INDEX(apuestas_jun24[desvio],MATCH(resultados_jun[[#This Row],[Apuesta MiniPorra]],apuestas_jun24[Apuesta Miniporra],0))</f>
        <v>-20.199999999999996</v>
      </c>
      <c r="O55" s="71">
        <f ca="1">INDEX(apuestas_jun24[desvio %],MATCH(resultados_jun[[#This Row],[Apuesta MiniPorra]],apuestas_jun24[Apuesta Miniporra],0))</f>
        <v>0.3601997146932952</v>
      </c>
      <c r="U55" s="42"/>
    </row>
    <row r="56" spans="1:21" x14ac:dyDescent="0.2">
      <c r="A56" t="s">
        <v>682</v>
      </c>
      <c r="B56" t="s">
        <v>541</v>
      </c>
      <c r="C56" s="28">
        <v>35.15</v>
      </c>
      <c r="D56" t="s">
        <v>714</v>
      </c>
      <c r="E56" t="s">
        <v>525</v>
      </c>
      <c r="F56" s="28">
        <f ca="1">apuestas_jun24[[#This Row],[Apuesta Miniporra]]-$B$3</f>
        <v>-20.93</v>
      </c>
      <c r="G56" s="68">
        <f ca="1">ABS(apuestas_jun24[[#This Row],[desvio]])/$B$3</f>
        <v>0.37321683309557774</v>
      </c>
      <c r="H56" s="4">
        <f ca="1">_xlfn.RANK.EQ(apuestas_jun24[[#This Row],[desvio %]],apuestas_jun24[desvio %],1)</f>
        <v>48</v>
      </c>
      <c r="J56" s="66" t="s">
        <v>682</v>
      </c>
      <c r="K56" s="4">
        <f ca="1">INDEX(apuestas_jun24[orden],MATCH(resultados_jun[Apuesta MiniPorra],apuestas_jun24[Apuesta Miniporra],0))</f>
        <v>48</v>
      </c>
      <c r="L56" t="str">
        <f>apuestas_jun24[[#This Row],[Nombre]]</f>
        <v>Daniel Reganon</v>
      </c>
      <c r="M56" s="28">
        <f>apuestas_jun24[[#This Row],[Apuesta Miniporra]]</f>
        <v>35.15</v>
      </c>
      <c r="N56" s="4">
        <f ca="1">INDEX(apuestas_jun24[desvio],MATCH(resultados_jun[[#This Row],[Apuesta MiniPorra]],apuestas_jun24[Apuesta Miniporra],0))</f>
        <v>-20.93</v>
      </c>
      <c r="O56" s="71">
        <f ca="1">INDEX(apuestas_jun24[desvio %],MATCH(resultados_jun[[#This Row],[Apuesta MiniPorra]],apuestas_jun24[Apuesta Miniporra],0))</f>
        <v>0.37321683309557774</v>
      </c>
      <c r="U56" s="42"/>
    </row>
    <row r="57" spans="1:21" x14ac:dyDescent="0.2">
      <c r="A57" t="s">
        <v>682</v>
      </c>
      <c r="B57" t="s">
        <v>9</v>
      </c>
      <c r="C57" s="28">
        <v>35</v>
      </c>
      <c r="D57" t="s">
        <v>724</v>
      </c>
      <c r="E57" t="s">
        <v>124</v>
      </c>
      <c r="F57" s="28">
        <f ca="1">apuestas_jun24[[#This Row],[Apuesta Miniporra]]-$B$3</f>
        <v>-21.08</v>
      </c>
      <c r="G57" s="68">
        <f ca="1">ABS(apuestas_jun24[[#This Row],[desvio]])/$B$3</f>
        <v>0.37589158345221113</v>
      </c>
      <c r="H57" s="4">
        <f ca="1">_xlfn.RANK.EQ(apuestas_jun24[[#This Row],[desvio %]],apuestas_jun24[desvio %],1)</f>
        <v>49</v>
      </c>
      <c r="J57" s="66" t="s">
        <v>682</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-21.08</v>
      </c>
      <c r="O57" s="71">
        <f ca="1">INDEX(apuestas_jun24[desvio %],MATCH(resultados_jun[[#This Row],[Apuesta MiniPorra]],apuestas_jun24[Apuesta Miniporra],0))</f>
        <v>0.37589158345221113</v>
      </c>
      <c r="U57" s="42"/>
    </row>
    <row r="58" spans="1:21" x14ac:dyDescent="0.2">
      <c r="A58" t="s">
        <v>682</v>
      </c>
      <c r="B58" t="s">
        <v>783</v>
      </c>
      <c r="C58" s="28">
        <v>31.85</v>
      </c>
      <c r="D58" t="s">
        <v>706</v>
      </c>
      <c r="E58" t="s">
        <v>707</v>
      </c>
      <c r="F58" s="28">
        <f ca="1">apuestas_jun24[[#This Row],[Apuesta Miniporra]]-$B$3</f>
        <v>-24.229999999999997</v>
      </c>
      <c r="G58" s="68">
        <f ca="1">ABS(apuestas_jun24[[#This Row],[desvio]])/$B$3</f>
        <v>0.43206134094151211</v>
      </c>
      <c r="H58" s="4">
        <f ca="1">_xlfn.RANK.EQ(apuestas_jun24[[#This Row],[desvio %]],apuestas_jun24[desvio %],1)</f>
        <v>50</v>
      </c>
      <c r="J58" s="66" t="s">
        <v>682</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-24.229999999999997</v>
      </c>
      <c r="O58" s="71">
        <f ca="1">INDEX(apuestas_jun24[desvio %],MATCH(resultados_jun[[#This Row],[Apuesta MiniPorra]],apuestas_jun24[Apuesta Miniporra],0))</f>
        <v>0.43206134094151211</v>
      </c>
      <c r="U58" s="42"/>
    </row>
    <row r="59" spans="1:21" x14ac:dyDescent="0.2">
      <c r="A59" t="s">
        <v>682</v>
      </c>
      <c r="B59" t="s">
        <v>411</v>
      </c>
      <c r="C59" s="28">
        <v>29.45</v>
      </c>
      <c r="D59" t="s">
        <v>697</v>
      </c>
      <c r="E59" t="s">
        <v>698</v>
      </c>
      <c r="F59" s="28">
        <f ca="1">apuestas_jun24[[#This Row],[Apuesta Miniporra]]-$B$3</f>
        <v>-26.63</v>
      </c>
      <c r="G59" s="68">
        <f ca="1">ABS(apuestas_jun24[[#This Row],[desvio]])/$B$3</f>
        <v>0.47485734664764623</v>
      </c>
      <c r="H59" s="4">
        <f ca="1">_xlfn.RANK.EQ(apuestas_jun24[[#This Row],[desvio %]],apuestas_jun24[desvio %],1)</f>
        <v>51</v>
      </c>
      <c r="J59" s="66" t="s">
        <v>682</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-26.63</v>
      </c>
      <c r="O59" s="71">
        <f ca="1">INDEX(apuestas_jun24[desvio %],MATCH(resultados_jun[[#This Row],[Apuesta MiniPorra]],apuestas_jun24[Apuesta Miniporra],0))</f>
        <v>0.47485734664764623</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U20:W22"/>
    <mergeCell ref="K1:L5"/>
    <mergeCell ref="M1:M2"/>
    <mergeCell ref="N1:O2"/>
    <mergeCell ref="P1:Q2"/>
    <mergeCell ref="R1:T5"/>
    <mergeCell ref="Y1:Y5"/>
    <mergeCell ref="G3:H3"/>
    <mergeCell ref="M3:M5"/>
    <mergeCell ref="N3:O5"/>
    <mergeCell ref="P3:Q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60" priority="3">
      <formula>$K7=3</formula>
    </cfRule>
    <cfRule type="expression" dxfId="59" priority="4">
      <formula>$K7=2</formula>
    </cfRule>
    <cfRule type="expression" dxfId="58" priority="5">
      <formula>$K7=1</formula>
    </cfRule>
  </conditionalFormatting>
  <conditionalFormatting sqref="C7:C59">
    <cfRule type="duplicateValues" dxfId="57" priority="29"/>
  </conditionalFormatting>
  <conditionalFormatting sqref="B7:B59">
    <cfRule type="duplicateValues" dxfId="56" priority="31"/>
  </conditionalFormatting>
  <conditionalFormatting sqref="R8:S13 R17:S26">
    <cfRule type="expression" dxfId="55" priority="37">
      <formula>$K38=3</formula>
    </cfRule>
    <cfRule type="expression" dxfId="54" priority="38">
      <formula>$K38=2</formula>
    </cfRule>
    <cfRule type="expression" dxfId="53" priority="39">
      <formula>$K38=1</formula>
    </cfRule>
  </conditionalFormatting>
  <conditionalFormatting sqref="P38:Q59 Q37">
    <cfRule type="expression" dxfId="52" priority="60">
      <formula>$K34=3</formula>
    </cfRule>
    <cfRule type="expression" dxfId="51" priority="61">
      <formula>$K34=2</formula>
    </cfRule>
    <cfRule type="expression" dxfId="50"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EB95A-00BB-4A5E-AEA7-25E12FE2DF9D}">
  <sheetPr codeName="Hoja17">
    <tabColor rgb="FFC00000"/>
  </sheetPr>
  <dimension ref="A1:Y71"/>
  <sheetViews>
    <sheetView showGridLines="0" zoomScale="115" zoomScaleNormal="115" workbookViewId="0">
      <selection activeCell="B49" sqref="B49"/>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6.85546875" customWidth="1"/>
    <col min="11" max="11" width="9.42578125" customWidth="1"/>
    <col min="12" max="12" width="29.28515625" customWidth="1"/>
    <col min="16" max="16" width="9.28515625" style="4" customWidth="1"/>
    <col min="17"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COUNTA(apuestas_juL24[Mes de apuesta])</f>
        <v>52</v>
      </c>
      <c r="G1" s="15" t="s">
        <v>236</v>
      </c>
      <c r="H1" s="23">
        <v>31</v>
      </c>
      <c r="I1" s="29"/>
      <c r="K1" s="130" t="s">
        <v>546</v>
      </c>
      <c r="L1" s="131"/>
      <c r="M1" s="119" t="s">
        <v>3</v>
      </c>
      <c r="N1" s="125" t="s">
        <v>945</v>
      </c>
      <c r="O1" s="126"/>
      <c r="P1" s="123" t="s">
        <v>4</v>
      </c>
      <c r="Q1" s="124"/>
      <c r="R1" s="145" t="s">
        <v>946</v>
      </c>
      <c r="S1" s="146"/>
      <c r="T1" s="146"/>
      <c r="U1" s="79"/>
      <c r="Y1" s="109"/>
    </row>
    <row r="2" spans="1:25" ht="12" customHeight="1" x14ac:dyDescent="0.2">
      <c r="A2" t="s">
        <v>3</v>
      </c>
      <c r="B2" s="23" t="str">
        <f>A7</f>
        <v>Jul 2024</v>
      </c>
      <c r="C2" s="4" t="s">
        <v>243</v>
      </c>
      <c r="G2" s="15" t="s">
        <v>253</v>
      </c>
      <c r="H2" s="24">
        <f ca="1">TODAY()</f>
        <v>45509</v>
      </c>
      <c r="I2" s="29"/>
      <c r="K2" s="132"/>
      <c r="L2" s="133"/>
      <c r="M2" s="120"/>
      <c r="N2" s="127"/>
      <c r="O2" s="128"/>
      <c r="P2" s="123"/>
      <c r="Q2" s="124"/>
      <c r="R2" s="145"/>
      <c r="S2" s="146"/>
      <c r="T2" s="146"/>
      <c r="U2" s="79"/>
      <c r="Y2" s="109"/>
    </row>
    <row r="3" spans="1:25" ht="12" customHeight="1" x14ac:dyDescent="0.2">
      <c r="A3" t="s">
        <v>229</v>
      </c>
      <c r="B3" s="44">
        <f ca="1">IF(C3="",ROUND(AVERAGE(omie!W5:OFFSET(omie!W5,MATCH(B4,omie_julio[fecha],0)-1,0)),2),C3)</f>
        <v>72.31</v>
      </c>
      <c r="C3" s="65"/>
      <c r="G3" s="109" t="s">
        <v>248</v>
      </c>
      <c r="H3" s="109"/>
      <c r="I3" s="29"/>
      <c r="K3" s="132"/>
      <c r="L3" s="133"/>
      <c r="M3" s="121" t="s">
        <v>13</v>
      </c>
      <c r="N3" s="129">
        <f>H1</f>
        <v>31</v>
      </c>
      <c r="O3" s="129"/>
      <c r="P3" s="122">
        <f ca="1">B3</f>
        <v>72.31</v>
      </c>
      <c r="Q3" s="122"/>
      <c r="R3" s="145"/>
      <c r="S3" s="146"/>
      <c r="T3" s="146"/>
      <c r="U3" s="79"/>
      <c r="Y3" s="109"/>
    </row>
    <row r="4" spans="1:25" ht="12" customHeight="1" x14ac:dyDescent="0.2">
      <c r="A4" t="s">
        <v>6</v>
      </c>
      <c r="B4" s="3">
        <f>DATE(2024,7,H1)</f>
        <v>45504</v>
      </c>
      <c r="G4" t="s">
        <v>247</v>
      </c>
      <c r="H4" s="67">
        <f>[1]omie_dinamic_dia!$G$2</f>
        <v>5</v>
      </c>
      <c r="I4" s="29"/>
      <c r="K4" s="132"/>
      <c r="L4" s="133"/>
      <c r="M4" s="121"/>
      <c r="N4" s="129"/>
      <c r="O4" s="129"/>
      <c r="P4" s="122"/>
      <c r="Q4" s="122"/>
      <c r="R4" s="145"/>
      <c r="S4" s="146"/>
      <c r="T4" s="146"/>
      <c r="U4" s="79"/>
      <c r="Y4" s="109"/>
    </row>
    <row r="5" spans="1:25" ht="12" customHeight="1" x14ac:dyDescent="0.2">
      <c r="A5" t="s">
        <v>15</v>
      </c>
      <c r="B5" s="3">
        <f>MAX(omie_julio[fecha])</f>
        <v>45504</v>
      </c>
      <c r="I5" s="29"/>
      <c r="K5" s="134"/>
      <c r="L5" s="135"/>
      <c r="M5" s="121"/>
      <c r="N5" s="129"/>
      <c r="O5" s="129"/>
      <c r="P5" s="122"/>
      <c r="Q5" s="122"/>
      <c r="R5" s="145"/>
      <c r="S5" s="146"/>
      <c r="T5" s="146"/>
      <c r="U5" s="79"/>
      <c r="Y5" s="109"/>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820</v>
      </c>
      <c r="B7" t="s">
        <v>788</v>
      </c>
      <c r="C7" s="28">
        <v>79.41</v>
      </c>
      <c r="D7" t="s">
        <v>932</v>
      </c>
      <c r="E7" t="s">
        <v>740</v>
      </c>
      <c r="F7" s="28">
        <f ca="1">apuestas_juL24[[#This Row],[Apuesta Miniporra]]-$B$3</f>
        <v>7.0999999999999943</v>
      </c>
      <c r="G7" s="68">
        <f ca="1">ABS(apuestas_juL24[[#This Row],[desvio]])/$B$3</f>
        <v>9.8188355690775747E-2</v>
      </c>
      <c r="H7" s="4">
        <f ca="1">_xlfn.RANK.EQ(apuestas_juL24[[#This Row],[desvio %]],apuestas_juL24[desvio %],1)</f>
        <v>38</v>
      </c>
      <c r="J7" s="66" t="s">
        <v>820</v>
      </c>
      <c r="K7" s="10">
        <f ca="1">INDEX(apuestas_juL24[orden],MATCH(resultados_jul[Apuesta MiniPorra],apuestas_juL24[Apuesta Miniporra],0))</f>
        <v>38</v>
      </c>
      <c r="L7" s="6" t="str">
        <f>apuestas_juL24[[#This Row],[Nombre]]</f>
        <v>Jesús Aceituno López</v>
      </c>
      <c r="M7" s="14">
        <f>apuestas_juL24[[#This Row],[Apuesta Miniporra]]</f>
        <v>79.41</v>
      </c>
      <c r="N7" s="14">
        <f ca="1">INDEX(apuestas_juL24[desvio],MATCH(resultados_jul[[#This Row],[Apuesta MiniPorra]],apuestas_juL24[Apuesta Miniporra],0))</f>
        <v>7.0999999999999943</v>
      </c>
      <c r="O7" s="13">
        <f ca="1">INDEX(apuestas_juL24[desvio %],MATCH(resultados_jul[[#This Row],[Apuesta MiniPorra]],apuestas_juL24[Apuesta Miniporra],0))</f>
        <v>9.8188355690775747E-2</v>
      </c>
      <c r="P7" s="4">
        <v>1</v>
      </c>
      <c r="Q7" s="28">
        <f>IF(ISBLANK(omie!V5),"",omie!W5)</f>
        <v>53.22</v>
      </c>
      <c r="T7"/>
      <c r="U7"/>
      <c r="X7" s="4"/>
      <c r="Y7" s="4"/>
    </row>
    <row r="8" spans="1:25" x14ac:dyDescent="0.2">
      <c r="A8" t="s">
        <v>820</v>
      </c>
      <c r="B8" t="s">
        <v>947</v>
      </c>
      <c r="C8" s="28">
        <v>78.89</v>
      </c>
      <c r="D8" t="s">
        <v>905</v>
      </c>
      <c r="E8" t="s">
        <v>906</v>
      </c>
      <c r="F8" s="28">
        <f ca="1">apuestas_juL24[[#This Row],[Apuesta Miniporra]]-$B$3</f>
        <v>6.5799999999999983</v>
      </c>
      <c r="G8" s="68">
        <f ca="1">ABS(apuestas_juL24[[#This Row],[desvio]])/$B$3</f>
        <v>9.099709583736687E-2</v>
      </c>
      <c r="H8" s="4">
        <f ca="1">_xlfn.RANK.EQ(apuestas_juL24[[#This Row],[desvio %]],apuestas_juL24[desvio %],1)</f>
        <v>33</v>
      </c>
      <c r="J8" s="66" t="s">
        <v>820</v>
      </c>
      <c r="K8" s="10">
        <f ca="1">INDEX(apuestas_juL24[orden],MATCH(resultados_jul[Apuesta MiniPorra],apuestas_juL24[Apuesta Miniporra],0))</f>
        <v>33</v>
      </c>
      <c r="L8" s="6" t="str">
        <f>apuestas_juL24[[#This Row],[Nombre]]</f>
        <v>Rafael Tejada Bonilla</v>
      </c>
      <c r="M8" s="14">
        <f>apuestas_juL24[[#This Row],[Apuesta Miniporra]]</f>
        <v>78.89</v>
      </c>
      <c r="N8" s="14">
        <f ca="1">INDEX(apuestas_juL24[desvio],MATCH(resultados_jul[[#This Row],[Apuesta MiniPorra]],apuestas_juL24[Apuesta Miniporra],0))</f>
        <v>6.5799999999999983</v>
      </c>
      <c r="O8" s="13">
        <f ca="1">INDEX(apuestas_juL24[desvio %],MATCH(resultados_jul[[#This Row],[Apuesta MiniPorra]],apuestas_juL24[Apuesta Miniporra],0))</f>
        <v>9.099709583736687E-2</v>
      </c>
      <c r="P8" s="4">
        <v>2</v>
      </c>
      <c r="Q8" s="28">
        <f>IF(ISBLANK(omie!V6),"",omie!W6)</f>
        <v>46.97</v>
      </c>
      <c r="R8" s="78"/>
      <c r="S8" s="78"/>
      <c r="T8"/>
      <c r="U8"/>
      <c r="X8" s="4"/>
      <c r="Y8" s="4"/>
    </row>
    <row r="9" spans="1:25" x14ac:dyDescent="0.2">
      <c r="A9" t="s">
        <v>820</v>
      </c>
      <c r="B9" t="s">
        <v>787</v>
      </c>
      <c r="C9" s="28">
        <v>78.650000000000006</v>
      </c>
      <c r="D9" t="s">
        <v>118</v>
      </c>
      <c r="E9" t="s">
        <v>734</v>
      </c>
      <c r="F9" s="28">
        <f ca="1">apuestas_juL24[[#This Row],[Apuesta Miniporra]]-$B$3</f>
        <v>6.3400000000000034</v>
      </c>
      <c r="G9" s="68">
        <f ca="1">ABS(apuestas_juL24[[#This Row],[desvio]])/$B$3</f>
        <v>8.7678052828101274E-2</v>
      </c>
      <c r="H9" s="4">
        <f ca="1">_xlfn.RANK.EQ(apuestas_juL24[[#This Row],[desvio %]],apuestas_juL24[desvio %],1)</f>
        <v>32</v>
      </c>
      <c r="J9" s="66" t="s">
        <v>820</v>
      </c>
      <c r="K9" s="10">
        <f ca="1">INDEX(apuestas_juL24[orden],MATCH(resultados_jul[Apuesta MiniPorra],apuestas_juL24[Apuesta Miniporra],0))</f>
        <v>32</v>
      </c>
      <c r="L9" s="6" t="str">
        <f>apuestas_juL24[[#This Row],[Nombre]]</f>
        <v>Víctor Baeschlin Sánchez</v>
      </c>
      <c r="M9" s="14">
        <f>apuestas_juL24[[#This Row],[Apuesta Miniporra]]</f>
        <v>78.650000000000006</v>
      </c>
      <c r="N9" s="14">
        <f ca="1">INDEX(apuestas_juL24[desvio],MATCH(resultados_jul[[#This Row],[Apuesta MiniPorra]],apuestas_juL24[Apuesta Miniporra],0))</f>
        <v>6.3400000000000034</v>
      </c>
      <c r="O9" s="13">
        <f ca="1">INDEX(apuestas_juL24[desvio %],MATCH(resultados_jul[[#This Row],[Apuesta MiniPorra]],apuestas_juL24[Apuesta Miniporra],0))</f>
        <v>8.7678052828101274E-2</v>
      </c>
      <c r="P9" s="4">
        <v>3</v>
      </c>
      <c r="Q9" s="28">
        <f>IF(ISBLANK(omie!V7),"",omie!W7)</f>
        <v>61.71</v>
      </c>
      <c r="R9" s="78"/>
      <c r="S9" s="78"/>
      <c r="T9" s="28"/>
      <c r="U9"/>
      <c r="X9" s="4"/>
      <c r="Y9" s="4"/>
    </row>
    <row r="10" spans="1:25" x14ac:dyDescent="0.2">
      <c r="A10" t="s">
        <v>820</v>
      </c>
      <c r="B10" t="s">
        <v>328</v>
      </c>
      <c r="C10" s="28">
        <v>78.52</v>
      </c>
      <c r="D10" t="s">
        <v>118</v>
      </c>
      <c r="E10" t="s">
        <v>328</v>
      </c>
      <c r="F10" s="28">
        <f ca="1">apuestas_juL24[[#This Row],[Apuesta Miniporra]]-$B$3</f>
        <v>6.2099999999999937</v>
      </c>
      <c r="G10" s="68">
        <f ca="1">ABS(apuestas_juL24[[#This Row],[desvio]])/$B$3</f>
        <v>8.588023786474891E-2</v>
      </c>
      <c r="H10" s="4">
        <f ca="1">_xlfn.RANK.EQ(apuestas_juL24[[#This Row],[desvio %]],apuestas_juL24[desvio %],1)</f>
        <v>31</v>
      </c>
      <c r="J10" s="66" t="s">
        <v>820</v>
      </c>
      <c r="K10" s="10">
        <f ca="1">INDEX(apuestas_juL24[orden],MATCH(resultados_jul[Apuesta MiniPorra],apuestas_juL24[Apuesta Miniporra],0))</f>
        <v>31</v>
      </c>
      <c r="L10" s="6" t="str">
        <f>apuestas_juL24[[#This Row],[Nombre]]</f>
        <v>Aitor Folch</v>
      </c>
      <c r="M10" s="14">
        <f>apuestas_juL24[[#This Row],[Apuesta Miniporra]]</f>
        <v>78.52</v>
      </c>
      <c r="N10" s="14">
        <f ca="1">INDEX(apuestas_juL24[desvio],MATCH(resultados_jul[[#This Row],[Apuesta MiniPorra]],apuestas_juL24[Apuesta Miniporra],0))</f>
        <v>6.2099999999999937</v>
      </c>
      <c r="O10" s="13">
        <f ca="1">INDEX(apuestas_juL24[desvio %],MATCH(resultados_jul[[#This Row],[Apuesta MiniPorra]],apuestas_juL24[Apuesta Miniporra],0))</f>
        <v>8.588023786474891E-2</v>
      </c>
      <c r="P10" s="4">
        <v>4</v>
      </c>
      <c r="Q10" s="28">
        <f>IF(ISBLANK(omie!V8),"",omie!W8)</f>
        <v>51.85</v>
      </c>
      <c r="R10" s="78"/>
      <c r="S10" s="78"/>
      <c r="T10" s="28"/>
      <c r="U10"/>
      <c r="X10" s="4"/>
      <c r="Y10" s="4"/>
    </row>
    <row r="11" spans="1:25" x14ac:dyDescent="0.2">
      <c r="A11" t="s">
        <v>820</v>
      </c>
      <c r="B11" t="s">
        <v>413</v>
      </c>
      <c r="C11" s="28">
        <v>77.77</v>
      </c>
      <c r="D11" t="s">
        <v>118</v>
      </c>
      <c r="E11" t="s">
        <v>317</v>
      </c>
      <c r="F11" s="28">
        <f ca="1">apuestas_juL24[[#This Row],[Apuesta Miniporra]]-$B$3</f>
        <v>5.4599999999999937</v>
      </c>
      <c r="G11" s="68">
        <f ca="1">ABS(apuestas_juL24[[#This Row],[desvio]])/$B$3</f>
        <v>7.5508228460793719E-2</v>
      </c>
      <c r="H11" s="4">
        <f ca="1">_xlfn.RANK.EQ(apuestas_juL24[[#This Row],[desvio %]],apuestas_juL24[desvio %],1)</f>
        <v>27</v>
      </c>
      <c r="J11" s="66" t="s">
        <v>820</v>
      </c>
      <c r="K11" s="10">
        <f ca="1">INDEX(apuestas_juL24[orden],MATCH(resultados_jul[Apuesta MiniPorra],apuestas_juL24[Apuesta Miniporra],0))</f>
        <v>27</v>
      </c>
      <c r="L11" s="6" t="str">
        <f>apuestas_juL24[[#This Row],[Nombre]]</f>
        <v>Beatriz Muñoz Rioboo</v>
      </c>
      <c r="M11" s="14">
        <f>apuestas_juL24[[#This Row],[Apuesta Miniporra]]</f>
        <v>77.77</v>
      </c>
      <c r="N11" s="14">
        <f ca="1">INDEX(apuestas_juL24[desvio],MATCH(resultados_jul[[#This Row],[Apuesta MiniPorra]],apuestas_juL24[Apuesta Miniporra],0))</f>
        <v>5.4599999999999937</v>
      </c>
      <c r="O11" s="13">
        <f ca="1">INDEX(apuestas_juL24[desvio %],MATCH(resultados_jul[[#This Row],[Apuesta MiniPorra]],apuestas_juL24[Apuesta Miniporra],0))</f>
        <v>7.5508228460793719E-2</v>
      </c>
      <c r="P11" s="4">
        <v>5</v>
      </c>
      <c r="Q11" s="28">
        <f>IF(ISBLANK(omie!V9),"",omie!W9)</f>
        <v>59.88</v>
      </c>
      <c r="R11" s="78"/>
      <c r="S11" s="78"/>
      <c r="T11" s="28"/>
      <c r="U11"/>
    </row>
    <row r="12" spans="1:25" x14ac:dyDescent="0.2">
      <c r="A12" t="s">
        <v>820</v>
      </c>
      <c r="B12" t="s">
        <v>218</v>
      </c>
      <c r="C12" s="28">
        <v>77.7</v>
      </c>
      <c r="D12" t="s">
        <v>118</v>
      </c>
      <c r="E12" t="s">
        <v>464</v>
      </c>
      <c r="F12" s="28">
        <f ca="1">apuestas_juL24[[#This Row],[Apuesta Miniporra]]-$B$3</f>
        <v>5.3900000000000006</v>
      </c>
      <c r="G12" s="68">
        <f ca="1">ABS(apuestas_juL24[[#This Row],[desvio]])/$B$3</f>
        <v>7.4540174249757993E-2</v>
      </c>
      <c r="H12" s="4">
        <f ca="1">_xlfn.RANK.EQ(apuestas_juL24[[#This Row],[desvio %]],apuestas_juL24[desvio %],1)</f>
        <v>26</v>
      </c>
      <c r="J12" s="66" t="s">
        <v>820</v>
      </c>
      <c r="K12" s="10">
        <f ca="1">INDEX(apuestas_juL24[orden],MATCH(resultados_jul[Apuesta MiniPorra],apuestas_juL24[Apuesta Miniporra],0))</f>
        <v>26</v>
      </c>
      <c r="L12" s="6" t="str">
        <f>apuestas_juL24[[#This Row],[Nombre]]</f>
        <v>Jorge Antonio González Sánchez</v>
      </c>
      <c r="M12" s="14">
        <f>apuestas_juL24[[#This Row],[Apuesta Miniporra]]</f>
        <v>77.7</v>
      </c>
      <c r="N12" s="14">
        <f ca="1">INDEX(apuestas_juL24[desvio],MATCH(resultados_jul[[#This Row],[Apuesta MiniPorra]],apuestas_juL24[Apuesta Miniporra],0))</f>
        <v>5.3900000000000006</v>
      </c>
      <c r="O12" s="13">
        <f ca="1">INDEX(apuestas_juL24[desvio %],MATCH(resultados_jul[[#This Row],[Apuesta MiniPorra]],apuestas_juL24[Apuesta Miniporra],0))</f>
        <v>7.4540174249757993E-2</v>
      </c>
      <c r="P12" s="4">
        <v>6</v>
      </c>
      <c r="Q12" s="28">
        <f>IF(ISBLANK(omie!V10),"",omie!W10)</f>
        <v>33.979999999999997</v>
      </c>
      <c r="R12" s="78"/>
      <c r="S12" s="78"/>
      <c r="T12" s="28"/>
      <c r="U12"/>
    </row>
    <row r="13" spans="1:25" x14ac:dyDescent="0.2">
      <c r="A13" t="s">
        <v>820</v>
      </c>
      <c r="B13" t="s">
        <v>474</v>
      </c>
      <c r="C13" s="28">
        <v>76.87</v>
      </c>
      <c r="D13" t="s">
        <v>118</v>
      </c>
      <c r="E13" t="s">
        <v>535</v>
      </c>
      <c r="F13" s="28">
        <f ca="1">apuestas_juL24[[#This Row],[Apuesta Miniporra]]-$B$3</f>
        <v>4.5600000000000023</v>
      </c>
      <c r="G13" s="68">
        <f ca="1">ABS(apuestas_juL24[[#This Row],[desvio]])/$B$3</f>
        <v>6.3061817176047599E-2</v>
      </c>
      <c r="H13" s="4">
        <f ca="1">_xlfn.RANK.EQ(apuestas_juL24[[#This Row],[desvio %]],apuestas_juL24[desvio %],1)</f>
        <v>23</v>
      </c>
      <c r="J13" s="66" t="s">
        <v>820</v>
      </c>
      <c r="K13" s="10">
        <f ca="1">INDEX(apuestas_juL24[orden],MATCH(resultados_jul[Apuesta MiniPorra],apuestas_juL24[Apuesta Miniporra],0))</f>
        <v>23</v>
      </c>
      <c r="L13" s="6" t="str">
        <f>apuestas_juL24[[#This Row],[Nombre]]</f>
        <v>Javier Colón Cortegoso</v>
      </c>
      <c r="M13" s="14">
        <f>apuestas_juL24[[#This Row],[Apuesta Miniporra]]</f>
        <v>76.87</v>
      </c>
      <c r="N13" s="14">
        <f ca="1">INDEX(apuestas_juL24[desvio],MATCH(resultados_jul[[#This Row],[Apuesta MiniPorra]],apuestas_juL24[Apuesta Miniporra],0))</f>
        <v>4.5600000000000023</v>
      </c>
      <c r="O13" s="13">
        <f ca="1">INDEX(apuestas_juL24[desvio %],MATCH(resultados_jul[[#This Row],[Apuesta MiniPorra]],apuestas_juL24[Apuesta Miniporra],0))</f>
        <v>6.3061817176047599E-2</v>
      </c>
      <c r="P13" s="4">
        <v>7</v>
      </c>
      <c r="Q13" s="28">
        <f>IF(ISBLANK(omie!V11),"",omie!W11)</f>
        <v>34.71</v>
      </c>
      <c r="R13" s="78"/>
      <c r="S13" s="78"/>
      <c r="T13" s="28"/>
      <c r="U13"/>
    </row>
    <row r="14" spans="1:25" x14ac:dyDescent="0.2">
      <c r="A14" t="s">
        <v>820</v>
      </c>
      <c r="B14" t="s">
        <v>948</v>
      </c>
      <c r="C14" s="28">
        <v>76.5</v>
      </c>
      <c r="D14" t="s">
        <v>881</v>
      </c>
      <c r="E14" t="s">
        <v>882</v>
      </c>
      <c r="F14" s="28">
        <f ca="1">apuestas_juL24[[#This Row],[Apuesta Miniporra]]-$B$3</f>
        <v>4.1899999999999977</v>
      </c>
      <c r="G14" s="68">
        <f ca="1">ABS(apuestas_juL24[[#This Row],[desvio]])/$B$3</f>
        <v>5.7944959203429645E-2</v>
      </c>
      <c r="H14" s="4">
        <f ca="1">_xlfn.RANK.EQ(apuestas_juL24[[#This Row],[desvio %]],apuestas_juL24[desvio %],1)</f>
        <v>20</v>
      </c>
      <c r="J14" s="66" t="s">
        <v>820</v>
      </c>
      <c r="K14" s="10">
        <f ca="1">INDEX(apuestas_juL24[orden],MATCH(resultados_jul[Apuesta MiniPorra],apuestas_juL24[Apuesta Miniporra],0))</f>
        <v>20</v>
      </c>
      <c r="L14" s="6" t="str">
        <f>apuestas_juL24[[#This Row],[Nombre]]</f>
        <v>Omip 28-06-2024</v>
      </c>
      <c r="M14" s="14">
        <f>apuestas_juL24[[#This Row],[Apuesta Miniporra]]</f>
        <v>76.5</v>
      </c>
      <c r="N14" s="14">
        <f ca="1">INDEX(apuestas_juL24[desvio],MATCH(resultados_jul[[#This Row],[Apuesta MiniPorra]],apuestas_juL24[Apuesta Miniporra],0))</f>
        <v>4.1899999999999977</v>
      </c>
      <c r="O14" s="13">
        <f ca="1">INDEX(apuestas_juL24[desvio %],MATCH(resultados_jul[[#This Row],[Apuesta MiniPorra]],apuestas_juL24[Apuesta Miniporra],0))</f>
        <v>5.7944959203429645E-2</v>
      </c>
      <c r="P14" s="4">
        <v>8</v>
      </c>
      <c r="Q14" s="28">
        <f>IF(ISBLANK(omie!V12),"",omie!W12)</f>
        <v>73.19</v>
      </c>
      <c r="R14" s="78"/>
      <c r="S14" s="78"/>
      <c r="T14" s="28"/>
      <c r="U14"/>
    </row>
    <row r="15" spans="1:25" x14ac:dyDescent="0.2">
      <c r="A15" t="s">
        <v>820</v>
      </c>
      <c r="B15" t="s">
        <v>1039</v>
      </c>
      <c r="C15" s="28">
        <v>76.430000000000007</v>
      </c>
      <c r="D15" t="s">
        <v>771</v>
      </c>
      <c r="E15" t="s">
        <v>772</v>
      </c>
      <c r="F15" s="28">
        <f ca="1">apuestas_juL24[[#This Row],[Apuesta Miniporra]]-$B$3</f>
        <v>4.1200000000000045</v>
      </c>
      <c r="G15" s="68">
        <f ca="1">ABS(apuestas_juL24[[#This Row],[desvio]])/$B$3</f>
        <v>5.6976904992393919E-2</v>
      </c>
      <c r="H15" s="4">
        <f ca="1">_xlfn.RANK.EQ(apuestas_juL24[[#This Row],[desvio %]],apuestas_juL24[desvio %],1)</f>
        <v>17</v>
      </c>
      <c r="J15" s="66" t="s">
        <v>820</v>
      </c>
      <c r="K15" s="10">
        <f ca="1">INDEX(apuestas_juL24[orden],MATCH(resultados_jul[Apuesta MiniPorra],apuestas_juL24[Apuesta Miniporra],0))</f>
        <v>17</v>
      </c>
      <c r="L15" s="6" t="str">
        <f>apuestas_juL24[[#This Row],[Nombre]]</f>
        <v>Ricardo Estévez Solís</v>
      </c>
      <c r="M15" s="14">
        <f>apuestas_juL24[[#This Row],[Apuesta Miniporra]]</f>
        <v>76.430000000000007</v>
      </c>
      <c r="N15" s="14">
        <f ca="1">INDEX(apuestas_juL24[desvio],MATCH(resultados_jul[[#This Row],[Apuesta MiniPorra]],apuestas_juL24[Apuesta Miniporra],0))</f>
        <v>4.1200000000000045</v>
      </c>
      <c r="O15" s="13">
        <f ca="1">INDEX(apuestas_juL24[desvio %],MATCH(resultados_jul[[#This Row],[Apuesta MiniPorra]],apuestas_juL24[Apuesta Miniporra],0))</f>
        <v>5.6976904992393919E-2</v>
      </c>
      <c r="P15" s="4">
        <v>9</v>
      </c>
      <c r="Q15" s="28">
        <f>IF(ISBLANK(omie!V13),"",omie!W13)</f>
        <v>69.55</v>
      </c>
      <c r="R15" s="78"/>
      <c r="S15" s="78"/>
      <c r="T15" s="28"/>
      <c r="U15"/>
    </row>
    <row r="16" spans="1:25" x14ac:dyDescent="0.2">
      <c r="A16" t="s">
        <v>820</v>
      </c>
      <c r="B16" t="s">
        <v>400</v>
      </c>
      <c r="C16" s="28">
        <v>74.650000000000006</v>
      </c>
      <c r="D16" t="s">
        <v>118</v>
      </c>
      <c r="E16" t="s">
        <v>194</v>
      </c>
      <c r="F16" s="28">
        <f ca="1">apuestas_juL24[[#This Row],[Apuesta Miniporra]]-$B$3</f>
        <v>2.3400000000000034</v>
      </c>
      <c r="G16" s="68">
        <f ca="1">ABS(apuestas_juL24[[#This Row],[desvio]])/$B$3</f>
        <v>3.2360669340340251E-2</v>
      </c>
      <c r="H16" s="4">
        <f ca="1">_xlfn.RANK.EQ(apuestas_juL24[[#This Row],[desvio %]],apuestas_juL24[desvio %],1)</f>
        <v>11</v>
      </c>
      <c r="J16" s="66" t="s">
        <v>820</v>
      </c>
      <c r="K16" s="10">
        <f ca="1">INDEX(apuestas_juL24[orden],MATCH(resultados_jul[Apuesta MiniPorra],apuestas_juL24[Apuesta Miniporra],0))</f>
        <v>11</v>
      </c>
      <c r="L16" s="6" t="str">
        <f>apuestas_juL24[[#This Row],[Nombre]]</f>
        <v>Manuel Nogales Guillén</v>
      </c>
      <c r="M16" s="14">
        <f>apuestas_juL24[[#This Row],[Apuesta Miniporra]]</f>
        <v>74.650000000000006</v>
      </c>
      <c r="N16" s="14">
        <f ca="1">INDEX(apuestas_juL24[desvio],MATCH(resultados_jul[[#This Row],[Apuesta MiniPorra]],apuestas_juL24[Apuesta Miniporra],0))</f>
        <v>2.3400000000000034</v>
      </c>
      <c r="O16" s="13">
        <f ca="1">INDEX(apuestas_juL24[desvio %],MATCH(resultados_jul[[#This Row],[Apuesta MiniPorra]],apuestas_juL24[Apuesta Miniporra],0))</f>
        <v>3.2360669340340251E-2</v>
      </c>
      <c r="P16" s="4">
        <v>10</v>
      </c>
      <c r="Q16" s="28">
        <f>IF(ISBLANK(omie!V14),"",omie!W14)</f>
        <v>87.61</v>
      </c>
      <c r="R16" s="78"/>
      <c r="S16" s="78"/>
      <c r="T16" s="28"/>
      <c r="U16"/>
    </row>
    <row r="17" spans="1:23" x14ac:dyDescent="0.2">
      <c r="A17" t="s">
        <v>820</v>
      </c>
      <c r="B17" t="s">
        <v>412</v>
      </c>
      <c r="C17" s="28">
        <v>74.540000000000006</v>
      </c>
      <c r="D17" t="s">
        <v>118</v>
      </c>
      <c r="E17" t="s">
        <v>929</v>
      </c>
      <c r="F17" s="28">
        <f ca="1">apuestas_juL24[[#This Row],[Apuesta Miniporra]]-$B$3</f>
        <v>2.230000000000004</v>
      </c>
      <c r="G17" s="68">
        <f ca="1">ABS(apuestas_juL24[[#This Row],[desvio]])/$B$3</f>
        <v>3.0839441294426829E-2</v>
      </c>
      <c r="H17" s="4">
        <f ca="1">_xlfn.RANK.EQ(apuestas_juL24[[#This Row],[desvio %]],apuestas_juL24[desvio %],1)</f>
        <v>9</v>
      </c>
      <c r="J17" s="66" t="s">
        <v>820</v>
      </c>
      <c r="K17" s="10">
        <f ca="1">INDEX(apuestas_juL24[orden],MATCH(resultados_jul[Apuesta MiniPorra],apuestas_juL24[Apuesta Miniporra],0))</f>
        <v>9</v>
      </c>
      <c r="L17" s="6" t="str">
        <f>apuestas_juL24[[#This Row],[Nombre]]</f>
        <v>Jose Manuel Otero López</v>
      </c>
      <c r="M17" s="14">
        <f>apuestas_juL24[[#This Row],[Apuesta Miniporra]]</f>
        <v>74.540000000000006</v>
      </c>
      <c r="N17" s="14">
        <f ca="1">INDEX(apuestas_juL24[desvio],MATCH(resultados_jul[[#This Row],[Apuesta MiniPorra]],apuestas_juL24[Apuesta Miniporra],0))</f>
        <v>2.230000000000004</v>
      </c>
      <c r="O17" s="13">
        <f ca="1">INDEX(apuestas_juL24[desvio %],MATCH(resultados_jul[[#This Row],[Apuesta MiniPorra]],apuestas_juL24[Apuesta Miniporra],0))</f>
        <v>3.0839441294426829E-2</v>
      </c>
      <c r="P17" s="4">
        <v>11</v>
      </c>
      <c r="Q17" s="28">
        <f>IF(ISBLANK(omie!V15),"",omie!W15)</f>
        <v>85.53</v>
      </c>
      <c r="R17" s="78"/>
      <c r="S17" s="78"/>
      <c r="T17" s="28"/>
      <c r="U17"/>
    </row>
    <row r="18" spans="1:23" x14ac:dyDescent="0.2">
      <c r="A18" t="s">
        <v>820</v>
      </c>
      <c r="B18" t="s">
        <v>408</v>
      </c>
      <c r="C18" s="28">
        <v>74.47</v>
      </c>
      <c r="D18" t="s">
        <v>886</v>
      </c>
      <c r="E18" t="s">
        <v>456</v>
      </c>
      <c r="F18" s="28">
        <f ca="1">apuestas_juL24[[#This Row],[Apuesta Miniporra]]-$B$3</f>
        <v>2.1599999999999966</v>
      </c>
      <c r="G18" s="68">
        <f ca="1">ABS(apuestas_juL24[[#This Row],[desvio]])/$B$3</f>
        <v>2.9871387083390908E-2</v>
      </c>
      <c r="H18" s="4">
        <f ca="1">_xlfn.RANK.EQ(apuestas_juL24[[#This Row],[desvio %]],apuestas_juL24[desvio %],1)</f>
        <v>8</v>
      </c>
      <c r="J18" s="66" t="s">
        <v>820</v>
      </c>
      <c r="K18" s="10">
        <f ca="1">INDEX(apuestas_juL24[orden],MATCH(resultados_jul[Apuesta MiniPorra],apuestas_juL24[Apuesta Miniporra],0))</f>
        <v>8</v>
      </c>
      <c r="L18" s="6" t="str">
        <f>apuestas_juL24[[#This Row],[Nombre]]</f>
        <v>Julián Mateo Muñoz</v>
      </c>
      <c r="M18" s="14">
        <f>apuestas_juL24[[#This Row],[Apuesta Miniporra]]</f>
        <v>74.47</v>
      </c>
      <c r="N18" s="14">
        <f ca="1">INDEX(apuestas_juL24[desvio],MATCH(resultados_jul[[#This Row],[Apuesta MiniPorra]],apuestas_juL24[Apuesta Miniporra],0))</f>
        <v>2.1599999999999966</v>
      </c>
      <c r="O18" s="13">
        <f ca="1">INDEX(apuestas_juL24[desvio %],MATCH(resultados_jul[[#This Row],[Apuesta MiniPorra]],apuestas_juL24[Apuesta Miniporra],0))</f>
        <v>2.9871387083390908E-2</v>
      </c>
      <c r="P18" s="4">
        <v>12</v>
      </c>
      <c r="Q18" s="28">
        <f>IF(ISBLANK(omie!V16),"",omie!W16)</f>
        <v>58.78</v>
      </c>
      <c r="R18" s="78"/>
      <c r="S18" s="78"/>
      <c r="T18" s="28"/>
      <c r="U18"/>
    </row>
    <row r="19" spans="1:23" x14ac:dyDescent="0.2">
      <c r="A19" t="s">
        <v>820</v>
      </c>
      <c r="B19" t="s">
        <v>381</v>
      </c>
      <c r="C19" s="28">
        <v>73.94</v>
      </c>
      <c r="D19" t="s">
        <v>877</v>
      </c>
      <c r="E19" t="s">
        <v>37</v>
      </c>
      <c r="F19" s="28">
        <f ca="1">apuestas_juL24[[#This Row],[Apuesta Miniporra]]-$B$3</f>
        <v>1.6299999999999955</v>
      </c>
      <c r="G19" s="68">
        <f ca="1">ABS(apuestas_juL24[[#This Row],[desvio]])/$B$3</f>
        <v>2.2541833771262555E-2</v>
      </c>
      <c r="H19" s="4">
        <f ca="1">_xlfn.RANK.EQ(apuestas_juL24[[#This Row],[desvio %]],apuestas_juL24[desvio %],1)</f>
        <v>7</v>
      </c>
      <c r="J19" s="66" t="s">
        <v>820</v>
      </c>
      <c r="K19" s="10">
        <f ca="1">INDEX(apuestas_juL24[orden],MATCH(resultados_jul[Apuesta MiniPorra],apuestas_juL24[Apuesta Miniporra],0))</f>
        <v>7</v>
      </c>
      <c r="L19" s="6" t="str">
        <f>apuestas_juL24[[#This Row],[Nombre]]</f>
        <v>Roberto Cavero García</v>
      </c>
      <c r="M19" s="14">
        <f>apuestas_juL24[[#This Row],[Apuesta Miniporra]]</f>
        <v>73.94</v>
      </c>
      <c r="N19" s="14">
        <f ca="1">INDEX(apuestas_juL24[desvio],MATCH(resultados_jul[[#This Row],[Apuesta MiniPorra]],apuestas_juL24[Apuesta Miniporra],0))</f>
        <v>1.6299999999999955</v>
      </c>
      <c r="O19" s="13">
        <f ca="1">INDEX(apuestas_juL24[desvio %],MATCH(resultados_jul[[#This Row],[Apuesta MiniPorra]],apuestas_juL24[Apuesta Miniporra],0))</f>
        <v>2.2541833771262555E-2</v>
      </c>
      <c r="P19" s="4">
        <v>13</v>
      </c>
      <c r="Q19" s="28">
        <f>IF(ISBLANK(omie!V17),"",omie!W17)</f>
        <v>51.38</v>
      </c>
      <c r="R19" s="71"/>
      <c r="S19" s="71"/>
      <c r="T19" s="28"/>
      <c r="U19"/>
    </row>
    <row r="20" spans="1:23" x14ac:dyDescent="0.2">
      <c r="A20" t="s">
        <v>820</v>
      </c>
      <c r="B20" t="s">
        <v>336</v>
      </c>
      <c r="C20" s="28">
        <v>73.8</v>
      </c>
      <c r="D20" t="s">
        <v>884</v>
      </c>
      <c r="E20" t="s">
        <v>2</v>
      </c>
      <c r="F20" s="28">
        <f ca="1">apuestas_juL24[[#This Row],[Apuesta Miniporra]]-$B$3</f>
        <v>1.4899999999999949</v>
      </c>
      <c r="G20" s="68">
        <f ca="1">ABS(apuestas_juL24[[#This Row],[desvio]])/$B$3</f>
        <v>2.0605725349190911E-2</v>
      </c>
      <c r="H20" s="4">
        <f ca="1">_xlfn.RANK.EQ(apuestas_juL24[[#This Row],[desvio %]],apuestas_juL24[desvio %],1)</f>
        <v>6</v>
      </c>
      <c r="J20" s="66" t="s">
        <v>820</v>
      </c>
      <c r="K20" s="10">
        <f ca="1">INDEX(apuestas_juL24[orden],MATCH(resultados_jul[Apuesta MiniPorra],apuestas_juL24[Apuesta Miniporra],0))</f>
        <v>6</v>
      </c>
      <c r="L20" s="6" t="str">
        <f>apuestas_juL24[[#This Row],[Nombre]]</f>
        <v>Javier Revuelta Alonso</v>
      </c>
      <c r="M20" s="14">
        <f>apuestas_juL24[[#This Row],[Apuesta Miniporra]]</f>
        <v>73.8</v>
      </c>
      <c r="N20" s="14">
        <f ca="1">INDEX(apuestas_juL24[desvio],MATCH(resultados_jul[[#This Row],[Apuesta MiniPorra]],apuestas_juL24[Apuesta Miniporra],0))</f>
        <v>1.4899999999999949</v>
      </c>
      <c r="O20" s="13">
        <f ca="1">INDEX(apuestas_juL24[desvio %],MATCH(resultados_jul[[#This Row],[Apuesta MiniPorra]],apuestas_juL24[Apuesta Miniporra],0))</f>
        <v>2.0605725349190911E-2</v>
      </c>
      <c r="P20" s="4">
        <v>14</v>
      </c>
      <c r="Q20" s="28">
        <f>IF(ISBLANK(omie!V18),"",omie!W18)</f>
        <v>52.28</v>
      </c>
      <c r="T20" s="28"/>
      <c r="U20" s="109"/>
      <c r="V20" s="109"/>
      <c r="W20" s="109"/>
    </row>
    <row r="21" spans="1:23" x14ac:dyDescent="0.2">
      <c r="A21" t="s">
        <v>820</v>
      </c>
      <c r="B21" t="s">
        <v>542</v>
      </c>
      <c r="C21" s="28">
        <v>73.37</v>
      </c>
      <c r="D21" t="s">
        <v>893</v>
      </c>
      <c r="E21" t="s">
        <v>542</v>
      </c>
      <c r="F21" s="28">
        <f ca="1">apuestas_juL24[[#This Row],[Apuesta Miniporra]]-$B$3</f>
        <v>1.0600000000000023</v>
      </c>
      <c r="G21" s="68">
        <f ca="1">ABS(apuestas_juL24[[#This Row],[desvio]])/$B$3</f>
        <v>1.4659106624256703E-2</v>
      </c>
      <c r="H21" s="4">
        <f ca="1">_xlfn.RANK.EQ(apuestas_juL24[[#This Row],[desvio %]],apuestas_juL24[desvio %],1)</f>
        <v>5</v>
      </c>
      <c r="J21" s="66" t="s">
        <v>820</v>
      </c>
      <c r="K21" s="10">
        <f ca="1">INDEX(apuestas_juL24[orden],MATCH(resultados_jul[Apuesta MiniPorra],apuestas_juL24[Apuesta Miniporra],0))</f>
        <v>5</v>
      </c>
      <c r="L21" s="6" t="str">
        <f>apuestas_juL24[[#This Row],[Nombre]]</f>
        <v>Sergio Alfonso</v>
      </c>
      <c r="M21" s="14">
        <f>apuestas_juL24[[#This Row],[Apuesta Miniporra]]</f>
        <v>73.37</v>
      </c>
      <c r="N21" s="14">
        <f ca="1">INDEX(apuestas_juL24[desvio],MATCH(resultados_jul[[#This Row],[Apuesta MiniPorra]],apuestas_juL24[Apuesta Miniporra],0))</f>
        <v>1.0600000000000023</v>
      </c>
      <c r="O21" s="13">
        <f ca="1">INDEX(apuestas_juL24[desvio %],MATCH(resultados_jul[[#This Row],[Apuesta MiniPorra]],apuestas_juL24[Apuesta Miniporra],0))</f>
        <v>1.4659106624256703E-2</v>
      </c>
      <c r="P21" s="4">
        <v>15</v>
      </c>
      <c r="Q21" s="28">
        <f>IF(ISBLANK(omie!V19),"",omie!W19)</f>
        <v>53.95</v>
      </c>
      <c r="T21" s="28"/>
      <c r="U21" s="109"/>
      <c r="V21" s="109"/>
      <c r="W21" s="109"/>
    </row>
    <row r="22" spans="1:23" x14ac:dyDescent="0.2">
      <c r="A22" t="s">
        <v>820</v>
      </c>
      <c r="B22" t="s">
        <v>794</v>
      </c>
      <c r="C22" s="28">
        <v>72.58</v>
      </c>
      <c r="D22" t="s">
        <v>118</v>
      </c>
      <c r="E22" t="s">
        <v>664</v>
      </c>
      <c r="F22" s="28">
        <f ca="1">apuestas_juL24[[#This Row],[Apuesta Miniporra]]-$B$3</f>
        <v>0.26999999999999602</v>
      </c>
      <c r="G22" s="68">
        <f ca="1">ABS(apuestas_juL24[[#This Row],[desvio]])/$B$3</f>
        <v>3.7339233854238145E-3</v>
      </c>
      <c r="H22" s="4">
        <f ca="1">_xlfn.RANK.EQ(apuestas_juL24[[#This Row],[desvio %]],apuestas_juL24[desvio %],1)</f>
        <v>3</v>
      </c>
      <c r="J22" s="66" t="s">
        <v>820</v>
      </c>
      <c r="K22" s="10">
        <f ca="1">INDEX(apuestas_juL24[orden],MATCH(resultados_jul[Apuesta MiniPorra],apuestas_juL24[Apuesta Miniporra],0))</f>
        <v>3</v>
      </c>
      <c r="L22" s="6" t="str">
        <f>apuestas_juL24[[#This Row],[Nombre]]</f>
        <v>Gorka Arratibel Pastor</v>
      </c>
      <c r="M22" s="14">
        <f>apuestas_juL24[[#This Row],[Apuesta Miniporra]]</f>
        <v>72.58</v>
      </c>
      <c r="N22" s="14">
        <f ca="1">INDEX(apuestas_juL24[desvio],MATCH(resultados_jul[[#This Row],[Apuesta MiniPorra]],apuestas_juL24[Apuesta Miniporra],0))</f>
        <v>0.26999999999999602</v>
      </c>
      <c r="O22" s="13">
        <f ca="1">INDEX(apuestas_juL24[desvio %],MATCH(resultados_jul[[#This Row],[Apuesta MiniPorra]],apuestas_juL24[Apuesta Miniporra],0))</f>
        <v>3.7339233854238145E-3</v>
      </c>
      <c r="P22" s="4">
        <v>16</v>
      </c>
      <c r="Q22" s="28">
        <f>IF(ISBLANK(omie!V20),"",omie!W20)</f>
        <v>87.24</v>
      </c>
      <c r="T22" s="28"/>
      <c r="U22" s="109"/>
      <c r="V22" s="109"/>
      <c r="W22" s="109"/>
    </row>
    <row r="23" spans="1:23" x14ac:dyDescent="0.2">
      <c r="A23" t="s">
        <v>820</v>
      </c>
      <c r="B23" t="s">
        <v>949</v>
      </c>
      <c r="C23" s="28">
        <v>72.36</v>
      </c>
      <c r="D23" t="s">
        <v>118</v>
      </c>
      <c r="E23" t="s">
        <v>858</v>
      </c>
      <c r="F23" s="28">
        <f ca="1">apuestas_juL24[[#This Row],[Apuesta Miniporra]]-$B$3</f>
        <v>4.9999999999997158E-2</v>
      </c>
      <c r="G23" s="68">
        <f ca="1">ABS(apuestas_juL24[[#This Row],[desvio]])/$B$3</f>
        <v>6.9146729359697353E-4</v>
      </c>
      <c r="H23" s="4">
        <f ca="1">_xlfn.RANK.EQ(apuestas_juL24[[#This Row],[desvio %]],apuestas_juL24[desvio %],1)</f>
        <v>2</v>
      </c>
      <c r="J23" s="66" t="s">
        <v>820</v>
      </c>
      <c r="K23" s="10">
        <f ca="1">INDEX(apuestas_juL24[orden],MATCH(resultados_jul[Apuesta MiniPorra],apuestas_juL24[Apuesta Miniporra],0))</f>
        <v>2</v>
      </c>
      <c r="L23" s="6" t="str">
        <f>apuestas_juL24[[#This Row],[Nombre]]</f>
        <v>Andrea Zarbano</v>
      </c>
      <c r="M23" s="14">
        <f>apuestas_juL24[[#This Row],[Apuesta Miniporra]]</f>
        <v>72.36</v>
      </c>
      <c r="N23" s="14">
        <f ca="1">INDEX(apuestas_juL24[desvio],MATCH(resultados_jul[[#This Row],[Apuesta MiniPorra]],apuestas_juL24[Apuesta Miniporra],0))</f>
        <v>4.9999999999997158E-2</v>
      </c>
      <c r="O23" s="13">
        <f ca="1">INDEX(apuestas_juL24[desvio %],MATCH(resultados_jul[[#This Row],[Apuesta MiniPorra]],apuestas_juL24[Apuesta Miniporra],0))</f>
        <v>6.9146729359697353E-4</v>
      </c>
      <c r="P23" s="4">
        <v>17</v>
      </c>
      <c r="Q23" s="28">
        <f>IF(ISBLANK(omie!V21),"",omie!W21)</f>
        <v>94.42</v>
      </c>
      <c r="T23" s="28"/>
      <c r="U23"/>
    </row>
    <row r="24" spans="1:23" x14ac:dyDescent="0.2">
      <c r="A24" t="s">
        <v>820</v>
      </c>
      <c r="B24" t="s">
        <v>414</v>
      </c>
      <c r="C24" s="28">
        <v>72.3</v>
      </c>
      <c r="D24" t="s">
        <v>118</v>
      </c>
      <c r="E24" t="s">
        <v>467</v>
      </c>
      <c r="F24" s="28">
        <f ca="1">apuestas_juL24[[#This Row],[Apuesta Miniporra]]-$B$3</f>
        <v>-1.0000000000005116E-2</v>
      </c>
      <c r="G24" s="68">
        <f ca="1">ABS(apuestas_juL24[[#This Row],[desvio]])/$B$3</f>
        <v>1.3829345871947332E-4</v>
      </c>
      <c r="H24" s="4">
        <f ca="1">_xlfn.RANK.EQ(apuestas_juL24[[#This Row],[desvio %]],apuestas_juL24[desvio %],1)</f>
        <v>1</v>
      </c>
      <c r="J24" s="66" t="s">
        <v>820</v>
      </c>
      <c r="K24" s="10">
        <f ca="1">INDEX(apuestas_juL24[orden],MATCH(resultados_jul[Apuesta MiniPorra],apuestas_juL24[Apuesta Miniporra],0))</f>
        <v>1</v>
      </c>
      <c r="L24" s="6" t="str">
        <f>apuestas_juL24[[#This Row],[Nombre]]</f>
        <v>Laura Gómez López</v>
      </c>
      <c r="M24" s="14">
        <f>apuestas_juL24[[#This Row],[Apuesta Miniporra]]</f>
        <v>72.3</v>
      </c>
      <c r="N24" s="14">
        <f ca="1">INDEX(apuestas_juL24[desvio],MATCH(resultados_jul[[#This Row],[Apuesta MiniPorra]],apuestas_juL24[Apuesta Miniporra],0))</f>
        <v>-1.0000000000005116E-2</v>
      </c>
      <c r="O24" s="13">
        <f ca="1">INDEX(apuestas_juL24[desvio %],MATCH(resultados_jul[[#This Row],[Apuesta MiniPorra]],apuestas_juL24[Apuesta Miniporra],0))</f>
        <v>1.3829345871947332E-4</v>
      </c>
      <c r="P24" s="4">
        <v>18</v>
      </c>
      <c r="Q24" s="28">
        <f>IF(ISBLANK(omie!V22),"",omie!W22)</f>
        <v>101.37</v>
      </c>
      <c r="T24" s="28"/>
      <c r="U24"/>
    </row>
    <row r="25" spans="1:23" x14ac:dyDescent="0.2">
      <c r="A25" t="s">
        <v>820</v>
      </c>
      <c r="B25" t="s">
        <v>225</v>
      </c>
      <c r="C25" s="28">
        <v>71.8</v>
      </c>
      <c r="D25" t="s">
        <v>118</v>
      </c>
      <c r="E25" t="s">
        <v>199</v>
      </c>
      <c r="F25" s="28">
        <f ca="1">apuestas_juL24[[#This Row],[Apuesta Miniporra]]-$B$3</f>
        <v>-0.51000000000000512</v>
      </c>
      <c r="G25" s="68">
        <f ca="1">ABS(apuestas_juL24[[#This Row],[desvio]])/$B$3</f>
        <v>7.0529663946896021E-3</v>
      </c>
      <c r="H25" s="4">
        <f ca="1">_xlfn.RANK.EQ(apuestas_juL24[[#This Row],[desvio %]],apuestas_juL24[desvio %],1)</f>
        <v>4</v>
      </c>
      <c r="J25" s="66" t="s">
        <v>820</v>
      </c>
      <c r="K25" s="10">
        <f ca="1">INDEX(apuestas_juL24[orden],MATCH(resultados_jul[Apuesta MiniPorra],apuestas_juL24[Apuesta Miniporra],0))</f>
        <v>4</v>
      </c>
      <c r="L25" s="6" t="str">
        <f>apuestas_juL24[[#This Row],[Nombre]]</f>
        <v>Elena Muñoz Vioque</v>
      </c>
      <c r="M25" s="14">
        <f>apuestas_juL24[[#This Row],[Apuesta Miniporra]]</f>
        <v>71.8</v>
      </c>
      <c r="N25" s="14">
        <f ca="1">INDEX(apuestas_juL24[desvio],MATCH(resultados_jul[[#This Row],[Apuesta MiniPorra]],apuestas_juL24[Apuesta Miniporra],0))</f>
        <v>-0.51000000000000512</v>
      </c>
      <c r="O25" s="13">
        <f ca="1">INDEX(apuestas_juL24[desvio %],MATCH(resultados_jul[[#This Row],[Apuesta MiniPorra]],apuestas_juL24[Apuesta Miniporra],0))</f>
        <v>7.0529663946896021E-3</v>
      </c>
      <c r="P25" s="4">
        <v>19</v>
      </c>
      <c r="Q25" s="28">
        <f>IF(ISBLANK(omie!V23),"",omie!W23)</f>
        <v>97.78</v>
      </c>
      <c r="T25" s="28"/>
      <c r="U25"/>
    </row>
    <row r="26" spans="1:23" x14ac:dyDescent="0.2">
      <c r="A26" t="s">
        <v>820</v>
      </c>
      <c r="B26" t="s">
        <v>222</v>
      </c>
      <c r="C26" s="28">
        <v>70</v>
      </c>
      <c r="D26" t="s">
        <v>854</v>
      </c>
      <c r="E26" t="s">
        <v>178</v>
      </c>
      <c r="F26" s="28">
        <f ca="1">apuestas_juL24[[#This Row],[Apuesta Miniporra]]-$B$3</f>
        <v>-2.3100000000000023</v>
      </c>
      <c r="G26" s="68">
        <f ca="1">ABS(apuestas_juL24[[#This Row],[desvio]])/$B$3</f>
        <v>3.1945788964182022E-2</v>
      </c>
      <c r="H26" s="4">
        <f ca="1">_xlfn.RANK.EQ(apuestas_juL24[[#This Row],[desvio %]],apuestas_juL24[desvio %],1)</f>
        <v>10</v>
      </c>
      <c r="J26" s="66" t="s">
        <v>820</v>
      </c>
      <c r="K26" s="10">
        <f ca="1">INDEX(apuestas_juL24[orden],MATCH(resultados_jul[Apuesta MiniPorra],apuestas_juL24[Apuesta Miniporra],0))</f>
        <v>10</v>
      </c>
      <c r="L26" s="6" t="str">
        <f>apuestas_juL24[[#This Row],[Nombre]]</f>
        <v>Jose F Vidal</v>
      </c>
      <c r="M26" s="14">
        <f>apuestas_juL24[[#This Row],[Apuesta Miniporra]]</f>
        <v>70</v>
      </c>
      <c r="N26" s="14">
        <f ca="1">INDEX(apuestas_juL24[desvio],MATCH(resultados_jul[[#This Row],[Apuesta MiniPorra]],apuestas_juL24[Apuesta Miniporra],0))</f>
        <v>-2.3100000000000023</v>
      </c>
      <c r="O26" s="13">
        <f ca="1">INDEX(apuestas_juL24[desvio %],MATCH(resultados_jul[[#This Row],[Apuesta MiniPorra]],apuestas_juL24[Apuesta Miniporra],0))</f>
        <v>3.1945788964182022E-2</v>
      </c>
      <c r="P26" s="4">
        <v>20</v>
      </c>
      <c r="Q26" s="28">
        <f>IF(ISBLANK(omie!V24),"",omie!W24)</f>
        <v>51.47</v>
      </c>
      <c r="T26" s="28"/>
      <c r="U26"/>
    </row>
    <row r="27" spans="1:23" x14ac:dyDescent="0.2">
      <c r="A27" t="s">
        <v>820</v>
      </c>
      <c r="B27" t="s">
        <v>651</v>
      </c>
      <c r="C27" s="28">
        <v>69.680000000000007</v>
      </c>
      <c r="D27" t="s">
        <v>915</v>
      </c>
      <c r="E27" t="s">
        <v>633</v>
      </c>
      <c r="F27" s="28">
        <f ca="1">apuestas_juL24[[#This Row],[Apuesta Miniporra]]-$B$3</f>
        <v>-2.6299999999999955</v>
      </c>
      <c r="G27" s="68">
        <f ca="1">ABS(apuestas_juL24[[#This Row],[desvio]])/$B$3</f>
        <v>3.6371179643202814E-2</v>
      </c>
      <c r="H27" s="4">
        <f ca="1">_xlfn.RANK.EQ(apuestas_juL24[[#This Row],[desvio %]],apuestas_juL24[desvio %],1)</f>
        <v>12</v>
      </c>
      <c r="J27" s="66" t="s">
        <v>820</v>
      </c>
      <c r="K27" s="10">
        <f ca="1">INDEX(apuestas_juL24[orden],MATCH(resultados_jul[Apuesta MiniPorra],apuestas_juL24[Apuesta Miniporra],0))</f>
        <v>12</v>
      </c>
      <c r="L27" s="6" t="str">
        <f>apuestas_juL24[[#This Row],[Nombre]]</f>
        <v>Carlos Martínez García</v>
      </c>
      <c r="M27" s="14">
        <f>apuestas_juL24[[#This Row],[Apuesta Miniporra]]</f>
        <v>69.680000000000007</v>
      </c>
      <c r="N27" s="14">
        <f ca="1">INDEX(apuestas_juL24[desvio],MATCH(resultados_jul[[#This Row],[Apuesta MiniPorra]],apuestas_juL24[Apuesta Miniporra],0))</f>
        <v>-2.6299999999999955</v>
      </c>
      <c r="O27" s="13">
        <f ca="1">INDEX(apuestas_juL24[desvio %],MATCH(resultados_jul[[#This Row],[Apuesta MiniPorra]],apuestas_juL24[Apuesta Miniporra],0))</f>
        <v>3.6371179643202814E-2</v>
      </c>
      <c r="P27" s="4">
        <v>21</v>
      </c>
      <c r="Q27" s="28">
        <f>IF(ISBLANK(omie!V25),"",omie!W25)</f>
        <v>30.41</v>
      </c>
      <c r="T27" s="28"/>
      <c r="U27"/>
    </row>
    <row r="28" spans="1:23" x14ac:dyDescent="0.2">
      <c r="A28" t="s">
        <v>820</v>
      </c>
      <c r="B28" t="s">
        <v>409</v>
      </c>
      <c r="C28" s="28">
        <v>69.55</v>
      </c>
      <c r="D28" t="s">
        <v>913</v>
      </c>
      <c r="E28" t="s">
        <v>462</v>
      </c>
      <c r="F28" s="28">
        <f ca="1">apuestas_juL24[[#This Row],[Apuesta Miniporra]]-$B$3</f>
        <v>-2.7600000000000051</v>
      </c>
      <c r="G28" s="68">
        <f ca="1">ABS(apuestas_juL24[[#This Row],[desvio]])/$B$3</f>
        <v>3.8168994606555179E-2</v>
      </c>
      <c r="H28" s="4">
        <f ca="1">_xlfn.RANK.EQ(apuestas_juL24[[#This Row],[desvio %]],apuestas_juL24[desvio %],1)</f>
        <v>13</v>
      </c>
      <c r="J28" s="66" t="s">
        <v>820</v>
      </c>
      <c r="K28" s="10">
        <f ca="1">INDEX(apuestas_juL24[orden],MATCH(resultados_jul[Apuesta MiniPorra],apuestas_juL24[Apuesta Miniporra],0))</f>
        <v>13</v>
      </c>
      <c r="L28" s="6" t="str">
        <f>apuestas_juL24[[#This Row],[Nombre]]</f>
        <v>Gladys Rocha Blanco</v>
      </c>
      <c r="M28" s="14">
        <f>apuestas_juL24[[#This Row],[Apuesta Miniporra]]</f>
        <v>69.55</v>
      </c>
      <c r="N28" s="14">
        <f ca="1">INDEX(apuestas_juL24[desvio],MATCH(resultados_jul[[#This Row],[Apuesta MiniPorra]],apuestas_juL24[Apuesta Miniporra],0))</f>
        <v>-2.7600000000000051</v>
      </c>
      <c r="O28" s="13">
        <f ca="1">INDEX(apuestas_juL24[desvio %],MATCH(resultados_jul[[#This Row],[Apuesta MiniPorra]],apuestas_juL24[Apuesta Miniporra],0))</f>
        <v>3.8168994606555179E-2</v>
      </c>
      <c r="P28" s="4">
        <v>22</v>
      </c>
      <c r="Q28" s="28">
        <f>IF(ISBLANK(omie!V26),"",omie!W26)</f>
        <v>79.53</v>
      </c>
      <c r="T28" s="28"/>
      <c r="U28"/>
    </row>
    <row r="29" spans="1:23" ht="11.45" customHeight="1" x14ac:dyDescent="0.2">
      <c r="A29" t="s">
        <v>820</v>
      </c>
      <c r="B29" t="s">
        <v>363</v>
      </c>
      <c r="C29" s="28">
        <v>68.8</v>
      </c>
      <c r="D29" t="s">
        <v>867</v>
      </c>
      <c r="E29" t="s">
        <v>76</v>
      </c>
      <c r="F29" s="28">
        <f ca="1">apuestas_juL24[[#This Row],[Apuesta Miniporra]]-$B$3</f>
        <v>-3.5100000000000051</v>
      </c>
      <c r="G29" s="68">
        <f ca="1">ABS(apuestas_juL24[[#This Row],[desvio]])/$B$3</f>
        <v>4.8541004010510369E-2</v>
      </c>
      <c r="H29" s="4">
        <f ca="1">_xlfn.RANK.EQ(apuestas_juL24[[#This Row],[desvio %]],apuestas_juL24[desvio %],1)</f>
        <v>14</v>
      </c>
      <c r="J29" s="66" t="s">
        <v>820</v>
      </c>
      <c r="K29" s="10">
        <f ca="1">INDEX(apuestas_juL24[orden],MATCH(resultados_jul[Apuesta MiniPorra],apuestas_juL24[Apuesta Miniporra],0))</f>
        <v>14</v>
      </c>
      <c r="L29" s="6" t="str">
        <f>apuestas_juL24[[#This Row],[Nombre]]</f>
        <v>Roque Alonso Alonso</v>
      </c>
      <c r="M29" s="14">
        <f>apuestas_juL24[[#This Row],[Apuesta Miniporra]]</f>
        <v>68.8</v>
      </c>
      <c r="N29" s="14">
        <f ca="1">INDEX(apuestas_juL24[desvio],MATCH(resultados_jul[[#This Row],[Apuesta MiniPorra]],apuestas_juL24[Apuesta Miniporra],0))</f>
        <v>-3.5100000000000051</v>
      </c>
      <c r="O29" s="13">
        <f ca="1">INDEX(apuestas_juL24[desvio %],MATCH(resultados_jul[[#This Row],[Apuesta MiniPorra]],apuestas_juL24[Apuesta Miniporra],0))</f>
        <v>4.8541004010510369E-2</v>
      </c>
      <c r="P29" s="4">
        <v>23</v>
      </c>
      <c r="Q29" s="28">
        <f>IF(ISBLANK(omie!V27),"",omie!W27)</f>
        <v>91.73</v>
      </c>
      <c r="T29" s="28"/>
      <c r="U29"/>
    </row>
    <row r="30" spans="1:23" x14ac:dyDescent="0.2">
      <c r="A30" t="s">
        <v>820</v>
      </c>
      <c r="B30" t="s">
        <v>652</v>
      </c>
      <c r="C30" s="28">
        <v>68.67</v>
      </c>
      <c r="D30" t="s">
        <v>118</v>
      </c>
      <c r="E30" t="s">
        <v>637</v>
      </c>
      <c r="F30" s="28">
        <f ca="1">apuestas_juL24[[#This Row],[Apuesta Miniporra]]-$B$3</f>
        <v>-3.6400000000000006</v>
      </c>
      <c r="G30" s="68">
        <f ca="1">ABS(apuestas_juL24[[#This Row],[desvio]])/$B$3</f>
        <v>5.033881897386254E-2</v>
      </c>
      <c r="H30" s="4">
        <f ca="1">_xlfn.RANK.EQ(apuestas_juL24[[#This Row],[desvio %]],apuestas_juL24[desvio %],1)</f>
        <v>15</v>
      </c>
      <c r="J30" s="66" t="s">
        <v>820</v>
      </c>
      <c r="K30" s="10">
        <f ca="1">INDEX(apuestas_juL24[orden],MATCH(resultados_jul[Apuesta MiniPorra],apuestas_juL24[Apuesta Miniporra],0))</f>
        <v>15</v>
      </c>
      <c r="L30" s="6" t="str">
        <f>apuestas_juL24[[#This Row],[Nombre]]</f>
        <v>Carlos Martin</v>
      </c>
      <c r="M30" s="14">
        <f>apuestas_juL24[[#This Row],[Apuesta Miniporra]]</f>
        <v>68.67</v>
      </c>
      <c r="N30" s="14">
        <f ca="1">INDEX(apuestas_juL24[desvio],MATCH(resultados_jul[[#This Row],[Apuesta MiniPorra]],apuestas_juL24[Apuesta Miniporra],0))</f>
        <v>-3.6400000000000006</v>
      </c>
      <c r="O30" s="13">
        <f ca="1">INDEX(apuestas_juL24[desvio %],MATCH(resultados_jul[[#This Row],[Apuesta MiniPorra]],apuestas_juL24[Apuesta Miniporra],0))</f>
        <v>5.033881897386254E-2</v>
      </c>
      <c r="P30" s="4">
        <v>24</v>
      </c>
      <c r="Q30" s="28">
        <f>IF(ISBLANK(omie!V28),"",omie!W28)</f>
        <v>94.88</v>
      </c>
      <c r="T30" s="28"/>
      <c r="U30"/>
    </row>
    <row r="31" spans="1:23" x14ac:dyDescent="0.2">
      <c r="A31" t="s">
        <v>820</v>
      </c>
      <c r="B31" t="s">
        <v>1037</v>
      </c>
      <c r="C31" s="28">
        <v>68.260000000000005</v>
      </c>
      <c r="D31" t="s">
        <v>939</v>
      </c>
      <c r="E31" t="s">
        <v>940</v>
      </c>
      <c r="F31" s="28">
        <f ca="1">apuestas_juL24[[#This Row],[Apuesta Miniporra]]-$B$3</f>
        <v>-4.0499999999999972</v>
      </c>
      <c r="G31" s="68">
        <f ca="1">ABS(apuestas_juL24[[#This Row],[desvio]])/$B$3</f>
        <v>5.6008850781357998E-2</v>
      </c>
      <c r="H31" s="4">
        <f ca="1">_xlfn.RANK.EQ(apuestas_juL24[[#This Row],[desvio %]],apuestas_juL24[desvio %],1)</f>
        <v>16</v>
      </c>
      <c r="J31" s="66" t="s">
        <v>820</v>
      </c>
      <c r="K31" s="10">
        <f ca="1">INDEX(apuestas_juL24[orden],MATCH(resultados_jul[Apuesta MiniPorra],apuestas_juL24[Apuesta Miniporra],0))</f>
        <v>16</v>
      </c>
      <c r="L31" s="6" t="str">
        <f>apuestas_juL24[[#This Row],[Nombre]]</f>
        <v>Rafael Leiva</v>
      </c>
      <c r="M31" s="14">
        <f>apuestas_juL24[[#This Row],[Apuesta Miniporra]]</f>
        <v>68.260000000000005</v>
      </c>
      <c r="N31" s="14">
        <f ca="1">INDEX(apuestas_juL24[desvio],MATCH(resultados_jul[[#This Row],[Apuesta MiniPorra]],apuestas_juL24[Apuesta Miniporra],0))</f>
        <v>-4.0499999999999972</v>
      </c>
      <c r="O31" s="13">
        <f ca="1">INDEX(apuestas_juL24[desvio %],MATCH(resultados_jul[[#This Row],[Apuesta MiniPorra]],apuestas_juL24[Apuesta Miniporra],0))</f>
        <v>5.6008850781357998E-2</v>
      </c>
      <c r="P31" s="4">
        <v>25</v>
      </c>
      <c r="Q31" s="28">
        <f>IF(ISBLANK(omie!V29),"",omie!W29)</f>
        <v>89.26</v>
      </c>
      <c r="T31" s="28"/>
      <c r="U31"/>
    </row>
    <row r="32" spans="1:23" x14ac:dyDescent="0.2">
      <c r="A32" t="s">
        <v>820</v>
      </c>
      <c r="B32" t="s">
        <v>951</v>
      </c>
      <c r="C32" s="28">
        <v>68.17</v>
      </c>
      <c r="D32" t="s">
        <v>118</v>
      </c>
      <c r="E32" t="s">
        <v>909</v>
      </c>
      <c r="F32" s="28">
        <f ca="1">apuestas_juL24[[#This Row],[Apuesta Miniporra]]-$B$3</f>
        <v>-4.1400000000000006</v>
      </c>
      <c r="G32" s="68">
        <f ca="1">ABS(apuestas_juL24[[#This Row],[desvio]])/$B$3</f>
        <v>5.7253491909832671E-2</v>
      </c>
      <c r="H32" s="4">
        <f ca="1">_xlfn.RANK.EQ(apuestas_juL24[[#This Row],[desvio %]],apuestas_juL24[desvio %],1)</f>
        <v>18</v>
      </c>
      <c r="J32" s="66" t="s">
        <v>820</v>
      </c>
      <c r="K32" s="10">
        <f ca="1">INDEX(apuestas_juL24[orden],MATCH(resultados_jul[Apuesta MiniPorra],apuestas_juL24[Apuesta Miniporra],0))</f>
        <v>18</v>
      </c>
      <c r="L32" s="6" t="str">
        <f>apuestas_juL24[[#This Row],[Nombre]]</f>
        <v>Juan Redondo Ferrara</v>
      </c>
      <c r="M32" s="14">
        <f>apuestas_juL24[[#This Row],[Apuesta Miniporra]]</f>
        <v>68.17</v>
      </c>
      <c r="N32" s="14">
        <f ca="1">INDEX(apuestas_juL24[desvio],MATCH(resultados_jul[[#This Row],[Apuesta MiniPorra]],apuestas_juL24[Apuesta Miniporra],0))</f>
        <v>-4.1400000000000006</v>
      </c>
      <c r="O32" s="13">
        <f ca="1">INDEX(apuestas_juL24[desvio %],MATCH(resultados_jul[[#This Row],[Apuesta MiniPorra]],apuestas_juL24[Apuesta Miniporra],0))</f>
        <v>5.7253491909832671E-2</v>
      </c>
      <c r="P32" s="4">
        <v>26</v>
      </c>
      <c r="Q32" s="28">
        <f>IF(ISBLANK(omie!V30),"",omie!W30)</f>
        <v>94.9</v>
      </c>
      <c r="T32" s="28"/>
      <c r="U32"/>
    </row>
    <row r="33" spans="1:21" x14ac:dyDescent="0.2">
      <c r="A33" t="s">
        <v>820</v>
      </c>
      <c r="B33" t="s">
        <v>401</v>
      </c>
      <c r="C33" s="28">
        <v>68.14</v>
      </c>
      <c r="D33" t="s">
        <v>118</v>
      </c>
      <c r="E33" t="s">
        <v>888</v>
      </c>
      <c r="F33" s="28">
        <f ca="1">apuestas_juL24[[#This Row],[Apuesta Miniporra]]-$B$3</f>
        <v>-4.1700000000000017</v>
      </c>
      <c r="G33" s="68">
        <f ca="1">ABS(apuestas_juL24[[#This Row],[desvio]])/$B$3</f>
        <v>5.7668372285990893E-2</v>
      </c>
      <c r="H33" s="4">
        <f ca="1">_xlfn.RANK.EQ(apuestas_juL24[[#This Row],[desvio %]],apuestas_juL24[desvio %],1)</f>
        <v>19</v>
      </c>
      <c r="J33" s="66" t="s">
        <v>820</v>
      </c>
      <c r="K33" s="10">
        <f ca="1">INDEX(apuestas_juL24[orden],MATCH(resultados_jul[Apuesta MiniPorra],apuestas_juL24[Apuesta Miniporra],0))</f>
        <v>19</v>
      </c>
      <c r="L33" s="6" t="str">
        <f>apuestas_juL24[[#This Row],[Nombre]]</f>
        <v>Juan Pedro Conejo Sanchez</v>
      </c>
      <c r="M33" s="14">
        <f>apuestas_juL24[[#This Row],[Apuesta Miniporra]]</f>
        <v>68.14</v>
      </c>
      <c r="N33" s="14">
        <f ca="1">INDEX(apuestas_juL24[desvio],MATCH(resultados_jul[[#This Row],[Apuesta MiniPorra]],apuestas_juL24[Apuesta Miniporra],0))</f>
        <v>-4.1700000000000017</v>
      </c>
      <c r="O33" s="13">
        <f ca="1">INDEX(apuestas_juL24[desvio %],MATCH(resultados_jul[[#This Row],[Apuesta MiniPorra]],apuestas_juL24[Apuesta Miniporra],0))</f>
        <v>5.7668372285990893E-2</v>
      </c>
      <c r="P33" s="4">
        <v>27</v>
      </c>
      <c r="Q33" s="28">
        <f>IF(ISBLANK(omie!V31),"",omie!W31)</f>
        <v>76.97</v>
      </c>
      <c r="T33" s="28"/>
      <c r="U33"/>
    </row>
    <row r="34" spans="1:21" x14ac:dyDescent="0.2">
      <c r="A34" t="s">
        <v>820</v>
      </c>
      <c r="B34" t="s">
        <v>406</v>
      </c>
      <c r="C34" s="28">
        <v>68</v>
      </c>
      <c r="D34" t="s">
        <v>118</v>
      </c>
      <c r="E34" t="s">
        <v>271</v>
      </c>
      <c r="F34" s="28">
        <f ca="1">apuestas_juL24[[#This Row],[Apuesta Miniporra]]-$B$3</f>
        <v>-4.3100000000000023</v>
      </c>
      <c r="G34" s="68">
        <f ca="1">ABS(apuestas_juL24[[#This Row],[desvio]])/$B$3</f>
        <v>5.9604480708062541E-2</v>
      </c>
      <c r="H34" s="4">
        <f ca="1">_xlfn.RANK.EQ(apuestas_juL24[[#This Row],[desvio %]],apuestas_juL24[desvio %],1)</f>
        <v>21</v>
      </c>
      <c r="J34" s="66" t="s">
        <v>820</v>
      </c>
      <c r="K34" s="10">
        <f ca="1">INDEX(apuestas_juL24[orden],MATCH(resultados_jul[Apuesta MiniPorra],apuestas_juL24[Apuesta Miniporra],0))</f>
        <v>21</v>
      </c>
      <c r="L34" s="6" t="str">
        <f>apuestas_juL24[[#This Row],[Nombre]]</f>
        <v>Javier Pérez Salazar</v>
      </c>
      <c r="M34" s="14">
        <f>apuestas_juL24[[#This Row],[Apuesta Miniporra]]</f>
        <v>68</v>
      </c>
      <c r="N34" s="14">
        <f ca="1">INDEX(apuestas_juL24[desvio],MATCH(resultados_jul[[#This Row],[Apuesta MiniPorra]],apuestas_juL24[Apuesta Miniporra],0))</f>
        <v>-4.3100000000000023</v>
      </c>
      <c r="O34" s="13">
        <f ca="1">INDEX(apuestas_juL24[desvio %],MATCH(resultados_jul[[#This Row],[Apuesta MiniPorra]],apuestas_juL24[Apuesta Miniporra],0))</f>
        <v>5.9604480708062541E-2</v>
      </c>
      <c r="P34" s="4">
        <v>28</v>
      </c>
      <c r="Q34" s="28">
        <f>IF(ISBLANK(omie!V32),"",omie!W32)</f>
        <v>63.33</v>
      </c>
      <c r="T34" s="28"/>
      <c r="U34"/>
    </row>
    <row r="35" spans="1:21" x14ac:dyDescent="0.2">
      <c r="A35" t="s">
        <v>820</v>
      </c>
      <c r="B35" t="s">
        <v>217</v>
      </c>
      <c r="C35" s="28">
        <v>67.89</v>
      </c>
      <c r="D35" t="s">
        <v>118</v>
      </c>
      <c r="E35" t="s">
        <v>123</v>
      </c>
      <c r="F35" s="28">
        <f ca="1">apuestas_juL24[[#This Row],[Apuesta Miniporra]]-$B$3</f>
        <v>-4.4200000000000017</v>
      </c>
      <c r="G35" s="68">
        <f ca="1">ABS(apuestas_juL24[[#This Row],[desvio]])/$B$3</f>
        <v>6.1125708753975959E-2</v>
      </c>
      <c r="H35" s="4">
        <f ca="1">_xlfn.RANK.EQ(apuestas_juL24[[#This Row],[desvio %]],apuestas_juL24[desvio %],1)</f>
        <v>22</v>
      </c>
      <c r="J35" s="66" t="s">
        <v>820</v>
      </c>
      <c r="K35" s="10">
        <f ca="1">INDEX(apuestas_juL24[orden],MATCH(resultados_jul[Apuesta MiniPorra],apuestas_juL24[Apuesta Miniporra],0))</f>
        <v>22</v>
      </c>
      <c r="L35" s="6" t="str">
        <f>apuestas_juL24[[#This Row],[Nombre]]</f>
        <v>Fernando Sánchez-Rey Maeso</v>
      </c>
      <c r="M35" s="14">
        <f>apuestas_juL24[[#This Row],[Apuesta Miniporra]]</f>
        <v>67.89</v>
      </c>
      <c r="N35" s="14">
        <f ca="1">INDEX(apuestas_juL24[desvio],MATCH(resultados_jul[[#This Row],[Apuesta MiniPorra]],apuestas_juL24[Apuesta Miniporra],0))</f>
        <v>-4.4200000000000017</v>
      </c>
      <c r="O35" s="13">
        <f ca="1">INDEX(apuestas_juL24[desvio %],MATCH(resultados_jul[[#This Row],[Apuesta MiniPorra]],apuestas_juL24[Apuesta Miniporra],0))</f>
        <v>6.1125708753975959E-2</v>
      </c>
      <c r="P35" s="4">
        <v>29</v>
      </c>
      <c r="Q35" s="28">
        <f>IF(ISBLANK(omie!V33),"",omie!W33)</f>
        <v>108.78</v>
      </c>
      <c r="T35" s="28"/>
      <c r="U35"/>
    </row>
    <row r="36" spans="1:21" x14ac:dyDescent="0.2">
      <c r="A36" t="s">
        <v>820</v>
      </c>
      <c r="B36" t="s">
        <v>215</v>
      </c>
      <c r="C36" s="28">
        <v>67.7</v>
      </c>
      <c r="D36" t="s">
        <v>118</v>
      </c>
      <c r="E36" t="s">
        <v>103</v>
      </c>
      <c r="F36" s="28">
        <f ca="1">apuestas_juL24[[#This Row],[Apuesta Miniporra]]-$B$3</f>
        <v>-4.6099999999999994</v>
      </c>
      <c r="G36" s="68">
        <f ca="1">ABS(apuestas_juL24[[#This Row],[desvio]])/$B$3</f>
        <v>6.3753284469644581E-2</v>
      </c>
      <c r="H36" s="4">
        <f ca="1">_xlfn.RANK.EQ(apuestas_juL24[[#This Row],[desvio %]],apuestas_juL24[desvio %],1)</f>
        <v>24</v>
      </c>
      <c r="J36" s="66" t="s">
        <v>820</v>
      </c>
      <c r="K36" s="4">
        <f ca="1">INDEX(apuestas_juL24[orden],MATCH(resultados_jul[Apuesta MiniPorra],apuestas_juL24[Apuesta Miniporra],0))</f>
        <v>24</v>
      </c>
      <c r="L36" s="63" t="str">
        <f>apuestas_juL24[[#This Row],[Nombre]]</f>
        <v>Carles Estruch Puig</v>
      </c>
      <c r="M36" s="28">
        <f>apuestas_juL24[[#This Row],[Apuesta Miniporra]]</f>
        <v>67.7</v>
      </c>
      <c r="N36" s="4">
        <f ca="1">INDEX(apuestas_juL24[desvio],MATCH(resultados_jul[[#This Row],[Apuesta MiniPorra]],apuestas_juL24[Apuesta Miniporra],0))</f>
        <v>-4.6099999999999994</v>
      </c>
      <c r="O36" s="13">
        <f ca="1">INDEX(apuestas_juL24[desvio %],MATCH(resultados_jul[[#This Row],[Apuesta MiniPorra]],apuestas_juL24[Apuesta Miniporra],0))</f>
        <v>6.3753284469644581E-2</v>
      </c>
      <c r="P36" s="4">
        <v>30</v>
      </c>
      <c r="Q36" s="28">
        <f>IF(ISBLANK(omie!V34),"",omie!W34)</f>
        <v>99.71</v>
      </c>
      <c r="T36"/>
      <c r="U36"/>
    </row>
    <row r="37" spans="1:21" x14ac:dyDescent="0.2">
      <c r="A37" t="s">
        <v>820</v>
      </c>
      <c r="B37" t="s">
        <v>292</v>
      </c>
      <c r="C37" s="28">
        <v>67.45</v>
      </c>
      <c r="D37" t="s">
        <v>118</v>
      </c>
      <c r="E37" t="s">
        <v>878</v>
      </c>
      <c r="F37" s="28">
        <f ca="1">apuestas_juL24[[#This Row],[Apuesta Miniporra]]-$B$3</f>
        <v>-4.8599999999999994</v>
      </c>
      <c r="G37" s="68">
        <f ca="1">ABS(apuestas_juL24[[#This Row],[desvio]])/$B$3</f>
        <v>6.7210620937629639E-2</v>
      </c>
      <c r="H37" s="4">
        <f ca="1">_xlfn.RANK.EQ(apuestas_juL24[[#This Row],[desvio %]],apuestas_juL24[desvio %],1)</f>
        <v>25</v>
      </c>
      <c r="J37" s="66" t="s">
        <v>820</v>
      </c>
      <c r="K37" s="4">
        <f ca="1">INDEX(apuestas_juL24[orden],MATCH(resultados_jul[Apuesta MiniPorra],apuestas_juL24[Apuesta Miniporra],0))</f>
        <v>25</v>
      </c>
      <c r="L37" s="63" t="str">
        <f>apuestas_juL24[[#This Row],[Nombre]]</f>
        <v>Oscar Mulas Crespo</v>
      </c>
      <c r="M37" s="28">
        <f>apuestas_juL24[[#This Row],[Apuesta Miniporra]]</f>
        <v>67.45</v>
      </c>
      <c r="N37" s="4">
        <f ca="1">INDEX(apuestas_juL24[desvio],MATCH(resultados_jul[[#This Row],[Apuesta MiniPorra]],apuestas_juL24[Apuesta Miniporra],0))</f>
        <v>-4.8599999999999994</v>
      </c>
      <c r="O37" s="13">
        <f ca="1">INDEX(apuestas_juL24[desvio %],MATCH(resultados_jul[[#This Row],[Apuesta MiniPorra]],apuestas_juL24[Apuesta Miniporra],0))</f>
        <v>6.7210620937629639E-2</v>
      </c>
      <c r="P37" s="4">
        <v>31</v>
      </c>
      <c r="Q37" s="104" t="str">
        <f>IF(ISBLANK(omie!S35),"",omie!T35)</f>
        <v/>
      </c>
      <c r="T37"/>
      <c r="U37"/>
    </row>
    <row r="38" spans="1:21" x14ac:dyDescent="0.2">
      <c r="A38" t="s">
        <v>820</v>
      </c>
      <c r="B38" t="s">
        <v>219</v>
      </c>
      <c r="C38" s="28">
        <v>66.67</v>
      </c>
      <c r="D38" t="s">
        <v>118</v>
      </c>
      <c r="E38" t="s">
        <v>451</v>
      </c>
      <c r="F38" s="28">
        <f ca="1">apuestas_juL24[[#This Row],[Apuesta Miniporra]]-$B$3</f>
        <v>-5.6400000000000006</v>
      </c>
      <c r="G38" s="68">
        <f ca="1">ABS(apuestas_juL24[[#This Row],[desvio]])/$B$3</f>
        <v>7.7997510717743052E-2</v>
      </c>
      <c r="H38" s="4">
        <f ca="1">_xlfn.RANK.EQ(apuestas_juL24[[#This Row],[desvio %]],apuestas_juL24[desvio %],1)</f>
        <v>28</v>
      </c>
      <c r="J38" s="66" t="s">
        <v>820</v>
      </c>
      <c r="K38" s="4">
        <f ca="1">INDEX(apuestas_juL24[orden],MATCH(resultados_jul[Apuesta MiniPorra],apuestas_juL24[Apuesta Miniporra],0))</f>
        <v>28</v>
      </c>
      <c r="L38" s="63" t="str">
        <f>apuestas_juL24[[#This Row],[Nombre]]</f>
        <v>Jaime Larrañaga Juez</v>
      </c>
      <c r="M38" s="28">
        <f>apuestas_juL24[[#This Row],[Apuesta Miniporra]]</f>
        <v>66.67</v>
      </c>
      <c r="N38" s="4">
        <f ca="1">INDEX(apuestas_juL24[desvio],MATCH(resultados_jul[[#This Row],[Apuesta MiniPorra]],apuestas_juL24[Apuesta Miniporra],0))</f>
        <v>-5.6400000000000006</v>
      </c>
      <c r="O38" s="13">
        <f ca="1">INDEX(apuestas_juL24[desvio %],MATCH(resultados_jul[[#This Row],[Apuesta MiniPorra]],apuestas_juL24[Apuesta Miniporra],0))</f>
        <v>7.7997510717743052E-2</v>
      </c>
      <c r="Q38" s="78"/>
      <c r="U38" s="42"/>
    </row>
    <row r="39" spans="1:21" x14ac:dyDescent="0.2">
      <c r="A39" t="s">
        <v>820</v>
      </c>
      <c r="B39" t="s">
        <v>543</v>
      </c>
      <c r="C39" s="28">
        <v>66.66</v>
      </c>
      <c r="D39" t="s">
        <v>933</v>
      </c>
      <c r="E39" t="s">
        <v>351</v>
      </c>
      <c r="F39" s="28">
        <f ca="1">apuestas_juL24[[#This Row],[Apuesta Miniporra]]-$B$3</f>
        <v>-5.6500000000000057</v>
      </c>
      <c r="G39" s="68">
        <f ca="1">ABS(apuestas_juL24[[#This Row],[desvio]])/$B$3</f>
        <v>7.8135804176462528E-2</v>
      </c>
      <c r="H39" s="4">
        <f ca="1">_xlfn.RANK.EQ(apuestas_juL24[[#This Row],[desvio %]],apuestas_juL24[desvio %],1)</f>
        <v>29</v>
      </c>
      <c r="J39" s="66" t="s">
        <v>820</v>
      </c>
      <c r="K39" s="4">
        <f ca="1">INDEX(apuestas_juL24[orden],MATCH(resultados_jul[Apuesta MiniPorra],apuestas_juL24[Apuesta Miniporra],0))</f>
        <v>29</v>
      </c>
      <c r="L39" s="63" t="str">
        <f>apuestas_juL24[[#This Row],[Nombre]]</f>
        <v>Roberto Parro Cortés</v>
      </c>
      <c r="M39" s="28">
        <f>apuestas_juL24[[#This Row],[Apuesta Miniporra]]</f>
        <v>66.66</v>
      </c>
      <c r="N39" s="4">
        <f ca="1">INDEX(apuestas_juL24[desvio],MATCH(resultados_jul[[#This Row],[Apuesta MiniPorra]],apuestas_juL24[Apuesta Miniporra],0))</f>
        <v>-5.6500000000000057</v>
      </c>
      <c r="O39" s="13">
        <f ca="1">INDEX(apuestas_juL24[desvio %],MATCH(resultados_jul[[#This Row],[Apuesta MiniPorra]],apuestas_juL24[Apuesta Miniporra],0))</f>
        <v>7.8135804176462528E-2</v>
      </c>
      <c r="P39" s="78"/>
      <c r="Q39" s="78"/>
      <c r="U39" s="42"/>
    </row>
    <row r="40" spans="1:21" x14ac:dyDescent="0.2">
      <c r="A40" t="s">
        <v>820</v>
      </c>
      <c r="B40" t="s">
        <v>242</v>
      </c>
      <c r="C40" s="28">
        <v>66.5</v>
      </c>
      <c r="D40" t="s">
        <v>118</v>
      </c>
      <c r="E40" t="s">
        <v>242</v>
      </c>
      <c r="F40" s="28">
        <f ca="1">apuestas_juL24[[#This Row],[Apuesta Miniporra]]-$B$3</f>
        <v>-5.8100000000000023</v>
      </c>
      <c r="G40" s="68">
        <f ca="1">ABS(apuestas_juL24[[#This Row],[desvio]])/$B$3</f>
        <v>8.0348499515972921E-2</v>
      </c>
      <c r="H40" s="4">
        <f ca="1">_xlfn.RANK.EQ(apuestas_juL24[[#This Row],[desvio %]],apuestas_juL24[desvio %],1)</f>
        <v>30</v>
      </c>
      <c r="J40" s="66" t="s">
        <v>820</v>
      </c>
      <c r="K40" s="4">
        <f ca="1">INDEX(apuestas_juL24[orden],MATCH(resultados_jul[Apuesta MiniPorra],apuestas_juL24[Apuesta Miniporra],0))</f>
        <v>30</v>
      </c>
      <c r="L40" s="63" t="str">
        <f>apuestas_juL24[[#This Row],[Nombre]]</f>
        <v>Javier Espelta</v>
      </c>
      <c r="M40" s="28">
        <f>apuestas_juL24[[#This Row],[Apuesta Miniporra]]</f>
        <v>66.5</v>
      </c>
      <c r="N40" s="4">
        <f ca="1">INDEX(apuestas_juL24[desvio],MATCH(resultados_jul[[#This Row],[Apuesta MiniPorra]],apuestas_juL24[Apuesta Miniporra],0))</f>
        <v>-5.8100000000000023</v>
      </c>
      <c r="O40" s="13">
        <f ca="1">INDEX(apuestas_juL24[desvio %],MATCH(resultados_jul[[#This Row],[Apuesta MiniPorra]],apuestas_juL24[Apuesta Miniporra],0))</f>
        <v>8.0348499515972921E-2</v>
      </c>
      <c r="P40" s="78"/>
      <c r="Q40" s="78"/>
      <c r="U40" s="42"/>
    </row>
    <row r="41" spans="1:21" x14ac:dyDescent="0.2">
      <c r="A41" t="s">
        <v>820</v>
      </c>
      <c r="B41" t="s">
        <v>806</v>
      </c>
      <c r="C41" s="28">
        <v>65.569999999999993</v>
      </c>
      <c r="D41" t="s">
        <v>864</v>
      </c>
      <c r="E41" t="s">
        <v>865</v>
      </c>
      <c r="F41" s="28">
        <f ca="1">apuestas_juL24[[#This Row],[Apuesta Miniporra]]-$B$3</f>
        <v>-6.7400000000000091</v>
      </c>
      <c r="G41" s="68">
        <f ca="1">ABS(apuestas_juL24[[#This Row],[desvio]])/$B$3</f>
        <v>9.3209791176877457E-2</v>
      </c>
      <c r="H41" s="4">
        <f ca="1">_xlfn.RANK.EQ(apuestas_juL24[[#This Row],[desvio %]],apuestas_juL24[desvio %],1)</f>
        <v>34</v>
      </c>
      <c r="J41" s="66" t="s">
        <v>820</v>
      </c>
      <c r="K41" s="4">
        <f ca="1">INDEX(apuestas_juL24[orden],MATCH(resultados_jul[Apuesta MiniPorra],apuestas_juL24[Apuesta Miniporra],0))</f>
        <v>34</v>
      </c>
      <c r="L41" s="63" t="str">
        <f>apuestas_juL24[[#This Row],[Nombre]]</f>
        <v>Jorge González Arconada</v>
      </c>
      <c r="M41" s="28">
        <f>apuestas_juL24[[#This Row],[Apuesta Miniporra]]</f>
        <v>65.569999999999993</v>
      </c>
      <c r="N41" s="4">
        <f ca="1">INDEX(apuestas_juL24[desvio],MATCH(resultados_jul[[#This Row],[Apuesta MiniPorra]],apuestas_juL24[Apuesta Miniporra],0))</f>
        <v>-6.7400000000000091</v>
      </c>
      <c r="O41" s="13">
        <f ca="1">INDEX(apuestas_juL24[desvio %],MATCH(resultados_jul[[#This Row],[Apuesta MiniPorra]],apuestas_juL24[Apuesta Miniporra],0))</f>
        <v>9.3209791176877457E-2</v>
      </c>
      <c r="P41" s="78"/>
      <c r="Q41" s="78"/>
      <c r="U41" s="42"/>
    </row>
    <row r="42" spans="1:21" x14ac:dyDescent="0.2">
      <c r="A42" t="s">
        <v>820</v>
      </c>
      <c r="B42" t="s">
        <v>786</v>
      </c>
      <c r="C42" s="28">
        <v>65.5</v>
      </c>
      <c r="D42" t="s">
        <v>861</v>
      </c>
      <c r="E42" t="s">
        <v>728</v>
      </c>
      <c r="F42" s="28">
        <f ca="1">apuestas_juL24[[#This Row],[Apuesta Miniporra]]-$B$3</f>
        <v>-6.8100000000000023</v>
      </c>
      <c r="G42" s="68">
        <f ca="1">ABS(apuestas_juL24[[#This Row],[desvio]])/$B$3</f>
        <v>9.4177845387913184E-2</v>
      </c>
      <c r="H42" s="4">
        <f ca="1">_xlfn.RANK.EQ(apuestas_juL24[[#This Row],[desvio %]],apuestas_juL24[desvio %],1)</f>
        <v>35</v>
      </c>
      <c r="J42" s="66" t="s">
        <v>820</v>
      </c>
      <c r="K42" s="4">
        <f ca="1">INDEX(apuestas_juL24[orden],MATCH(resultados_jul[Apuesta MiniPorra],apuestas_juL24[Apuesta Miniporra],0))</f>
        <v>35</v>
      </c>
      <c r="L42" t="str">
        <f>apuestas_juL24[[#This Row],[Nombre]]</f>
        <v>Paco Cuadrado</v>
      </c>
      <c r="M42" s="28">
        <f>apuestas_juL24[[#This Row],[Apuesta Miniporra]]</f>
        <v>65.5</v>
      </c>
      <c r="N42" s="4">
        <f ca="1">INDEX(apuestas_juL24[desvio],MATCH(resultados_jul[[#This Row],[Apuesta MiniPorra]],apuestas_juL24[Apuesta Miniporra],0))</f>
        <v>-6.8100000000000023</v>
      </c>
      <c r="O42" s="13">
        <f ca="1">INDEX(apuestas_juL24[desvio %],MATCH(resultados_jul[[#This Row],[Apuesta MiniPorra]],apuestas_juL24[Apuesta Miniporra],0))</f>
        <v>9.4177845387913184E-2</v>
      </c>
      <c r="P42" s="78"/>
      <c r="Q42" s="78"/>
      <c r="U42" s="42"/>
    </row>
    <row r="43" spans="1:21" x14ac:dyDescent="0.2">
      <c r="A43" t="s">
        <v>820</v>
      </c>
      <c r="B43" t="s">
        <v>362</v>
      </c>
      <c r="C43" s="28">
        <v>65.260000000000005</v>
      </c>
      <c r="D43" t="s">
        <v>118</v>
      </c>
      <c r="E43" t="s">
        <v>213</v>
      </c>
      <c r="F43" s="28">
        <f ca="1">apuestas_juL24[[#This Row],[Apuesta Miniporra]]-$B$3</f>
        <v>-7.0499999999999972</v>
      </c>
      <c r="G43" s="68">
        <f ca="1">ABS(apuestas_juL24[[#This Row],[desvio]])/$B$3</f>
        <v>9.7496888397178766E-2</v>
      </c>
      <c r="H43" s="4">
        <f ca="1">_xlfn.RANK.EQ(apuestas_juL24[[#This Row],[desvio %]],apuestas_juL24[desvio %],1)</f>
        <v>36</v>
      </c>
      <c r="J43" s="66" t="s">
        <v>820</v>
      </c>
      <c r="K43" s="4">
        <f ca="1">INDEX(apuestas_juL24[orden],MATCH(resultados_jul[Apuesta MiniPorra],apuestas_juL24[Apuesta Miniporra],0))</f>
        <v>36</v>
      </c>
      <c r="L43" t="str">
        <f>apuestas_juL24[[#This Row],[Nombre]]</f>
        <v>Inés Monroy</v>
      </c>
      <c r="M43" s="28">
        <f>apuestas_juL24[[#This Row],[Apuesta Miniporra]]</f>
        <v>65.260000000000005</v>
      </c>
      <c r="N43" s="4">
        <f ca="1">INDEX(apuestas_juL24[desvio],MATCH(resultados_jul[[#This Row],[Apuesta MiniPorra]],apuestas_juL24[Apuesta Miniporra],0))</f>
        <v>-7.0499999999999972</v>
      </c>
      <c r="O43" s="13">
        <f ca="1">INDEX(apuestas_juL24[desvio %],MATCH(resultados_jul[[#This Row],[Apuesta MiniPorra]],apuestas_juL24[Apuesta Miniporra],0))</f>
        <v>9.7496888397178766E-2</v>
      </c>
      <c r="P43" s="78"/>
      <c r="Q43" s="78"/>
      <c r="U43" s="42"/>
    </row>
    <row r="44" spans="1:21" x14ac:dyDescent="0.2">
      <c r="A44" t="s">
        <v>820</v>
      </c>
      <c r="B44" t="s">
        <v>403</v>
      </c>
      <c r="C44" s="28">
        <v>65.25</v>
      </c>
      <c r="D44" t="s">
        <v>944</v>
      </c>
      <c r="E44" t="s">
        <v>67</v>
      </c>
      <c r="F44" s="28">
        <f ca="1">apuestas_juL24[[#This Row],[Apuesta Miniporra]]-$B$3</f>
        <v>-7.0600000000000023</v>
      </c>
      <c r="G44" s="68">
        <f ca="1">ABS(apuestas_juL24[[#This Row],[desvio]])/$B$3</f>
        <v>9.7635181855898243E-2</v>
      </c>
      <c r="H44" s="4">
        <f ca="1">_xlfn.RANK.EQ(apuestas_juL24[[#This Row],[desvio %]],apuestas_juL24[desvio %],1)</f>
        <v>37</v>
      </c>
      <c r="J44" s="66" t="s">
        <v>820</v>
      </c>
      <c r="K44" s="4">
        <f ca="1">INDEX(apuestas_juL24[orden],MATCH(resultados_jul[Apuesta MiniPorra],apuestas_juL24[Apuesta Miniporra],0))</f>
        <v>37</v>
      </c>
      <c r="L44" t="str">
        <f>apuestas_juL24[[#This Row],[Nombre]]</f>
        <v>Luis Angel Garzon Velasco</v>
      </c>
      <c r="M44" s="28">
        <f>apuestas_juL24[[#This Row],[Apuesta Miniporra]]</f>
        <v>65.25</v>
      </c>
      <c r="N44" s="4">
        <f ca="1">INDEX(apuestas_juL24[desvio],MATCH(resultados_jul[[#This Row],[Apuesta MiniPorra]],apuestas_juL24[Apuesta Miniporra],0))</f>
        <v>-7.0600000000000023</v>
      </c>
      <c r="O44" s="13">
        <f ca="1">INDEX(apuestas_juL24[desvio %],MATCH(resultados_jul[[#This Row],[Apuesta MiniPorra]],apuestas_juL24[Apuesta Miniporra],0))</f>
        <v>9.7635181855898243E-2</v>
      </c>
      <c r="P44" s="78"/>
      <c r="Q44" s="78"/>
      <c r="U44" s="42"/>
    </row>
    <row r="45" spans="1:21" x14ac:dyDescent="0.2">
      <c r="A45" t="s">
        <v>820</v>
      </c>
      <c r="B45" t="s">
        <v>335</v>
      </c>
      <c r="C45" s="28">
        <v>64.709999999999994</v>
      </c>
      <c r="D45" t="s">
        <v>942</v>
      </c>
      <c r="E45" t="s">
        <v>160</v>
      </c>
      <c r="F45" s="28">
        <f ca="1">apuestas_juL24[[#This Row],[Apuesta Miniporra]]-$B$3</f>
        <v>-7.6000000000000085</v>
      </c>
      <c r="G45" s="68">
        <f ca="1">ABS(apuestas_juL24[[#This Row],[desvio]])/$B$3</f>
        <v>0.10510302862674607</v>
      </c>
      <c r="H45" s="4">
        <f ca="1">_xlfn.RANK.EQ(apuestas_juL24[[#This Row],[desvio %]],apuestas_juL24[desvio %],1)</f>
        <v>39</v>
      </c>
      <c r="J45" s="66" t="s">
        <v>820</v>
      </c>
      <c r="K45" s="4">
        <f ca="1">INDEX(apuestas_juL24[orden],MATCH(resultados_jul[Apuesta MiniPorra],apuestas_juL24[Apuesta Miniporra],0))</f>
        <v>39</v>
      </c>
      <c r="L45" t="str">
        <f>apuestas_juL24[[#This Row],[Nombre]]</f>
        <v>Carlos Callejón</v>
      </c>
      <c r="M45" s="28">
        <f>apuestas_juL24[[#This Row],[Apuesta Miniporra]]</f>
        <v>64.709999999999994</v>
      </c>
      <c r="N45" s="4">
        <f ca="1">INDEX(apuestas_juL24[desvio],MATCH(resultados_jul[[#This Row],[Apuesta MiniPorra]],apuestas_juL24[Apuesta Miniporra],0))</f>
        <v>-7.6000000000000085</v>
      </c>
      <c r="O45" s="13">
        <f ca="1">INDEX(apuestas_juL24[desvio %],MATCH(resultados_jul[[#This Row],[Apuesta MiniPorra]],apuestas_juL24[Apuesta Miniporra],0))</f>
        <v>0.10510302862674607</v>
      </c>
      <c r="P45" s="78"/>
      <c r="Q45" s="78"/>
      <c r="U45" s="42"/>
    </row>
    <row r="46" spans="1:21" x14ac:dyDescent="0.2">
      <c r="A46" t="s">
        <v>820</v>
      </c>
      <c r="B46" t="s">
        <v>952</v>
      </c>
      <c r="C46" s="28">
        <v>64.67</v>
      </c>
      <c r="D46" t="s">
        <v>118</v>
      </c>
      <c r="E46" t="s">
        <v>899</v>
      </c>
      <c r="F46" s="28">
        <f ca="1">apuestas_juL24[[#This Row],[Apuesta Miniporra]]-$B$3</f>
        <v>-7.6400000000000006</v>
      </c>
      <c r="G46" s="68">
        <f ca="1">ABS(apuestas_juL24[[#This Row],[desvio]])/$B$3</f>
        <v>0.10565620246162356</v>
      </c>
      <c r="H46" s="4">
        <f ca="1">_xlfn.RANK.EQ(apuestas_juL24[[#This Row],[desvio %]],apuestas_juL24[desvio %],1)</f>
        <v>40</v>
      </c>
      <c r="J46" s="66" t="s">
        <v>820</v>
      </c>
      <c r="K46" s="4">
        <f ca="1">INDEX(apuestas_juL24[orden],MATCH(resultados_jul[Apuesta MiniPorra],apuestas_juL24[Apuesta Miniporra],0))</f>
        <v>40</v>
      </c>
      <c r="L46" t="str">
        <f>apuestas_juL24[[#This Row],[Nombre]]</f>
        <v>Javier Perez De Eulate</v>
      </c>
      <c r="M46" s="28">
        <f>apuestas_juL24[[#This Row],[Apuesta Miniporra]]</f>
        <v>64.67</v>
      </c>
      <c r="N46" s="4">
        <f ca="1">INDEX(apuestas_juL24[desvio],MATCH(resultados_jul[[#This Row],[Apuesta MiniPorra]],apuestas_juL24[Apuesta Miniporra],0))</f>
        <v>-7.6400000000000006</v>
      </c>
      <c r="O46" s="13">
        <f ca="1">INDEX(apuestas_juL24[desvio %],MATCH(resultados_jul[[#This Row],[Apuesta MiniPorra]],apuestas_juL24[Apuesta Miniporra],0))</f>
        <v>0.10565620246162356</v>
      </c>
      <c r="P46" s="78"/>
      <c r="Q46" s="78"/>
      <c r="U46" s="42"/>
    </row>
    <row r="47" spans="1:21" x14ac:dyDescent="0.2">
      <c r="A47" t="s">
        <v>820</v>
      </c>
      <c r="B47" t="s">
        <v>953</v>
      </c>
      <c r="C47" s="28">
        <v>64.239999999999995</v>
      </c>
      <c r="D47" t="s">
        <v>118</v>
      </c>
      <c r="E47" t="s">
        <v>843</v>
      </c>
      <c r="F47" s="28">
        <f ca="1">apuestas_juL24[[#This Row],[Apuesta Miniporra]]-$B$3</f>
        <v>-8.0700000000000074</v>
      </c>
      <c r="G47" s="68">
        <f ca="1">ABS(apuestas_juL24[[#This Row],[desvio]])/$B$3</f>
        <v>0.11160282118655797</v>
      </c>
      <c r="H47" s="4">
        <f ca="1">_xlfn.RANK.EQ(apuestas_juL24[[#This Row],[desvio %]],apuestas_juL24[desvio %],1)</f>
        <v>41</v>
      </c>
      <c r="J47" s="66" t="s">
        <v>820</v>
      </c>
      <c r="K47" s="4">
        <f ca="1">INDEX(apuestas_juL24[orden],MATCH(resultados_jul[Apuesta MiniPorra],apuestas_juL24[Apuesta Miniporra],0))</f>
        <v>41</v>
      </c>
      <c r="L47" t="str">
        <f>apuestas_juL24[[#This Row],[Nombre]]</f>
        <v>Jose Carlos Perez</v>
      </c>
      <c r="M47" s="28">
        <f>apuestas_juL24[[#This Row],[Apuesta Miniporra]]</f>
        <v>64.239999999999995</v>
      </c>
      <c r="N47" s="4">
        <f ca="1">INDEX(apuestas_juL24[desvio],MATCH(resultados_jul[[#This Row],[Apuesta MiniPorra]],apuestas_juL24[Apuesta Miniporra],0))</f>
        <v>-8.0700000000000074</v>
      </c>
      <c r="O47" s="13">
        <f ca="1">INDEX(apuestas_juL24[desvio %],MATCH(resultados_jul[[#This Row],[Apuesta MiniPorra]],apuestas_juL24[Apuesta Miniporra],0))</f>
        <v>0.11160282118655797</v>
      </c>
      <c r="P47" s="78"/>
      <c r="Q47" s="78"/>
      <c r="U47" s="42"/>
    </row>
    <row r="48" spans="1:21" x14ac:dyDescent="0.2">
      <c r="A48" t="s">
        <v>820</v>
      </c>
      <c r="B48" t="s">
        <v>937</v>
      </c>
      <c r="C48" s="28">
        <v>63.91</v>
      </c>
      <c r="D48" t="s">
        <v>118</v>
      </c>
      <c r="E48" t="s">
        <v>937</v>
      </c>
      <c r="F48" s="28">
        <f ca="1">apuestas_juL24[[#This Row],[Apuesta Miniporra]]-$B$3</f>
        <v>-8.4000000000000057</v>
      </c>
      <c r="G48" s="68">
        <f ca="1">ABS(apuestas_juL24[[#This Row],[desvio]])/$B$3</f>
        <v>0.11616650532429823</v>
      </c>
      <c r="H48" s="4">
        <f ca="1">_xlfn.RANK.EQ(apuestas_juL24[[#This Row],[desvio %]],apuestas_juL24[desvio %],1)</f>
        <v>42</v>
      </c>
      <c r="J48" s="66" t="s">
        <v>820</v>
      </c>
      <c r="K48" s="4">
        <f ca="1">INDEX(apuestas_juL24[orden],MATCH(resultados_jul[Apuesta MiniPorra],apuestas_juL24[Apuesta Miniporra],0))</f>
        <v>42</v>
      </c>
      <c r="L48" t="str">
        <f>apuestas_juL24[[#This Row],[Nombre]]</f>
        <v>José Valle</v>
      </c>
      <c r="M48" s="28">
        <f>apuestas_juL24[[#This Row],[Apuesta Miniporra]]</f>
        <v>63.91</v>
      </c>
      <c r="N48" s="4">
        <f ca="1">INDEX(apuestas_juL24[desvio],MATCH(resultados_jul[[#This Row],[Apuesta MiniPorra]],apuestas_juL24[Apuesta Miniporra],0))</f>
        <v>-8.4000000000000057</v>
      </c>
      <c r="O48" s="13">
        <f ca="1">INDEX(apuestas_juL24[desvio %],MATCH(resultados_jul[[#This Row],[Apuesta MiniPorra]],apuestas_juL24[Apuesta Miniporra],0))</f>
        <v>0.11616650532429823</v>
      </c>
      <c r="P48" s="78"/>
      <c r="Q48" s="78"/>
      <c r="U48" s="42"/>
    </row>
    <row r="49" spans="1:21" x14ac:dyDescent="0.2">
      <c r="A49" t="s">
        <v>820</v>
      </c>
      <c r="B49" t="s">
        <v>405</v>
      </c>
      <c r="C49" s="28">
        <v>60.68</v>
      </c>
      <c r="D49" t="s">
        <v>118</v>
      </c>
      <c r="E49" t="s">
        <v>159</v>
      </c>
      <c r="F49" s="28">
        <f ca="1">apuestas_juL24[[#This Row],[Apuesta Miniporra]]-$B$3</f>
        <v>-11.630000000000003</v>
      </c>
      <c r="G49" s="68">
        <f ca="1">ABS(apuestas_juL24[[#This Row],[desvio]])/$B$3</f>
        <v>0.16083529249066522</v>
      </c>
      <c r="H49" s="4">
        <f ca="1">_xlfn.RANK.EQ(apuestas_juL24[[#This Row],[desvio %]],apuestas_juL24[desvio %],1)</f>
        <v>43</v>
      </c>
      <c r="J49" s="66" t="s">
        <v>820</v>
      </c>
      <c r="K49" s="4">
        <f ca="1">INDEX(apuestas_juL24[orden],MATCH(resultados_jul[Apuesta MiniPorra],apuestas_juL24[Apuesta Miniporra],0))</f>
        <v>43</v>
      </c>
      <c r="L49" t="str">
        <f>apuestas_juL24[[#This Row],[Nombre]]</f>
        <v>Marc Soler Collell</v>
      </c>
      <c r="M49" s="28">
        <f>apuestas_juL24[[#This Row],[Apuesta Miniporra]]</f>
        <v>60.68</v>
      </c>
      <c r="N49" s="4">
        <f ca="1">INDEX(apuestas_juL24[desvio],MATCH(resultados_jul[[#This Row],[Apuesta MiniPorra]],apuestas_juL24[Apuesta Miniporra],0))</f>
        <v>-11.630000000000003</v>
      </c>
      <c r="O49" s="71">
        <f ca="1">INDEX(apuestas_juL24[desvio %],MATCH(resultados_jul[[#This Row],[Apuesta MiniPorra]],apuestas_juL24[Apuesta Miniporra],0))</f>
        <v>0.16083529249066522</v>
      </c>
      <c r="P49" s="78"/>
      <c r="Q49" s="78"/>
      <c r="U49" s="42"/>
    </row>
    <row r="50" spans="1:21" x14ac:dyDescent="0.2">
      <c r="A50" t="s">
        <v>820</v>
      </c>
      <c r="B50" t="s">
        <v>9</v>
      </c>
      <c r="C50" s="28">
        <v>60</v>
      </c>
      <c r="D50" t="s">
        <v>912</v>
      </c>
      <c r="E50" t="s">
        <v>561</v>
      </c>
      <c r="F50" s="28">
        <f ca="1">apuestas_juL24[[#This Row],[Apuesta Miniporra]]-$B$3</f>
        <v>-12.310000000000002</v>
      </c>
      <c r="G50" s="68">
        <f ca="1">ABS(apuestas_juL24[[#This Row],[desvio]])/$B$3</f>
        <v>0.17023924768358459</v>
      </c>
      <c r="H50" s="4">
        <f ca="1">_xlfn.RANK.EQ(apuestas_juL24[[#This Row],[desvio %]],apuestas_juL24[desvio %],1)</f>
        <v>44</v>
      </c>
      <c r="J50" s="66" t="s">
        <v>820</v>
      </c>
      <c r="K50" s="4">
        <f ca="1">INDEX(apuestas_juL24[orden],MATCH(resultados_jul[Apuesta MiniPorra],apuestas_juL24[Apuesta Miniporra],0))</f>
        <v>44</v>
      </c>
      <c r="L50" t="str">
        <f>apuestas_juL24[[#This Row],[Nombre]]</f>
        <v>Alfonso Zárate Conde</v>
      </c>
      <c r="M50" s="28">
        <f>apuestas_juL24[[#This Row],[Apuesta Miniporra]]</f>
        <v>60</v>
      </c>
      <c r="N50" s="4">
        <f ca="1">INDEX(apuestas_juL24[desvio],MATCH(resultados_jul[[#This Row],[Apuesta MiniPorra]],apuestas_juL24[Apuesta Miniporra],0))</f>
        <v>-12.310000000000002</v>
      </c>
      <c r="O50" s="71">
        <f ca="1">INDEX(apuestas_juL24[desvio %],MATCH(resultados_jul[[#This Row],[Apuesta MiniPorra]],apuestas_juL24[Apuesta Miniporra],0))</f>
        <v>0.17023924768358459</v>
      </c>
      <c r="P50" s="78"/>
      <c r="Q50" s="78"/>
      <c r="U50" s="42"/>
    </row>
    <row r="51" spans="1:21" x14ac:dyDescent="0.2">
      <c r="A51" t="s">
        <v>820</v>
      </c>
      <c r="B51" t="s">
        <v>954</v>
      </c>
      <c r="C51" s="28">
        <v>58.37</v>
      </c>
      <c r="D51" t="s">
        <v>871</v>
      </c>
      <c r="E51" t="s">
        <v>872</v>
      </c>
      <c r="F51" s="28">
        <f ca="1">apuestas_juL24[[#This Row],[Apuesta Miniporra]]-$B$3</f>
        <v>-13.940000000000005</v>
      </c>
      <c r="G51" s="68">
        <f ca="1">ABS(apuestas_juL24[[#This Row],[desvio]])/$B$3</f>
        <v>0.19278108145484724</v>
      </c>
      <c r="H51" s="4">
        <f ca="1">_xlfn.RANK.EQ(apuestas_juL24[[#This Row],[desvio %]],apuestas_juL24[desvio %],1)</f>
        <v>45</v>
      </c>
      <c r="J51" s="66" t="s">
        <v>820</v>
      </c>
      <c r="K51" s="4">
        <f ca="1">INDEX(apuestas_juL24[orden],MATCH(resultados_jul[Apuesta MiniPorra],apuestas_juL24[Apuesta Miniporra],0))</f>
        <v>45</v>
      </c>
      <c r="L51" t="str">
        <f>apuestas_juL24[[#This Row],[Nombre]]</f>
        <v>Juan José Cuervo Arias</v>
      </c>
      <c r="M51" s="28">
        <f>apuestas_juL24[[#This Row],[Apuesta Miniporra]]</f>
        <v>58.37</v>
      </c>
      <c r="N51" s="4">
        <f ca="1">INDEX(apuestas_juL24[desvio],MATCH(resultados_jul[[#This Row],[Apuesta MiniPorra]],apuestas_juL24[Apuesta Miniporra],0))</f>
        <v>-13.940000000000005</v>
      </c>
      <c r="O51" s="71">
        <f ca="1">INDEX(apuestas_juL24[desvio %],MATCH(resultados_jul[[#This Row],[Apuesta MiniPorra]],apuestas_juL24[Apuesta Miniporra],0))</f>
        <v>0.19278108145484724</v>
      </c>
      <c r="P51" s="78"/>
      <c r="Q51" s="78"/>
      <c r="U51" s="42"/>
    </row>
    <row r="52" spans="1:21" x14ac:dyDescent="0.2">
      <c r="A52" t="s">
        <v>820</v>
      </c>
      <c r="B52" t="s">
        <v>793</v>
      </c>
      <c r="C52" s="28">
        <v>55.1</v>
      </c>
      <c r="D52" t="s">
        <v>922</v>
      </c>
      <c r="E52" t="s">
        <v>923</v>
      </c>
      <c r="F52" s="28">
        <f ca="1">apuestas_juL24[[#This Row],[Apuesta Miniporra]]-$B$3</f>
        <v>-17.21</v>
      </c>
      <c r="G52" s="68">
        <f ca="1">ABS(apuestas_juL24[[#This Row],[desvio]])/$B$3</f>
        <v>0.23800304245609183</v>
      </c>
      <c r="H52" s="4">
        <f ca="1">_xlfn.RANK.EQ(apuestas_juL24[[#This Row],[desvio %]],apuestas_juL24[desvio %],1)</f>
        <v>46</v>
      </c>
      <c r="J52" s="66" t="s">
        <v>820</v>
      </c>
      <c r="K52" s="4">
        <f ca="1">INDEX(apuestas_juL24[orden],MATCH(resultados_jul[Apuesta MiniPorra],apuestas_juL24[Apuesta Miniporra],0))</f>
        <v>46</v>
      </c>
      <c r="L52" t="str">
        <f>apuestas_juL24[[#This Row],[Nombre]]</f>
        <v>Paco Luis Pérez Zarco</v>
      </c>
      <c r="M52" s="28">
        <f>apuestas_juL24[[#This Row],[Apuesta Miniporra]]</f>
        <v>55.1</v>
      </c>
      <c r="N52" s="4">
        <f ca="1">INDEX(apuestas_juL24[desvio],MATCH(resultados_jul[[#This Row],[Apuesta MiniPorra]],apuestas_juL24[Apuesta Miniporra],0))</f>
        <v>-17.21</v>
      </c>
      <c r="O52" s="71">
        <f ca="1">INDEX(apuestas_juL24[desvio %],MATCH(resultados_jul[[#This Row],[Apuesta MiniPorra]],apuestas_juL24[Apuesta Miniporra],0))</f>
        <v>0.23800304245609183</v>
      </c>
      <c r="P52" s="78"/>
      <c r="Q52" s="78"/>
      <c r="U52" s="42"/>
    </row>
    <row r="53" spans="1:21" x14ac:dyDescent="0.2">
      <c r="A53" t="s">
        <v>820</v>
      </c>
      <c r="B53" t="s">
        <v>955</v>
      </c>
      <c r="C53" s="28">
        <v>50.03</v>
      </c>
      <c r="D53" t="s">
        <v>118</v>
      </c>
      <c r="E53" t="s">
        <v>919</v>
      </c>
      <c r="F53" s="28">
        <f ca="1">apuestas_juL24[[#This Row],[Apuesta Miniporra]]-$B$3</f>
        <v>-22.28</v>
      </c>
      <c r="G53" s="68">
        <f ca="1">ABS(apuestas_juL24[[#This Row],[desvio]])/$B$3</f>
        <v>0.30811782602682891</v>
      </c>
      <c r="H53" s="4">
        <f ca="1">_xlfn.RANK.EQ(apuestas_juL24[[#This Row],[desvio %]],apuestas_juL24[desvio %],1)</f>
        <v>47</v>
      </c>
      <c r="J53" s="66" t="s">
        <v>820</v>
      </c>
      <c r="K53" s="4">
        <f ca="1">INDEX(apuestas_juL24[orden],MATCH(resultados_jul[Apuesta MiniPorra],apuestas_juL24[Apuesta Miniporra],0))</f>
        <v>47</v>
      </c>
      <c r="L53" t="str">
        <f>apuestas_juL24[[#This Row],[Nombre]]</f>
        <v>Lucia Garin</v>
      </c>
      <c r="M53" s="28">
        <f>apuestas_juL24[[#This Row],[Apuesta Miniporra]]</f>
        <v>50.03</v>
      </c>
      <c r="N53" s="4">
        <f ca="1">INDEX(apuestas_juL24[desvio],MATCH(resultados_jul[[#This Row],[Apuesta MiniPorra]],apuestas_juL24[Apuesta Miniporra],0))</f>
        <v>-22.28</v>
      </c>
      <c r="O53" s="71">
        <f ca="1">INDEX(apuestas_juL24[desvio %],MATCH(resultados_jul[[#This Row],[Apuesta MiniPorra]],apuestas_juL24[Apuesta Miniporra],0))</f>
        <v>0.30811782602682891</v>
      </c>
      <c r="P53" s="71"/>
      <c r="Q53" s="71"/>
      <c r="U53" s="42"/>
    </row>
    <row r="54" spans="1:21" x14ac:dyDescent="0.2">
      <c r="A54" t="s">
        <v>820</v>
      </c>
      <c r="B54" t="s">
        <v>407</v>
      </c>
      <c r="C54" s="28">
        <v>48.3</v>
      </c>
      <c r="D54" t="s">
        <v>118</v>
      </c>
      <c r="E54" t="s">
        <v>151</v>
      </c>
      <c r="F54" s="28">
        <f ca="1">apuestas_juL24[[#This Row],[Apuesta Miniporra]]-$B$3</f>
        <v>-24.010000000000005</v>
      </c>
      <c r="G54" s="68">
        <f ca="1">ABS(apuestas_juL24[[#This Row],[desvio]])/$B$3</f>
        <v>0.33204259438528566</v>
      </c>
      <c r="H54" s="4">
        <f ca="1">_xlfn.RANK.EQ(apuestas_juL24[[#This Row],[desvio %]],apuestas_juL24[desvio %],1)</f>
        <v>48</v>
      </c>
      <c r="J54" s="66" t="s">
        <v>820</v>
      </c>
      <c r="K54" s="4">
        <f ca="1">INDEX(apuestas_juL24[orden],MATCH(resultados_jul[Apuesta MiniPorra],apuestas_juL24[Apuesta Miniporra],0))</f>
        <v>48</v>
      </c>
      <c r="L54" t="str">
        <f>apuestas_juL24[[#This Row],[Nombre]]</f>
        <v>Vicente Fayos Gavila</v>
      </c>
      <c r="M54" s="28">
        <f>apuestas_juL24[[#This Row],[Apuesta Miniporra]]</f>
        <v>48.3</v>
      </c>
      <c r="N54" s="4">
        <f ca="1">INDEX(apuestas_juL24[desvio],MATCH(resultados_jul[[#This Row],[Apuesta MiniPorra]],apuestas_juL24[Apuesta Miniporra],0))</f>
        <v>-24.010000000000005</v>
      </c>
      <c r="O54" s="71">
        <f ca="1">INDEX(apuestas_juL24[desvio %],MATCH(resultados_jul[[#This Row],[Apuesta MiniPorra]],apuestas_juL24[Apuesta Miniporra],0))</f>
        <v>0.33204259438528566</v>
      </c>
      <c r="U54" s="42"/>
    </row>
    <row r="55" spans="1:21" x14ac:dyDescent="0.2">
      <c r="A55" t="s">
        <v>820</v>
      </c>
      <c r="B55" t="s">
        <v>650</v>
      </c>
      <c r="C55" s="28">
        <v>47.3</v>
      </c>
      <c r="D55" t="s">
        <v>118</v>
      </c>
      <c r="E55" t="s">
        <v>761</v>
      </c>
      <c r="F55" s="28">
        <f ca="1">apuestas_juL24[[#This Row],[Apuesta Miniporra]]-$B$3</f>
        <v>-25.010000000000005</v>
      </c>
      <c r="G55" s="68">
        <f ca="1">ABS(apuestas_juL24[[#This Row],[desvio]])/$B$3</f>
        <v>0.3458719402572259</v>
      </c>
      <c r="H55" s="4">
        <f ca="1">_xlfn.RANK.EQ(apuestas_juL24[[#This Row],[desvio %]],apuestas_juL24[desvio %],1)</f>
        <v>49</v>
      </c>
      <c r="J55" s="66" t="s">
        <v>820</v>
      </c>
      <c r="K55" s="4">
        <f ca="1">INDEX(apuestas_juL24[orden],MATCH(resultados_jul[Apuesta MiniPorra],apuestas_juL24[Apuesta Miniporra],0))</f>
        <v>49</v>
      </c>
      <c r="L55" t="str">
        <f>apuestas_juL24[[#This Row],[Nombre]]</f>
        <v>Iñaki Moriana García</v>
      </c>
      <c r="M55" s="28">
        <f>apuestas_juL24[[#This Row],[Apuesta Miniporra]]</f>
        <v>47.3</v>
      </c>
      <c r="N55" s="4">
        <f ca="1">INDEX(apuestas_juL24[desvio],MATCH(resultados_jul[[#This Row],[Apuesta MiniPorra]],apuestas_juL24[Apuesta Miniporra],0))</f>
        <v>-25.010000000000005</v>
      </c>
      <c r="O55" s="71">
        <f ca="1">INDEX(apuestas_juL24[desvio %],MATCH(resultados_jul[[#This Row],[Apuesta MiniPorra]],apuestas_juL24[Apuesta Miniporra],0))</f>
        <v>0.3458719402572259</v>
      </c>
      <c r="U55" s="42"/>
    </row>
    <row r="56" spans="1:21" x14ac:dyDescent="0.2">
      <c r="A56" t="s">
        <v>820</v>
      </c>
      <c r="B56" t="s">
        <v>956</v>
      </c>
      <c r="C56" s="28">
        <v>43.4</v>
      </c>
      <c r="D56" t="s">
        <v>822</v>
      </c>
      <c r="E56" t="s">
        <v>817</v>
      </c>
      <c r="F56" s="28">
        <f ca="1">apuestas_juL24[[#This Row],[Apuesta Miniporra]]-$B$3</f>
        <v>-28.910000000000004</v>
      </c>
      <c r="G56" s="68">
        <f ca="1">ABS(apuestas_juL24[[#This Row],[desvio]])/$B$3</f>
        <v>0.39980638915779287</v>
      </c>
      <c r="H56" s="4">
        <f ca="1">_xlfn.RANK.EQ(apuestas_juL24[[#This Row],[desvio %]],apuestas_juL24[desvio %],1)</f>
        <v>50</v>
      </c>
      <c r="J56" s="66" t="s">
        <v>820</v>
      </c>
      <c r="K56" s="4">
        <f ca="1">INDEX(apuestas_juL24[orden],MATCH(resultados_jul[Apuesta MiniPorra],apuestas_juL24[Apuesta Miniporra],0))</f>
        <v>50</v>
      </c>
      <c r="L56" t="str">
        <f>apuestas_juL24[[#This Row],[Nombre]]</f>
        <v>Hugo Pimiento</v>
      </c>
      <c r="M56" s="28">
        <f>apuestas_juL24[[#This Row],[Apuesta Miniporra]]</f>
        <v>43.4</v>
      </c>
      <c r="N56" s="4">
        <f ca="1">INDEX(apuestas_juL24[desvio],MATCH(resultados_jul[[#This Row],[Apuesta MiniPorra]],apuestas_juL24[Apuesta Miniporra],0))</f>
        <v>-28.910000000000004</v>
      </c>
      <c r="O56" s="71">
        <f ca="1">INDEX(apuestas_juL24[desvio %],MATCH(resultados_jul[[#This Row],[Apuesta MiniPorra]],apuestas_juL24[Apuesta Miniporra],0))</f>
        <v>0.39980638915779287</v>
      </c>
      <c r="U56" s="42"/>
    </row>
    <row r="57" spans="1:21" x14ac:dyDescent="0.2">
      <c r="A57" t="s">
        <v>820</v>
      </c>
      <c r="B57" t="s">
        <v>957</v>
      </c>
      <c r="C57" s="28">
        <v>37.64</v>
      </c>
      <c r="D57" t="s">
        <v>118</v>
      </c>
      <c r="E57" t="s">
        <v>873</v>
      </c>
      <c r="F57" s="28">
        <f ca="1">apuestas_juL24[[#This Row],[Apuesta Miniporra]]-$B$3</f>
        <v>-34.67</v>
      </c>
      <c r="G57" s="68">
        <f ca="1">ABS(apuestas_juL24[[#This Row],[desvio]])/$B$3</f>
        <v>0.47946342138016873</v>
      </c>
      <c r="H57" s="4">
        <f ca="1">_xlfn.RANK.EQ(apuestas_juL24[[#This Row],[desvio %]],apuestas_juL24[desvio %],1)</f>
        <v>51</v>
      </c>
      <c r="J57" s="66" t="s">
        <v>820</v>
      </c>
      <c r="K57" s="4">
        <f ca="1">INDEX(apuestas_juL24[orden],MATCH(resultados_jul[Apuesta MiniPorra],apuestas_juL24[Apuesta Miniporra],0))</f>
        <v>51</v>
      </c>
      <c r="L57" t="str">
        <f>apuestas_juL24[[#This Row],[Nombre]]</f>
        <v>Gonzalo Cruz Ortega</v>
      </c>
      <c r="M57" s="28">
        <f>apuestas_juL24[[#This Row],[Apuesta Miniporra]]</f>
        <v>37.64</v>
      </c>
      <c r="N57" s="4">
        <f ca="1">INDEX(apuestas_juL24[desvio],MATCH(resultados_jul[[#This Row],[Apuesta MiniPorra]],apuestas_juL24[Apuesta Miniporra],0))</f>
        <v>-34.67</v>
      </c>
      <c r="O57" s="71">
        <f ca="1">INDEX(apuestas_juL24[desvio %],MATCH(resultados_jul[[#This Row],[Apuesta MiniPorra]],apuestas_juL24[Apuesta Miniporra],0))</f>
        <v>0.47946342138016873</v>
      </c>
      <c r="U57" s="42"/>
    </row>
    <row r="58" spans="1:21" x14ac:dyDescent="0.2">
      <c r="A58" t="s">
        <v>820</v>
      </c>
      <c r="B58" t="s">
        <v>958</v>
      </c>
      <c r="C58" s="28">
        <v>33.6</v>
      </c>
      <c r="D58" t="s">
        <v>848</v>
      </c>
      <c r="E58" t="s">
        <v>846</v>
      </c>
      <c r="F58" s="28">
        <f ca="1">apuestas_juL24[[#This Row],[Apuesta Miniporra]]-$B$3</f>
        <v>-38.71</v>
      </c>
      <c r="G58" s="68">
        <f ca="1">ABS(apuestas_juL24[[#This Row],[desvio]])/$B$3</f>
        <v>0.5353339787028073</v>
      </c>
      <c r="H58" s="4">
        <f ca="1">_xlfn.RANK.EQ(apuestas_juL24[[#This Row],[desvio %]],apuestas_juL24[desvio %],1)</f>
        <v>52</v>
      </c>
      <c r="J58" s="66" t="s">
        <v>820</v>
      </c>
      <c r="K58" s="4">
        <f ca="1">INDEX(apuestas_juL24[orden],MATCH(resultados_jul[Apuesta MiniPorra],apuestas_juL24[Apuesta Miniporra],0))</f>
        <v>52</v>
      </c>
      <c r="L58" t="str">
        <f>apuestas_juL24[[#This Row],[Nombre]]</f>
        <v>Moisés Labarquilla</v>
      </c>
      <c r="M58" s="28">
        <f>apuestas_juL24[[#This Row],[Apuesta Miniporra]]</f>
        <v>33.6</v>
      </c>
      <c r="N58" s="4">
        <f ca="1">INDEX(apuestas_juL24[desvio],MATCH(resultados_jul[[#This Row],[Apuesta MiniPorra]],apuestas_juL24[Apuesta Miniporra],0))</f>
        <v>-38.71</v>
      </c>
      <c r="O58" s="71">
        <f ca="1">INDEX(apuestas_juL24[desvio %],MATCH(resultados_jul[[#This Row],[Apuesta MiniPorra]],apuestas_juL24[Apuesta Miniporra],0))</f>
        <v>0.5353339787028073</v>
      </c>
      <c r="U58" s="42"/>
    </row>
    <row r="59" spans="1:21" x14ac:dyDescent="0.2">
      <c r="K59" s="106"/>
      <c r="L59" s="106"/>
      <c r="M59" s="106"/>
      <c r="N59" s="106"/>
      <c r="O59" s="106"/>
      <c r="U59" s="42"/>
    </row>
    <row r="60" spans="1:21" x14ac:dyDescent="0.2">
      <c r="K60" s="106"/>
      <c r="L60" s="106"/>
      <c r="M60" s="106"/>
      <c r="N60" s="106"/>
      <c r="O60" s="106"/>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58">
    <cfRule type="expression" dxfId="49" priority="2">
      <formula>$K7=3</formula>
    </cfRule>
    <cfRule type="expression" dxfId="48" priority="3">
      <formula>$K7=2</formula>
    </cfRule>
    <cfRule type="expression" dxfId="47" priority="4">
      <formula>$K7=1</formula>
    </cfRule>
  </conditionalFormatting>
  <conditionalFormatting sqref="R8:S13 R17:S20 R25:S26">
    <cfRule type="expression" dxfId="46" priority="9">
      <formula>$K38=1</formula>
    </cfRule>
  </conditionalFormatting>
  <conditionalFormatting sqref="P39:Q54 Q38 P58:Q60">
    <cfRule type="expression" dxfId="45" priority="10">
      <formula>$K34=3</formula>
    </cfRule>
    <cfRule type="expression" dxfId="44" priority="11">
      <formula>$K34=2</formula>
    </cfRule>
    <cfRule type="expression" dxfId="43" priority="12">
      <formula>$K34=1</formula>
    </cfRule>
  </conditionalFormatting>
  <conditionalFormatting sqref="O7:O58">
    <cfRule type="dataBar" priority="71">
      <dataBar>
        <cfvo type="min"/>
        <cfvo type="max"/>
        <color rgb="FFFF555A"/>
      </dataBar>
      <extLst>
        <ext xmlns:x14="http://schemas.microsoft.com/office/spreadsheetml/2009/9/main" uri="{B025F937-C7B1-47D3-B67F-A62EFF666E3E}">
          <x14:id>{226C04BC-0146-464B-8A17-DC920610C600}</x14:id>
        </ext>
      </extLst>
    </cfRule>
  </conditionalFormatting>
  <conditionalFormatting sqref="C7:C58">
    <cfRule type="duplicateValues" dxfId="42" priority="81"/>
  </conditionalFormatting>
  <conditionalFormatting sqref="B7:B58">
    <cfRule type="duplicateValues" dxfId="41" priority="83"/>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891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891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891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226C04BC-0146-464B-8A17-DC920610C600}">
            <x14:dataBar minLength="0" maxLength="100" border="1" negativeBarBorderColorSameAsPositive="0">
              <x14:cfvo type="autoMin"/>
              <x14:cfvo type="autoMax"/>
              <x14:borderColor rgb="FFFF555A"/>
              <x14:negativeFillColor rgb="FFFF0000"/>
              <x14:negativeBorderColor rgb="FFFF0000"/>
              <x14:axisColor rgb="FF000000"/>
            </x14:dataBar>
          </x14:cfRule>
          <xm:sqref>O7:O58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74A24-C6CE-4113-A073-D2FF41C9B5B7}">
  <sheetPr codeName="Hoja18">
    <tabColor rgb="FF00B050"/>
  </sheetPr>
  <dimension ref="A1:Y71"/>
  <sheetViews>
    <sheetView showGridLines="0" tabSelected="1" zoomScale="130" zoomScaleNormal="130" workbookViewId="0">
      <selection activeCell="R57" sqref="R57"/>
    </sheetView>
  </sheetViews>
  <sheetFormatPr baseColWidth="10" defaultRowHeight="12" x14ac:dyDescent="0.2"/>
  <cols>
    <col min="1" max="1" width="10.140625" customWidth="1"/>
    <col min="2" max="2" width="15.855468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9.28515625" style="4" customWidth="1"/>
    <col min="17" max="17" width="12"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COUNTA(apuestas_ago[Mes de apuesta])</f>
        <v>41</v>
      </c>
      <c r="G1" s="15" t="s">
        <v>236</v>
      </c>
      <c r="H1" s="23">
        <v>5</v>
      </c>
      <c r="I1" s="29"/>
      <c r="K1" s="130" t="s">
        <v>546</v>
      </c>
      <c r="L1" s="131"/>
      <c r="M1" s="119" t="s">
        <v>3</v>
      </c>
      <c r="N1" s="125" t="s">
        <v>1043</v>
      </c>
      <c r="O1" s="126"/>
      <c r="P1" s="123" t="s">
        <v>4</v>
      </c>
      <c r="Q1" s="124"/>
      <c r="R1" s="145" t="s">
        <v>1044</v>
      </c>
      <c r="S1" s="146"/>
      <c r="T1" s="146"/>
      <c r="U1" s="79"/>
      <c r="Y1" s="109"/>
    </row>
    <row r="2" spans="1:25" ht="12" customHeight="1" x14ac:dyDescent="0.2">
      <c r="A2" t="s">
        <v>3</v>
      </c>
      <c r="B2" s="23" t="str">
        <f>A7</f>
        <v>Ago 2024</v>
      </c>
      <c r="C2" s="4" t="s">
        <v>243</v>
      </c>
      <c r="G2" s="15" t="s">
        <v>253</v>
      </c>
      <c r="H2" s="24">
        <f ca="1">TODAY()</f>
        <v>45509</v>
      </c>
      <c r="I2" s="29"/>
      <c r="K2" s="132"/>
      <c r="L2" s="133"/>
      <c r="M2" s="120"/>
      <c r="N2" s="127"/>
      <c r="O2" s="128"/>
      <c r="P2" s="123"/>
      <c r="Q2" s="124"/>
      <c r="R2" s="145"/>
      <c r="S2" s="146"/>
      <c r="T2" s="146"/>
      <c r="U2" s="79"/>
      <c r="Y2" s="109"/>
    </row>
    <row r="3" spans="1:25" ht="12" customHeight="1" x14ac:dyDescent="0.2">
      <c r="A3" t="s">
        <v>229</v>
      </c>
      <c r="B3" s="44">
        <f ca="1">IF(C3="",ROUND(AVERAGE(omie!Z5:OFFSET(omie!Z5,MATCH(B4,omie_agosto[fecha],0)-1,0)),2),C3)</f>
        <v>92.75</v>
      </c>
      <c r="C3" s="65"/>
      <c r="G3" s="109" t="s">
        <v>248</v>
      </c>
      <c r="H3" s="109"/>
      <c r="I3" s="29"/>
      <c r="K3" s="132"/>
      <c r="L3" s="133"/>
      <c r="M3" s="121" t="s">
        <v>13</v>
      </c>
      <c r="N3" s="129">
        <f>H1</f>
        <v>5</v>
      </c>
      <c r="O3" s="129"/>
      <c r="P3" s="122">
        <f ca="1">B3</f>
        <v>92.75</v>
      </c>
      <c r="Q3" s="122"/>
      <c r="R3" s="145"/>
      <c r="S3" s="146"/>
      <c r="T3" s="146"/>
      <c r="U3" s="79"/>
      <c r="Y3" s="109"/>
    </row>
    <row r="4" spans="1:25" ht="12" customHeight="1" x14ac:dyDescent="0.2">
      <c r="A4" t="s">
        <v>6</v>
      </c>
      <c r="B4" s="3">
        <f>DATE(2024,8,H1)</f>
        <v>45509</v>
      </c>
      <c r="G4" t="s">
        <v>247</v>
      </c>
      <c r="H4" s="67">
        <f>[1]omie_dinamic_dia!$G$2</f>
        <v>5</v>
      </c>
      <c r="I4" s="29"/>
      <c r="K4" s="132"/>
      <c r="L4" s="133"/>
      <c r="M4" s="121"/>
      <c r="N4" s="129"/>
      <c r="O4" s="129"/>
      <c r="P4" s="122"/>
      <c r="Q4" s="122"/>
      <c r="R4" s="145"/>
      <c r="S4" s="146"/>
      <c r="T4" s="146"/>
      <c r="U4" s="79"/>
      <c r="Y4" s="109"/>
    </row>
    <row r="5" spans="1:25" ht="12" customHeight="1" x14ac:dyDescent="0.2">
      <c r="A5" t="s">
        <v>15</v>
      </c>
      <c r="B5" s="3">
        <f>MAX(omie_agosto[fecha])</f>
        <v>45509</v>
      </c>
      <c r="I5" s="29"/>
      <c r="K5" s="134"/>
      <c r="L5" s="135"/>
      <c r="M5" s="121"/>
      <c r="N5" s="129"/>
      <c r="O5" s="129"/>
      <c r="P5" s="122"/>
      <c r="Q5" s="122"/>
      <c r="R5" s="145"/>
      <c r="S5" s="146"/>
      <c r="T5" s="146"/>
      <c r="U5" s="79"/>
      <c r="Y5" s="109"/>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967</v>
      </c>
      <c r="B7" t="s">
        <v>1036</v>
      </c>
      <c r="C7" s="28">
        <v>87.85</v>
      </c>
      <c r="D7" t="s">
        <v>978</v>
      </c>
      <c r="E7" t="s">
        <v>979</v>
      </c>
      <c r="F7" s="28">
        <f ca="1">apuestas_ago[[#This Row],[Apuesta Miniporra]]-$B$3</f>
        <v>-4.9000000000000057</v>
      </c>
      <c r="G7" s="68">
        <f ca="1">ABS(apuestas_ago[[#This Row],[desvio]])/$B$3</f>
        <v>5.2830188679245348E-2</v>
      </c>
      <c r="H7" s="4">
        <f ca="1">_xlfn.RANK.EQ(apuestas_ago[[#This Row],[desvio %]],apuestas_ago[desvio %],1)</f>
        <v>1</v>
      </c>
      <c r="J7" s="66" t="s">
        <v>967</v>
      </c>
      <c r="K7" s="10">
        <f ca="1">INDEX(apuestas_ago[orden],MATCH(resultados_ago[Apuesta MiniPorra],apuestas_ago[Apuesta Miniporra],0))</f>
        <v>1</v>
      </c>
      <c r="L7" s="6" t="str">
        <f>apuestas_ago[[#This Row],[Nombre]]</f>
        <v>Pablo Herrero Del Barrio</v>
      </c>
      <c r="M7" s="14">
        <f>apuestas_ago[[#This Row],[Apuesta Miniporra]]</f>
        <v>87.85</v>
      </c>
      <c r="N7" s="14">
        <f ca="1">INDEX(apuestas_ago[desvio],MATCH(resultados_ago[[#This Row],[Apuesta MiniPorra]],apuestas_ago[Apuesta Miniporra],0))</f>
        <v>-4.9000000000000057</v>
      </c>
      <c r="O7" s="13">
        <f ca="1">INDEX(apuestas_ago[desvio %],MATCH(resultados_ago[[#This Row],[Apuesta MiniPorra]],apuestas_ago[Apuesta Miniporra],0))</f>
        <v>5.2830188679245348E-2</v>
      </c>
      <c r="P7" s="4">
        <v>1</v>
      </c>
      <c r="Q7" s="28">
        <f>IF(ISBLANK(omie!Y5),"",omie!Z5)</f>
        <v>107.32</v>
      </c>
      <c r="T7"/>
      <c r="U7"/>
      <c r="X7" s="4"/>
      <c r="Y7" s="4"/>
    </row>
    <row r="8" spans="1:25" x14ac:dyDescent="0.2">
      <c r="A8" t="s">
        <v>967</v>
      </c>
      <c r="B8" t="s">
        <v>645</v>
      </c>
      <c r="C8" s="28">
        <v>87.78</v>
      </c>
      <c r="D8" t="s">
        <v>118</v>
      </c>
      <c r="E8" t="s">
        <v>581</v>
      </c>
      <c r="F8" s="28">
        <f ca="1">apuestas_ago[[#This Row],[Apuesta Miniporra]]-$B$3</f>
        <v>-4.9699999999999989</v>
      </c>
      <c r="G8" s="68">
        <f ca="1">ABS(apuestas_ago[[#This Row],[desvio]])/$B$3</f>
        <v>5.3584905660377345E-2</v>
      </c>
      <c r="H8" s="4">
        <f ca="1">_xlfn.RANK.EQ(apuestas_ago[[#This Row],[desvio %]],apuestas_ago[desvio %],1)</f>
        <v>2</v>
      </c>
      <c r="J8" s="66" t="s">
        <v>967</v>
      </c>
      <c r="K8" s="10">
        <f ca="1">INDEX(apuestas_ago[orden],MATCH(resultados_ago[Apuesta MiniPorra],apuestas_ago[Apuesta Miniporra],0))</f>
        <v>2</v>
      </c>
      <c r="L8" s="6" t="str">
        <f>apuestas_ago[[#This Row],[Nombre]]</f>
        <v>Jose Antonio Quidiello Antuña</v>
      </c>
      <c r="M8" s="14">
        <f>apuestas_ago[[#This Row],[Apuesta Miniporra]]</f>
        <v>87.78</v>
      </c>
      <c r="N8" s="14">
        <f ca="1">INDEX(apuestas_ago[desvio],MATCH(resultados_ago[[#This Row],[Apuesta MiniPorra]],apuestas_ago[Apuesta Miniporra],0))</f>
        <v>-4.9699999999999989</v>
      </c>
      <c r="O8" s="13">
        <f ca="1">INDEX(apuestas_ago[desvio %],MATCH(resultados_ago[[#This Row],[Apuesta MiniPorra]],apuestas_ago[Apuesta Miniporra],0))</f>
        <v>5.3584905660377345E-2</v>
      </c>
      <c r="P8" s="4">
        <v>2</v>
      </c>
      <c r="Q8" s="28">
        <f>IF(ISBLANK(omie!Y6),"",omie!Z6)</f>
        <v>93.5</v>
      </c>
      <c r="R8" s="78"/>
      <c r="S8" s="78"/>
      <c r="T8"/>
      <c r="U8"/>
      <c r="X8" s="4"/>
      <c r="Y8" s="4"/>
    </row>
    <row r="9" spans="1:25" x14ac:dyDescent="0.2">
      <c r="A9" t="s">
        <v>967</v>
      </c>
      <c r="B9" t="s">
        <v>1037</v>
      </c>
      <c r="C9" s="28">
        <v>86.91</v>
      </c>
      <c r="D9" t="s">
        <v>118</v>
      </c>
      <c r="E9" t="s">
        <v>940</v>
      </c>
      <c r="F9" s="28">
        <f ca="1">apuestas_ago[[#This Row],[Apuesta Miniporra]]-$B$3</f>
        <v>-5.8400000000000034</v>
      </c>
      <c r="G9" s="68">
        <f ca="1">ABS(apuestas_ago[[#This Row],[desvio]])/$B$3</f>
        <v>6.2964959568733186E-2</v>
      </c>
      <c r="H9" s="4">
        <f ca="1">_xlfn.RANK.EQ(apuestas_ago[[#This Row],[desvio %]],apuestas_ago[desvio %],1)</f>
        <v>3</v>
      </c>
      <c r="J9" s="66" t="s">
        <v>967</v>
      </c>
      <c r="K9" s="10">
        <f ca="1">INDEX(apuestas_ago[orden],MATCH(resultados_ago[Apuesta MiniPorra],apuestas_ago[Apuesta Miniporra],0))</f>
        <v>3</v>
      </c>
      <c r="L9" s="6" t="str">
        <f>apuestas_ago[[#This Row],[Nombre]]</f>
        <v>Rafael Leiva</v>
      </c>
      <c r="M9" s="14">
        <f>apuestas_ago[[#This Row],[Apuesta Miniporra]]</f>
        <v>86.91</v>
      </c>
      <c r="N9" s="14">
        <f ca="1">INDEX(apuestas_ago[desvio],MATCH(resultados_ago[[#This Row],[Apuesta MiniPorra]],apuestas_ago[Apuesta Miniporra],0))</f>
        <v>-5.8400000000000034</v>
      </c>
      <c r="O9" s="13">
        <f ca="1">INDEX(apuestas_ago[desvio %],MATCH(resultados_ago[[#This Row],[Apuesta MiniPorra]],apuestas_ago[Apuesta Miniporra],0))</f>
        <v>6.2964959568733186E-2</v>
      </c>
      <c r="P9" s="4">
        <v>3</v>
      </c>
      <c r="Q9" s="28">
        <f>IF(ISBLANK(omie!Y7),"",omie!Z7)</f>
        <v>77.64</v>
      </c>
      <c r="R9" s="78"/>
      <c r="S9" s="78"/>
      <c r="T9" s="28"/>
      <c r="U9"/>
      <c r="X9" s="4"/>
      <c r="Y9" s="4"/>
    </row>
    <row r="10" spans="1:25" x14ac:dyDescent="0.2">
      <c r="A10" t="s">
        <v>967</v>
      </c>
      <c r="B10" t="s">
        <v>542</v>
      </c>
      <c r="C10" s="28">
        <v>82.28</v>
      </c>
      <c r="D10" t="s">
        <v>987</v>
      </c>
      <c r="E10" t="s">
        <v>542</v>
      </c>
      <c r="F10" s="28">
        <f ca="1">apuestas_ago[[#This Row],[Apuesta Miniporra]]-$B$3</f>
        <v>-10.469999999999999</v>
      </c>
      <c r="G10" s="68">
        <f ca="1">ABS(apuestas_ago[[#This Row],[desvio]])/$B$3</f>
        <v>0.11288409703504042</v>
      </c>
      <c r="H10" s="4">
        <f ca="1">_xlfn.RANK.EQ(apuestas_ago[[#This Row],[desvio %]],apuestas_ago[desvio %],1)</f>
        <v>4</v>
      </c>
      <c r="J10" s="66" t="s">
        <v>967</v>
      </c>
      <c r="K10" s="10">
        <f ca="1">INDEX(apuestas_ago[orden],MATCH(resultados_ago[Apuesta MiniPorra],apuestas_ago[Apuesta Miniporra],0))</f>
        <v>4</v>
      </c>
      <c r="L10" s="6" t="str">
        <f>apuestas_ago[[#This Row],[Nombre]]</f>
        <v>Sergio Alfonso</v>
      </c>
      <c r="M10" s="14">
        <f>apuestas_ago[[#This Row],[Apuesta Miniporra]]</f>
        <v>82.28</v>
      </c>
      <c r="N10" s="14">
        <f ca="1">INDEX(apuestas_ago[desvio],MATCH(resultados_ago[[#This Row],[Apuesta MiniPorra]],apuestas_ago[Apuesta Miniporra],0))</f>
        <v>-10.469999999999999</v>
      </c>
      <c r="O10" s="13">
        <f ca="1">INDEX(apuestas_ago[desvio %],MATCH(resultados_ago[[#This Row],[Apuesta MiniPorra]],apuestas_ago[Apuesta Miniporra],0))</f>
        <v>0.11288409703504042</v>
      </c>
      <c r="P10" s="4">
        <v>4</v>
      </c>
      <c r="Q10" s="28">
        <f>IF(ISBLANK(omie!Y8),"",omie!Z8)</f>
        <v>75.48</v>
      </c>
      <c r="R10" s="78"/>
      <c r="S10" s="78"/>
      <c r="T10" s="28"/>
      <c r="U10"/>
      <c r="X10" s="4"/>
      <c r="Y10" s="4"/>
    </row>
    <row r="11" spans="1:25" x14ac:dyDescent="0.2">
      <c r="A11" t="s">
        <v>967</v>
      </c>
      <c r="B11" t="s">
        <v>222</v>
      </c>
      <c r="C11" s="28">
        <v>81.599999999999994</v>
      </c>
      <c r="D11" t="s">
        <v>994</v>
      </c>
      <c r="E11" t="s">
        <v>178</v>
      </c>
      <c r="F11" s="28">
        <f ca="1">apuestas_ago[[#This Row],[Apuesta Miniporra]]-$B$3</f>
        <v>-11.150000000000006</v>
      </c>
      <c r="G11" s="68">
        <f ca="1">ABS(apuestas_ago[[#This Row],[desvio]])/$B$3</f>
        <v>0.12021563342318066</v>
      </c>
      <c r="H11" s="4">
        <f ca="1">_xlfn.RANK.EQ(apuestas_ago[[#This Row],[desvio %]],apuestas_ago[desvio %],1)</f>
        <v>5</v>
      </c>
      <c r="J11" s="66" t="s">
        <v>967</v>
      </c>
      <c r="K11" s="10">
        <f ca="1">INDEX(apuestas_ago[orden],MATCH(resultados_ago[Apuesta MiniPorra],apuestas_ago[Apuesta Miniporra],0))</f>
        <v>5</v>
      </c>
      <c r="L11" s="6" t="str">
        <f>apuestas_ago[[#This Row],[Nombre]]</f>
        <v>Jose F Vidal</v>
      </c>
      <c r="M11" s="14">
        <f>apuestas_ago[[#This Row],[Apuesta Miniporra]]</f>
        <v>81.599999999999994</v>
      </c>
      <c r="N11" s="14">
        <f ca="1">INDEX(apuestas_ago[desvio],MATCH(resultados_ago[[#This Row],[Apuesta MiniPorra]],apuestas_ago[Apuesta Miniporra],0))</f>
        <v>-11.150000000000006</v>
      </c>
      <c r="O11" s="13">
        <f ca="1">INDEX(apuestas_ago[desvio %],MATCH(resultados_ago[[#This Row],[Apuesta MiniPorra]],apuestas_ago[Apuesta Miniporra],0))</f>
        <v>0.12021563342318066</v>
      </c>
      <c r="P11" s="4">
        <v>5</v>
      </c>
      <c r="Q11" s="28">
        <f>IF(ISBLANK(omie!Y9),"",omie!Z9)</f>
        <v>109.82</v>
      </c>
      <c r="R11" s="78"/>
      <c r="S11" s="78"/>
      <c r="T11" s="28"/>
      <c r="U11"/>
    </row>
    <row r="12" spans="1:25" x14ac:dyDescent="0.2">
      <c r="A12" t="s">
        <v>967</v>
      </c>
      <c r="B12" t="s">
        <v>787</v>
      </c>
      <c r="C12" s="28">
        <v>80.650000000000006</v>
      </c>
      <c r="D12" t="s">
        <v>118</v>
      </c>
      <c r="E12" t="s">
        <v>734</v>
      </c>
      <c r="F12" s="28">
        <f ca="1">apuestas_ago[[#This Row],[Apuesta Miniporra]]-$B$3</f>
        <v>-12.099999999999994</v>
      </c>
      <c r="G12" s="68">
        <f ca="1">ABS(apuestas_ago[[#This Row],[desvio]])/$B$3</f>
        <v>0.13045822102425869</v>
      </c>
      <c r="H12" s="4">
        <f ca="1">_xlfn.RANK.EQ(apuestas_ago[[#This Row],[desvio %]],apuestas_ago[desvio %],1)</f>
        <v>6</v>
      </c>
      <c r="J12" s="66" t="s">
        <v>967</v>
      </c>
      <c r="K12" s="10">
        <f ca="1">INDEX(apuestas_ago[orden],MATCH(resultados_ago[Apuesta MiniPorra],apuestas_ago[Apuesta Miniporra],0))</f>
        <v>6</v>
      </c>
      <c r="L12" s="6" t="str">
        <f>apuestas_ago[[#This Row],[Nombre]]</f>
        <v>Víctor Baeschlin Sánchez</v>
      </c>
      <c r="M12" s="14">
        <f>apuestas_ago[[#This Row],[Apuesta Miniporra]]</f>
        <v>80.650000000000006</v>
      </c>
      <c r="N12" s="14">
        <f ca="1">INDEX(apuestas_ago[desvio],MATCH(resultados_ago[[#This Row],[Apuesta MiniPorra]],apuestas_ago[Apuesta Miniporra],0))</f>
        <v>-12.099999999999994</v>
      </c>
      <c r="O12" s="13">
        <f ca="1">INDEX(apuestas_ago[desvio %],MATCH(resultados_ago[[#This Row],[Apuesta MiniPorra]],apuestas_ago[Apuesta Miniporra],0))</f>
        <v>0.13045822102425869</v>
      </c>
      <c r="P12" s="4">
        <v>6</v>
      </c>
      <c r="Q12" s="28" t="str">
        <f>IF(ISBLANK(omie!Y10),"",omie!Z10)</f>
        <v/>
      </c>
      <c r="R12" s="78"/>
      <c r="S12" s="78"/>
      <c r="T12" s="28"/>
      <c r="U12"/>
    </row>
    <row r="13" spans="1:25" x14ac:dyDescent="0.2">
      <c r="A13" t="s">
        <v>967</v>
      </c>
      <c r="B13" t="s">
        <v>219</v>
      </c>
      <c r="C13" s="28">
        <v>79.989999999999995</v>
      </c>
      <c r="D13" t="s">
        <v>118</v>
      </c>
      <c r="E13" t="s">
        <v>451</v>
      </c>
      <c r="F13" s="28">
        <f ca="1">apuestas_ago[[#This Row],[Apuesta Miniporra]]-$B$3</f>
        <v>-12.760000000000005</v>
      </c>
      <c r="G13" s="68">
        <f ca="1">ABS(apuestas_ago[[#This Row],[desvio]])/$B$3</f>
        <v>0.13757412398921839</v>
      </c>
      <c r="H13" s="4">
        <f ca="1">_xlfn.RANK.EQ(apuestas_ago[[#This Row],[desvio %]],apuestas_ago[desvio %],1)</f>
        <v>7</v>
      </c>
      <c r="J13" s="66" t="s">
        <v>967</v>
      </c>
      <c r="K13" s="10">
        <f ca="1">INDEX(apuestas_ago[orden],MATCH(resultados_ago[Apuesta MiniPorra],apuestas_ago[Apuesta Miniporra],0))</f>
        <v>7</v>
      </c>
      <c r="L13" s="6" t="str">
        <f>apuestas_ago[[#This Row],[Nombre]]</f>
        <v>Jaime Larrañaga Juez</v>
      </c>
      <c r="M13" s="14">
        <f>apuestas_ago[[#This Row],[Apuesta Miniporra]]</f>
        <v>79.989999999999995</v>
      </c>
      <c r="N13" s="14">
        <f ca="1">INDEX(apuestas_ago[desvio],MATCH(resultados_ago[[#This Row],[Apuesta MiniPorra]],apuestas_ago[Apuesta Miniporra],0))</f>
        <v>-12.760000000000005</v>
      </c>
      <c r="O13" s="13">
        <f ca="1">INDEX(apuestas_ago[desvio %],MATCH(resultados_ago[[#This Row],[Apuesta MiniPorra]],apuestas_ago[Apuesta Miniporra],0))</f>
        <v>0.13757412398921839</v>
      </c>
      <c r="P13" s="4">
        <v>7</v>
      </c>
      <c r="Q13" s="28" t="str">
        <f>IF(ISBLANK(omie!Y11),"",omie!Z11)</f>
        <v/>
      </c>
      <c r="R13" s="78"/>
      <c r="S13" s="78"/>
      <c r="T13" s="28"/>
      <c r="U13"/>
    </row>
    <row r="14" spans="1:25" x14ac:dyDescent="0.2">
      <c r="A14" t="s">
        <v>967</v>
      </c>
      <c r="B14" t="s">
        <v>401</v>
      </c>
      <c r="C14" s="28">
        <v>78.989999999999995</v>
      </c>
      <c r="D14" t="s">
        <v>118</v>
      </c>
      <c r="E14" t="s">
        <v>969</v>
      </c>
      <c r="F14" s="28">
        <f ca="1">apuestas_ago[[#This Row],[Apuesta Miniporra]]-$B$3</f>
        <v>-13.760000000000005</v>
      </c>
      <c r="G14" s="68">
        <f ca="1">ABS(apuestas_ago[[#This Row],[desvio]])/$B$3</f>
        <v>0.14835579514824804</v>
      </c>
      <c r="H14" s="4">
        <f ca="1">_xlfn.RANK.EQ(apuestas_ago[[#This Row],[desvio %]],apuestas_ago[desvio %],1)</f>
        <v>8</v>
      </c>
      <c r="J14" s="66" t="s">
        <v>967</v>
      </c>
      <c r="K14" s="10">
        <f ca="1">INDEX(apuestas_ago[orden],MATCH(resultados_ago[Apuesta MiniPorra],apuestas_ago[Apuesta Miniporra],0))</f>
        <v>8</v>
      </c>
      <c r="L14" s="6" t="str">
        <f>apuestas_ago[[#This Row],[Nombre]]</f>
        <v>Juan Pedro Conejo Sanchez</v>
      </c>
      <c r="M14" s="14">
        <f>apuestas_ago[[#This Row],[Apuesta Miniporra]]</f>
        <v>78.989999999999995</v>
      </c>
      <c r="N14" s="14">
        <f ca="1">INDEX(apuestas_ago[desvio],MATCH(resultados_ago[[#This Row],[Apuesta MiniPorra]],apuestas_ago[Apuesta Miniporra],0))</f>
        <v>-13.760000000000005</v>
      </c>
      <c r="O14" s="13">
        <f ca="1">INDEX(apuestas_ago[desvio %],MATCH(resultados_ago[[#This Row],[Apuesta MiniPorra]],apuestas_ago[Apuesta Miniporra],0))</f>
        <v>0.14835579514824804</v>
      </c>
      <c r="P14" s="4">
        <v>8</v>
      </c>
      <c r="Q14" s="28" t="str">
        <f>IF(ISBLANK(omie!Y12),"",omie!Z12)</f>
        <v/>
      </c>
      <c r="R14" s="78"/>
      <c r="S14" s="78"/>
      <c r="T14" s="28"/>
      <c r="U14"/>
    </row>
    <row r="15" spans="1:25" x14ac:dyDescent="0.2">
      <c r="A15" t="s">
        <v>967</v>
      </c>
      <c r="B15" t="s">
        <v>788</v>
      </c>
      <c r="C15" s="28">
        <v>78.61</v>
      </c>
      <c r="D15" t="s">
        <v>932</v>
      </c>
      <c r="E15" t="s">
        <v>740</v>
      </c>
      <c r="F15" s="28">
        <f ca="1">apuestas_ago[[#This Row],[Apuesta Miniporra]]-$B$3</f>
        <v>-14.14</v>
      </c>
      <c r="G15" s="68">
        <f ca="1">ABS(apuestas_ago[[#This Row],[desvio]])/$B$3</f>
        <v>0.15245283018867925</v>
      </c>
      <c r="H15" s="4">
        <f ca="1">_xlfn.RANK.EQ(apuestas_ago[[#This Row],[desvio %]],apuestas_ago[desvio %],1)</f>
        <v>9</v>
      </c>
      <c r="J15" s="66" t="s">
        <v>967</v>
      </c>
      <c r="K15" s="10">
        <f ca="1">INDEX(apuestas_ago[orden],MATCH(resultados_ago[Apuesta MiniPorra],apuestas_ago[Apuesta Miniporra],0))</f>
        <v>9</v>
      </c>
      <c r="L15" s="6" t="str">
        <f>apuestas_ago[[#This Row],[Nombre]]</f>
        <v>Jesús Aceituno López</v>
      </c>
      <c r="M15" s="14">
        <f>apuestas_ago[[#This Row],[Apuesta Miniporra]]</f>
        <v>78.61</v>
      </c>
      <c r="N15" s="14">
        <f ca="1">INDEX(apuestas_ago[desvio],MATCH(resultados_ago[[#This Row],[Apuesta MiniPorra]],apuestas_ago[Apuesta Miniporra],0))</f>
        <v>-14.14</v>
      </c>
      <c r="O15" s="13">
        <f ca="1">INDEX(apuestas_ago[desvio %],MATCH(resultados_ago[[#This Row],[Apuesta MiniPorra]],apuestas_ago[Apuesta Miniporra],0))</f>
        <v>0.15245283018867925</v>
      </c>
      <c r="P15" s="4">
        <v>9</v>
      </c>
      <c r="Q15" s="28" t="str">
        <f>IF(ISBLANK(omie!Y13),"",omie!Z13)</f>
        <v/>
      </c>
      <c r="R15" s="78"/>
      <c r="S15" s="78"/>
      <c r="T15" s="28"/>
      <c r="U15"/>
    </row>
    <row r="16" spans="1:25" x14ac:dyDescent="0.2">
      <c r="A16" t="s">
        <v>967</v>
      </c>
      <c r="B16" t="s">
        <v>406</v>
      </c>
      <c r="C16" s="28">
        <v>78</v>
      </c>
      <c r="D16" t="s">
        <v>1009</v>
      </c>
      <c r="E16" t="s">
        <v>1010</v>
      </c>
      <c r="F16" s="28">
        <f ca="1">apuestas_ago[[#This Row],[Apuesta Miniporra]]-$B$3</f>
        <v>-14.75</v>
      </c>
      <c r="G16" s="68">
        <f ca="1">ABS(apuestas_ago[[#This Row],[desvio]])/$B$3</f>
        <v>0.15902964959568733</v>
      </c>
      <c r="H16" s="4">
        <f ca="1">_xlfn.RANK.EQ(apuestas_ago[[#This Row],[desvio %]],apuestas_ago[desvio %],1)</f>
        <v>10</v>
      </c>
      <c r="J16" s="66" t="s">
        <v>967</v>
      </c>
      <c r="K16" s="10">
        <f ca="1">INDEX(apuestas_ago[orden],MATCH(resultados_ago[Apuesta MiniPorra],apuestas_ago[Apuesta Miniporra],0))</f>
        <v>10</v>
      </c>
      <c r="L16" s="6" t="str">
        <f>apuestas_ago[[#This Row],[Nombre]]</f>
        <v>Javier Pérez Salazar</v>
      </c>
      <c r="M16" s="14">
        <f>apuestas_ago[[#This Row],[Apuesta Miniporra]]</f>
        <v>78</v>
      </c>
      <c r="N16" s="14">
        <f ca="1">INDEX(apuestas_ago[desvio],MATCH(resultados_ago[[#This Row],[Apuesta MiniPorra]],apuestas_ago[Apuesta Miniporra],0))</f>
        <v>-14.75</v>
      </c>
      <c r="O16" s="13">
        <f ca="1">INDEX(apuestas_ago[desvio %],MATCH(resultados_ago[[#This Row],[Apuesta MiniPorra]],apuestas_ago[Apuesta Miniporra],0))</f>
        <v>0.15902964959568733</v>
      </c>
      <c r="P16" s="4">
        <v>10</v>
      </c>
      <c r="Q16" s="28" t="str">
        <f>IF(ISBLANK(omie!Y14),"",omie!Z14)</f>
        <v/>
      </c>
      <c r="R16" s="78"/>
      <c r="S16" s="78"/>
      <c r="T16" s="28"/>
      <c r="U16"/>
    </row>
    <row r="17" spans="1:23" x14ac:dyDescent="0.2">
      <c r="A17" t="s">
        <v>967</v>
      </c>
      <c r="B17" t="s">
        <v>218</v>
      </c>
      <c r="C17" s="28">
        <v>77.7</v>
      </c>
      <c r="D17" t="s">
        <v>1034</v>
      </c>
      <c r="E17" t="s">
        <v>1035</v>
      </c>
      <c r="F17" s="28">
        <f ca="1">apuestas_ago[[#This Row],[Apuesta Miniporra]]-$B$3</f>
        <v>-15.049999999999997</v>
      </c>
      <c r="G17" s="68">
        <f ca="1">ABS(apuestas_ago[[#This Row],[desvio]])/$B$3</f>
        <v>0.16226415094339619</v>
      </c>
      <c r="H17" s="4">
        <f ca="1">_xlfn.RANK.EQ(apuestas_ago[[#This Row],[desvio %]],apuestas_ago[desvio %],1)</f>
        <v>11</v>
      </c>
      <c r="J17" s="66" t="s">
        <v>967</v>
      </c>
      <c r="K17" s="10">
        <f ca="1">INDEX(apuestas_ago[orden],MATCH(resultados_ago[Apuesta MiniPorra],apuestas_ago[Apuesta Miniporra],0))</f>
        <v>11</v>
      </c>
      <c r="L17" s="6" t="str">
        <f>apuestas_ago[[#This Row],[Nombre]]</f>
        <v>Jorge Antonio González Sánchez</v>
      </c>
      <c r="M17" s="14">
        <f>apuestas_ago[[#This Row],[Apuesta Miniporra]]</f>
        <v>77.7</v>
      </c>
      <c r="N17" s="14">
        <f ca="1">INDEX(apuestas_ago[desvio],MATCH(resultados_ago[[#This Row],[Apuesta MiniPorra]],apuestas_ago[Apuesta Miniporra],0))</f>
        <v>-15.049999999999997</v>
      </c>
      <c r="O17" s="13">
        <f ca="1">INDEX(apuestas_ago[desvio %],MATCH(resultados_ago[[#This Row],[Apuesta MiniPorra]],apuestas_ago[Apuesta Miniporra],0))</f>
        <v>0.16226415094339619</v>
      </c>
      <c r="P17" s="4">
        <v>11</v>
      </c>
      <c r="Q17" s="28" t="str">
        <f>IF(ISBLANK(omie!Y15),"",omie!Z15)</f>
        <v/>
      </c>
      <c r="R17" s="78"/>
      <c r="S17" s="78"/>
      <c r="T17" s="28"/>
      <c r="U17"/>
    </row>
    <row r="18" spans="1:23" x14ac:dyDescent="0.2">
      <c r="A18" t="s">
        <v>967</v>
      </c>
      <c r="B18" t="s">
        <v>412</v>
      </c>
      <c r="C18" s="28">
        <v>77.599999999999994</v>
      </c>
      <c r="D18" t="s">
        <v>118</v>
      </c>
      <c r="E18" t="s">
        <v>102</v>
      </c>
      <c r="F18" s="28">
        <f ca="1">apuestas_ago[[#This Row],[Apuesta Miniporra]]-$B$3</f>
        <v>-15.150000000000006</v>
      </c>
      <c r="G18" s="68">
        <f ca="1">ABS(apuestas_ago[[#This Row],[desvio]])/$B$3</f>
        <v>0.16334231805929925</v>
      </c>
      <c r="H18" s="4">
        <f ca="1">_xlfn.RANK.EQ(apuestas_ago[[#This Row],[desvio %]],apuestas_ago[desvio %],1)</f>
        <v>12</v>
      </c>
      <c r="J18" s="66" t="s">
        <v>967</v>
      </c>
      <c r="K18" s="10">
        <f ca="1">INDEX(apuestas_ago[orden],MATCH(resultados_ago[Apuesta MiniPorra],apuestas_ago[Apuesta Miniporra],0))</f>
        <v>12</v>
      </c>
      <c r="L18" s="6" t="str">
        <f>apuestas_ago[[#This Row],[Nombre]]</f>
        <v>Jose Manuel Otero López</v>
      </c>
      <c r="M18" s="14">
        <f>apuestas_ago[[#This Row],[Apuesta Miniporra]]</f>
        <v>77.599999999999994</v>
      </c>
      <c r="N18" s="14">
        <f ca="1">INDEX(apuestas_ago[desvio],MATCH(resultados_ago[[#This Row],[Apuesta MiniPorra]],apuestas_ago[Apuesta Miniporra],0))</f>
        <v>-15.150000000000006</v>
      </c>
      <c r="O18" s="13">
        <f ca="1">INDEX(apuestas_ago[desvio %],MATCH(resultados_ago[[#This Row],[Apuesta MiniPorra]],apuestas_ago[Apuesta Miniporra],0))</f>
        <v>0.16334231805929925</v>
      </c>
      <c r="P18" s="4">
        <v>12</v>
      </c>
      <c r="Q18" s="28" t="str">
        <f>IF(ISBLANK(omie!Y16),"",omie!Z16)</f>
        <v/>
      </c>
      <c r="R18" s="78"/>
      <c r="S18" s="78"/>
      <c r="T18" s="28"/>
      <c r="U18"/>
    </row>
    <row r="19" spans="1:23" x14ac:dyDescent="0.2">
      <c r="A19" t="s">
        <v>967</v>
      </c>
      <c r="B19" t="s">
        <v>242</v>
      </c>
      <c r="C19" s="28">
        <v>76.5</v>
      </c>
      <c r="D19" t="s">
        <v>988</v>
      </c>
      <c r="E19" t="s">
        <v>242</v>
      </c>
      <c r="F19" s="28">
        <f ca="1">apuestas_ago[[#This Row],[Apuesta Miniporra]]-$B$3</f>
        <v>-16.25</v>
      </c>
      <c r="G19" s="68">
        <f ca="1">ABS(apuestas_ago[[#This Row],[desvio]])/$B$3</f>
        <v>0.17520215633423181</v>
      </c>
      <c r="H19" s="4">
        <f ca="1">_xlfn.RANK.EQ(apuestas_ago[[#This Row],[desvio %]],apuestas_ago[desvio %],1)</f>
        <v>13</v>
      </c>
      <c r="J19" s="66" t="s">
        <v>967</v>
      </c>
      <c r="K19" s="10">
        <f ca="1">INDEX(apuestas_ago[orden],MATCH(resultados_ago[Apuesta MiniPorra],apuestas_ago[Apuesta Miniporra],0))</f>
        <v>13</v>
      </c>
      <c r="L19" s="6" t="str">
        <f>apuestas_ago[[#This Row],[Nombre]]</f>
        <v>Javier Espelta</v>
      </c>
      <c r="M19" s="14">
        <f>apuestas_ago[[#This Row],[Apuesta Miniporra]]</f>
        <v>76.5</v>
      </c>
      <c r="N19" s="14">
        <f ca="1">INDEX(apuestas_ago[desvio],MATCH(resultados_ago[[#This Row],[Apuesta MiniPorra]],apuestas_ago[Apuesta Miniporra],0))</f>
        <v>-16.25</v>
      </c>
      <c r="O19" s="13">
        <f ca="1">INDEX(apuestas_ago[desvio %],MATCH(resultados_ago[[#This Row],[Apuesta MiniPorra]],apuestas_ago[Apuesta Miniporra],0))</f>
        <v>0.17520215633423181</v>
      </c>
      <c r="P19" s="4">
        <v>13</v>
      </c>
      <c r="Q19" s="28" t="str">
        <f>IF(ISBLANK(omie!Y17),"",omie!Z17)</f>
        <v/>
      </c>
      <c r="R19" s="71"/>
      <c r="S19" s="71"/>
      <c r="T19" s="28"/>
      <c r="U19"/>
    </row>
    <row r="20" spans="1:23" x14ac:dyDescent="0.2">
      <c r="A20" t="s">
        <v>967</v>
      </c>
      <c r="B20" t="s">
        <v>336</v>
      </c>
      <c r="C20" s="28">
        <v>76.400000000000006</v>
      </c>
      <c r="D20" t="s">
        <v>973</v>
      </c>
      <c r="E20" t="s">
        <v>2</v>
      </c>
      <c r="F20" s="28">
        <f ca="1">apuestas_ago[[#This Row],[Apuesta Miniporra]]-$B$3</f>
        <v>-16.349999999999994</v>
      </c>
      <c r="G20" s="68">
        <f ca="1">ABS(apuestas_ago[[#This Row],[desvio]])/$B$3</f>
        <v>0.1762803234501347</v>
      </c>
      <c r="H20" s="4">
        <f ca="1">_xlfn.RANK.EQ(apuestas_ago[[#This Row],[desvio %]],apuestas_ago[desvio %],1)</f>
        <v>14</v>
      </c>
      <c r="J20" s="66" t="s">
        <v>967</v>
      </c>
      <c r="K20" s="10">
        <f ca="1">INDEX(apuestas_ago[orden],MATCH(resultados_ago[Apuesta MiniPorra],apuestas_ago[Apuesta Miniporra],0))</f>
        <v>14</v>
      </c>
      <c r="L20" s="6" t="str">
        <f>apuestas_ago[[#This Row],[Nombre]]</f>
        <v>Javier Revuelta Alonso</v>
      </c>
      <c r="M20" s="14">
        <f>apuestas_ago[[#This Row],[Apuesta Miniporra]]</f>
        <v>76.400000000000006</v>
      </c>
      <c r="N20" s="14">
        <f ca="1">INDEX(apuestas_ago[desvio],MATCH(resultados_ago[[#This Row],[Apuesta MiniPorra]],apuestas_ago[Apuesta Miniporra],0))</f>
        <v>-16.349999999999994</v>
      </c>
      <c r="O20" s="13">
        <f ca="1">INDEX(apuestas_ago[desvio %],MATCH(resultados_ago[[#This Row],[Apuesta MiniPorra]],apuestas_ago[Apuesta Miniporra],0))</f>
        <v>0.1762803234501347</v>
      </c>
      <c r="P20" s="4">
        <v>14</v>
      </c>
      <c r="Q20" s="28" t="str">
        <f>IF(ISBLANK(omie!Y18),"",omie!Z18)</f>
        <v/>
      </c>
      <c r="T20" s="28"/>
      <c r="U20" s="109"/>
      <c r="V20" s="109"/>
      <c r="W20" s="109"/>
    </row>
    <row r="21" spans="1:23" x14ac:dyDescent="0.2">
      <c r="A21" t="s">
        <v>967</v>
      </c>
      <c r="B21" t="s">
        <v>1039</v>
      </c>
      <c r="C21" s="28">
        <v>76.319999999999993</v>
      </c>
      <c r="D21" t="s">
        <v>771</v>
      </c>
      <c r="E21" t="s">
        <v>772</v>
      </c>
      <c r="F21" s="28">
        <f ca="1">apuestas_ago[[#This Row],[Apuesta Miniporra]]-$B$3</f>
        <v>-16.430000000000007</v>
      </c>
      <c r="G21" s="68">
        <f ca="1">ABS(apuestas_ago[[#This Row],[desvio]])/$B$3</f>
        <v>0.17714285714285721</v>
      </c>
      <c r="H21" s="4">
        <f ca="1">_xlfn.RANK.EQ(apuestas_ago[[#This Row],[desvio %]],apuestas_ago[desvio %],1)</f>
        <v>15</v>
      </c>
      <c r="J21" s="66" t="s">
        <v>967</v>
      </c>
      <c r="K21" s="10">
        <f ca="1">INDEX(apuestas_ago[orden],MATCH(resultados_ago[Apuesta MiniPorra],apuestas_ago[Apuesta Miniporra],0))</f>
        <v>15</v>
      </c>
      <c r="L21" s="6" t="str">
        <f>apuestas_ago[[#This Row],[Nombre]]</f>
        <v>Ricardo Estévez Solís</v>
      </c>
      <c r="M21" s="14">
        <f>apuestas_ago[[#This Row],[Apuesta Miniporra]]</f>
        <v>76.319999999999993</v>
      </c>
      <c r="N21" s="14">
        <f ca="1">INDEX(apuestas_ago[desvio],MATCH(resultados_ago[[#This Row],[Apuesta MiniPorra]],apuestas_ago[Apuesta Miniporra],0))</f>
        <v>-16.430000000000007</v>
      </c>
      <c r="O21" s="13">
        <f ca="1">INDEX(apuestas_ago[desvio %],MATCH(resultados_ago[[#This Row],[Apuesta MiniPorra]],apuestas_ago[Apuesta Miniporra],0))</f>
        <v>0.17714285714285721</v>
      </c>
      <c r="P21" s="4">
        <v>15</v>
      </c>
      <c r="Q21" s="28" t="str">
        <f>IF(ISBLANK(omie!Y19),"",omie!Z19)</f>
        <v/>
      </c>
      <c r="T21" s="28"/>
      <c r="U21" s="109"/>
      <c r="V21" s="109"/>
      <c r="W21" s="109"/>
    </row>
    <row r="22" spans="1:23" x14ac:dyDescent="0.2">
      <c r="A22" t="s">
        <v>967</v>
      </c>
      <c r="B22" t="s">
        <v>408</v>
      </c>
      <c r="C22" s="28">
        <v>76.260000000000005</v>
      </c>
      <c r="D22" t="s">
        <v>990</v>
      </c>
      <c r="E22" t="s">
        <v>456</v>
      </c>
      <c r="F22" s="28">
        <f ca="1">apuestas_ago[[#This Row],[Apuesta Miniporra]]-$B$3</f>
        <v>-16.489999999999995</v>
      </c>
      <c r="G22" s="68">
        <f ca="1">ABS(apuestas_ago[[#This Row],[desvio]])/$B$3</f>
        <v>0.17778975741239886</v>
      </c>
      <c r="H22" s="4">
        <f ca="1">_xlfn.RANK.EQ(apuestas_ago[[#This Row],[desvio %]],apuestas_ago[desvio %],1)</f>
        <v>16</v>
      </c>
      <c r="J22" s="66" t="s">
        <v>967</v>
      </c>
      <c r="K22" s="10">
        <f ca="1">INDEX(apuestas_ago[orden],MATCH(resultados_ago[Apuesta MiniPorra],apuestas_ago[Apuesta Miniporra],0))</f>
        <v>16</v>
      </c>
      <c r="L22" s="6" t="str">
        <f>apuestas_ago[[#This Row],[Nombre]]</f>
        <v>Julián Mateo Muñoz</v>
      </c>
      <c r="M22" s="14">
        <f>apuestas_ago[[#This Row],[Apuesta Miniporra]]</f>
        <v>76.260000000000005</v>
      </c>
      <c r="N22" s="14">
        <f ca="1">INDEX(apuestas_ago[desvio],MATCH(resultados_ago[[#This Row],[Apuesta MiniPorra]],apuestas_ago[Apuesta Miniporra],0))</f>
        <v>-16.489999999999995</v>
      </c>
      <c r="O22" s="13">
        <f ca="1">INDEX(apuestas_ago[desvio %],MATCH(resultados_ago[[#This Row],[Apuesta MiniPorra]],apuestas_ago[Apuesta Miniporra],0))</f>
        <v>0.17778975741239886</v>
      </c>
      <c r="P22" s="4">
        <v>16</v>
      </c>
      <c r="Q22" s="28" t="str">
        <f>IF(ISBLANK(omie!Y20),"",omie!Z20)</f>
        <v/>
      </c>
      <c r="T22" s="28"/>
      <c r="U22" s="109"/>
      <c r="V22" s="109"/>
      <c r="W22" s="109"/>
    </row>
    <row r="23" spans="1:23" x14ac:dyDescent="0.2">
      <c r="A23" t="s">
        <v>967</v>
      </c>
      <c r="B23" t="s">
        <v>949</v>
      </c>
      <c r="C23" s="28">
        <v>76.22</v>
      </c>
      <c r="D23" t="s">
        <v>118</v>
      </c>
      <c r="E23" t="s">
        <v>858</v>
      </c>
      <c r="F23" s="28">
        <f ca="1">apuestas_ago[[#This Row],[Apuesta Miniporra]]-$B$3</f>
        <v>-16.53</v>
      </c>
      <c r="G23" s="68">
        <f ca="1">ABS(apuestas_ago[[#This Row],[desvio]])/$B$3</f>
        <v>0.17822102425876013</v>
      </c>
      <c r="H23" s="4">
        <f ca="1">_xlfn.RANK.EQ(apuestas_ago[[#This Row],[desvio %]],apuestas_ago[desvio %],1)</f>
        <v>17</v>
      </c>
      <c r="J23" s="66" t="s">
        <v>967</v>
      </c>
      <c r="K23" s="10">
        <f ca="1">INDEX(apuestas_ago[orden],MATCH(resultados_ago[Apuesta MiniPorra],apuestas_ago[Apuesta Miniporra],0))</f>
        <v>17</v>
      </c>
      <c r="L23" s="6" t="str">
        <f>apuestas_ago[[#This Row],[Nombre]]</f>
        <v>Andrea Zarbano</v>
      </c>
      <c r="M23" s="14">
        <f>apuestas_ago[[#This Row],[Apuesta Miniporra]]</f>
        <v>76.22</v>
      </c>
      <c r="N23" s="14">
        <f ca="1">INDEX(apuestas_ago[desvio],MATCH(resultados_ago[[#This Row],[Apuesta MiniPorra]],apuestas_ago[Apuesta Miniporra],0))</f>
        <v>-16.53</v>
      </c>
      <c r="O23" s="13">
        <f ca="1">INDEX(apuestas_ago[desvio %],MATCH(resultados_ago[[#This Row],[Apuesta MiniPorra]],apuestas_ago[Apuesta Miniporra],0))</f>
        <v>0.17822102425876013</v>
      </c>
      <c r="P23" s="4">
        <v>17</v>
      </c>
      <c r="Q23" s="28" t="str">
        <f>IF(ISBLANK(omie!Y21),"",omie!Z21)</f>
        <v/>
      </c>
      <c r="T23" s="28"/>
      <c r="U23"/>
    </row>
    <row r="24" spans="1:23" x14ac:dyDescent="0.2">
      <c r="A24" t="s">
        <v>967</v>
      </c>
      <c r="B24" t="s">
        <v>381</v>
      </c>
      <c r="C24" s="28">
        <v>75.040000000000006</v>
      </c>
      <c r="D24" t="s">
        <v>971</v>
      </c>
      <c r="E24" t="s">
        <v>37</v>
      </c>
      <c r="F24" s="28">
        <f ca="1">apuestas_ago[[#This Row],[Apuesta Miniporra]]-$B$3</f>
        <v>-17.709999999999994</v>
      </c>
      <c r="G24" s="68">
        <f ca="1">ABS(apuestas_ago[[#This Row],[desvio]])/$B$3</f>
        <v>0.19094339622641501</v>
      </c>
      <c r="H24" s="4">
        <f ca="1">_xlfn.RANK.EQ(apuestas_ago[[#This Row],[desvio %]],apuestas_ago[desvio %],1)</f>
        <v>18</v>
      </c>
      <c r="J24" s="66" t="s">
        <v>967</v>
      </c>
      <c r="K24" s="10">
        <f ca="1">INDEX(apuestas_ago[orden],MATCH(resultados_ago[Apuesta MiniPorra],apuestas_ago[Apuesta Miniporra],0))</f>
        <v>18</v>
      </c>
      <c r="L24" s="6" t="str">
        <f>apuestas_ago[[#This Row],[Nombre]]</f>
        <v>Roberto Cavero García</v>
      </c>
      <c r="M24" s="14">
        <f>apuestas_ago[[#This Row],[Apuesta Miniporra]]</f>
        <v>75.040000000000006</v>
      </c>
      <c r="N24" s="14">
        <f ca="1">INDEX(apuestas_ago[desvio],MATCH(resultados_ago[[#This Row],[Apuesta MiniPorra]],apuestas_ago[Apuesta Miniporra],0))</f>
        <v>-17.709999999999994</v>
      </c>
      <c r="O24" s="13">
        <f ca="1">INDEX(apuestas_ago[desvio %],MATCH(resultados_ago[[#This Row],[Apuesta MiniPorra]],apuestas_ago[Apuesta Miniporra],0))</f>
        <v>0.19094339622641501</v>
      </c>
      <c r="P24" s="4">
        <v>18</v>
      </c>
      <c r="Q24" s="28" t="str">
        <f>IF(ISBLANK(omie!Y22),"",omie!Z22)</f>
        <v/>
      </c>
      <c r="T24" s="28"/>
      <c r="U24"/>
    </row>
    <row r="25" spans="1:23" x14ac:dyDescent="0.2">
      <c r="A25" t="s">
        <v>967</v>
      </c>
      <c r="B25" t="s">
        <v>362</v>
      </c>
      <c r="C25" s="28">
        <v>74.81</v>
      </c>
      <c r="D25" t="s">
        <v>118</v>
      </c>
      <c r="E25" t="s">
        <v>213</v>
      </c>
      <c r="F25" s="28">
        <f ca="1">apuestas_ago[[#This Row],[Apuesta Miniporra]]-$B$3</f>
        <v>-17.939999999999998</v>
      </c>
      <c r="G25" s="68">
        <f ca="1">ABS(apuestas_ago[[#This Row],[desvio]])/$B$3</f>
        <v>0.19342318059299188</v>
      </c>
      <c r="H25" s="4">
        <f ca="1">_xlfn.RANK.EQ(apuestas_ago[[#This Row],[desvio %]],apuestas_ago[desvio %],1)</f>
        <v>19</v>
      </c>
      <c r="J25" s="66" t="s">
        <v>967</v>
      </c>
      <c r="K25" s="10">
        <f ca="1">INDEX(apuestas_ago[orden],MATCH(resultados_ago[Apuesta MiniPorra],apuestas_ago[Apuesta Miniporra],0))</f>
        <v>19</v>
      </c>
      <c r="L25" s="6" t="str">
        <f>apuestas_ago[[#This Row],[Nombre]]</f>
        <v>Inés Monroy</v>
      </c>
      <c r="M25" s="14">
        <f>apuestas_ago[[#This Row],[Apuesta Miniporra]]</f>
        <v>74.81</v>
      </c>
      <c r="N25" s="14">
        <f ca="1">INDEX(apuestas_ago[desvio],MATCH(resultados_ago[[#This Row],[Apuesta MiniPorra]],apuestas_ago[Apuesta Miniporra],0))</f>
        <v>-17.939999999999998</v>
      </c>
      <c r="O25" s="13">
        <f ca="1">INDEX(apuestas_ago[desvio %],MATCH(resultados_ago[[#This Row],[Apuesta MiniPorra]],apuestas_ago[Apuesta Miniporra],0))</f>
        <v>0.19342318059299188</v>
      </c>
      <c r="P25" s="4">
        <v>19</v>
      </c>
      <c r="Q25" s="28" t="str">
        <f>IF(ISBLANK(omie!Y23),"",omie!Z23)</f>
        <v/>
      </c>
      <c r="T25" s="28"/>
      <c r="U25"/>
    </row>
    <row r="26" spans="1:23" x14ac:dyDescent="0.2">
      <c r="A26" t="s">
        <v>967</v>
      </c>
      <c r="B26" t="s">
        <v>225</v>
      </c>
      <c r="C26" s="28">
        <v>74.8</v>
      </c>
      <c r="D26" t="s">
        <v>118</v>
      </c>
      <c r="E26" t="s">
        <v>199</v>
      </c>
      <c r="F26" s="28">
        <f ca="1">apuestas_ago[[#This Row],[Apuesta Miniporra]]-$B$3</f>
        <v>-17.950000000000003</v>
      </c>
      <c r="G26" s="68">
        <f ca="1">ABS(apuestas_ago[[#This Row],[desvio]])/$B$3</f>
        <v>0.19353099730458223</v>
      </c>
      <c r="H26" s="4">
        <f ca="1">_xlfn.RANK.EQ(apuestas_ago[[#This Row],[desvio %]],apuestas_ago[desvio %],1)</f>
        <v>20</v>
      </c>
      <c r="J26" s="66" t="s">
        <v>967</v>
      </c>
      <c r="K26" s="10">
        <f ca="1">INDEX(apuestas_ago[orden],MATCH(resultados_ago[Apuesta MiniPorra],apuestas_ago[Apuesta Miniporra],0))</f>
        <v>20</v>
      </c>
      <c r="L26" s="6" t="str">
        <f>apuestas_ago[[#This Row],[Nombre]]</f>
        <v>Elena Muñoz Vioque</v>
      </c>
      <c r="M26" s="14">
        <f>apuestas_ago[[#This Row],[Apuesta Miniporra]]</f>
        <v>74.8</v>
      </c>
      <c r="N26" s="14">
        <f ca="1">INDEX(apuestas_ago[desvio],MATCH(resultados_ago[[#This Row],[Apuesta MiniPorra]],apuestas_ago[Apuesta Miniporra],0))</f>
        <v>-17.950000000000003</v>
      </c>
      <c r="O26" s="13">
        <f ca="1">INDEX(apuestas_ago[desvio %],MATCH(resultados_ago[[#This Row],[Apuesta MiniPorra]],apuestas_ago[Apuesta Miniporra],0))</f>
        <v>0.19353099730458223</v>
      </c>
      <c r="P26" s="4">
        <v>20</v>
      </c>
      <c r="Q26" s="28" t="str">
        <f>IF(ISBLANK(omie!Y24),"",omie!Z24)</f>
        <v/>
      </c>
      <c r="T26" s="28"/>
      <c r="U26"/>
    </row>
    <row r="27" spans="1:23" x14ac:dyDescent="0.2">
      <c r="A27" t="s">
        <v>967</v>
      </c>
      <c r="B27" t="s">
        <v>474</v>
      </c>
      <c r="C27" s="28">
        <v>74.77</v>
      </c>
      <c r="D27" t="s">
        <v>118</v>
      </c>
      <c r="E27" t="s">
        <v>535</v>
      </c>
      <c r="F27" s="28">
        <f ca="1">apuestas_ago[[#This Row],[Apuesta Miniporra]]-$B$3</f>
        <v>-17.980000000000004</v>
      </c>
      <c r="G27" s="68">
        <f ca="1">ABS(apuestas_ago[[#This Row],[desvio]])/$B$3</f>
        <v>0.19385444743935315</v>
      </c>
      <c r="H27" s="4">
        <f ca="1">_xlfn.RANK.EQ(apuestas_ago[[#This Row],[desvio %]],apuestas_ago[desvio %],1)</f>
        <v>21</v>
      </c>
      <c r="J27" s="66" t="s">
        <v>967</v>
      </c>
      <c r="K27" s="10">
        <f ca="1">INDEX(apuestas_ago[orden],MATCH(resultados_ago[Apuesta MiniPorra],apuestas_ago[Apuesta Miniporra],0))</f>
        <v>21</v>
      </c>
      <c r="L27" s="6" t="str">
        <f>apuestas_ago[[#This Row],[Nombre]]</f>
        <v>Javier Colón Cortegoso</v>
      </c>
      <c r="M27" s="14">
        <f>apuestas_ago[[#This Row],[Apuesta Miniporra]]</f>
        <v>74.77</v>
      </c>
      <c r="N27" s="14">
        <f ca="1">INDEX(apuestas_ago[desvio],MATCH(resultados_ago[[#This Row],[Apuesta MiniPorra]],apuestas_ago[Apuesta Miniporra],0))</f>
        <v>-17.980000000000004</v>
      </c>
      <c r="O27" s="13">
        <f ca="1">INDEX(apuestas_ago[desvio %],MATCH(resultados_ago[[#This Row],[Apuesta MiniPorra]],apuestas_ago[Apuesta Miniporra],0))</f>
        <v>0.19385444743935315</v>
      </c>
      <c r="P27" s="4">
        <v>21</v>
      </c>
      <c r="Q27" s="28" t="str">
        <f>IF(ISBLANK(omie!Y25),"",omie!Z25)</f>
        <v/>
      </c>
      <c r="T27" s="28"/>
      <c r="U27"/>
    </row>
    <row r="28" spans="1:23" x14ac:dyDescent="0.2">
      <c r="A28" t="s">
        <v>967</v>
      </c>
      <c r="B28" t="s">
        <v>414</v>
      </c>
      <c r="C28" s="28">
        <v>74.3</v>
      </c>
      <c r="D28" t="s">
        <v>118</v>
      </c>
      <c r="E28" t="s">
        <v>300</v>
      </c>
      <c r="F28" s="28">
        <f ca="1">apuestas_ago[[#This Row],[Apuesta Miniporra]]-$B$3</f>
        <v>-18.450000000000003</v>
      </c>
      <c r="G28" s="68">
        <f ca="1">ABS(apuestas_ago[[#This Row],[desvio]])/$B$3</f>
        <v>0.19892183288409707</v>
      </c>
      <c r="H28" s="4">
        <f ca="1">_xlfn.RANK.EQ(apuestas_ago[[#This Row],[desvio %]],apuestas_ago[desvio %],1)</f>
        <v>22</v>
      </c>
      <c r="J28" s="66" t="s">
        <v>967</v>
      </c>
      <c r="K28" s="10">
        <f ca="1">INDEX(apuestas_ago[orden],MATCH(resultados_ago[Apuesta MiniPorra],apuestas_ago[Apuesta Miniporra],0))</f>
        <v>22</v>
      </c>
      <c r="L28" s="6" t="str">
        <f>apuestas_ago[[#This Row],[Nombre]]</f>
        <v>Laura Gómez López</v>
      </c>
      <c r="M28" s="14">
        <f>apuestas_ago[[#This Row],[Apuesta Miniporra]]</f>
        <v>74.3</v>
      </c>
      <c r="N28" s="14">
        <f ca="1">INDEX(apuestas_ago[desvio],MATCH(resultados_ago[[#This Row],[Apuesta MiniPorra]],apuestas_ago[Apuesta Miniporra],0))</f>
        <v>-18.450000000000003</v>
      </c>
      <c r="O28" s="13">
        <f ca="1">INDEX(apuestas_ago[desvio %],MATCH(resultados_ago[[#This Row],[Apuesta MiniPorra]],apuestas_ago[Apuesta Miniporra],0))</f>
        <v>0.19892183288409707</v>
      </c>
      <c r="P28" s="4">
        <v>22</v>
      </c>
      <c r="Q28" s="28" t="str">
        <f>IF(ISBLANK(omie!Y26),"",omie!Z26)</f>
        <v/>
      </c>
      <c r="T28" s="28"/>
      <c r="U28"/>
    </row>
    <row r="29" spans="1:23" x14ac:dyDescent="0.2">
      <c r="A29" t="s">
        <v>967</v>
      </c>
      <c r="B29" t="s">
        <v>328</v>
      </c>
      <c r="C29" s="28">
        <v>73.349999999999994</v>
      </c>
      <c r="D29" t="s">
        <v>118</v>
      </c>
      <c r="E29" t="s">
        <v>328</v>
      </c>
      <c r="F29" s="28">
        <f ca="1">apuestas_ago[[#This Row],[Apuesta Miniporra]]-$B$3</f>
        <v>-19.400000000000006</v>
      </c>
      <c r="G29" s="68">
        <f ca="1">ABS(apuestas_ago[[#This Row],[desvio]])/$B$3</f>
        <v>0.20916442048517525</v>
      </c>
      <c r="H29" s="4">
        <f ca="1">_xlfn.RANK.EQ(apuestas_ago[[#This Row],[desvio %]],apuestas_ago[desvio %],1)</f>
        <v>23</v>
      </c>
      <c r="J29" s="66" t="s">
        <v>967</v>
      </c>
      <c r="K29" s="10">
        <f ca="1">INDEX(apuestas_ago[orden],MATCH(resultados_ago[Apuesta MiniPorra],apuestas_ago[Apuesta Miniporra],0))</f>
        <v>23</v>
      </c>
      <c r="L29" s="6" t="str">
        <f>apuestas_ago[[#This Row],[Nombre]]</f>
        <v>Aitor Folch</v>
      </c>
      <c r="M29" s="14">
        <f>apuestas_ago[[#This Row],[Apuesta Miniporra]]</f>
        <v>73.349999999999994</v>
      </c>
      <c r="N29" s="14">
        <f ca="1">INDEX(apuestas_ago[desvio],MATCH(resultados_ago[[#This Row],[Apuesta MiniPorra]],apuestas_ago[Apuesta Miniporra],0))</f>
        <v>-19.400000000000006</v>
      </c>
      <c r="O29" s="13">
        <f ca="1">INDEX(apuestas_ago[desvio %],MATCH(resultados_ago[[#This Row],[Apuesta MiniPorra]],apuestas_ago[Apuesta Miniporra],0))</f>
        <v>0.20916442048517525</v>
      </c>
      <c r="P29" s="4">
        <v>23</v>
      </c>
      <c r="Q29" s="28" t="str">
        <f>IF(ISBLANK(omie!Y27),"",omie!Z27)</f>
        <v/>
      </c>
      <c r="T29" s="28"/>
      <c r="U29"/>
    </row>
    <row r="30" spans="1:23" x14ac:dyDescent="0.2">
      <c r="A30" t="s">
        <v>967</v>
      </c>
      <c r="B30" t="s">
        <v>413</v>
      </c>
      <c r="C30" s="28">
        <v>73.33</v>
      </c>
      <c r="D30" t="s">
        <v>118</v>
      </c>
      <c r="E30" t="s">
        <v>1005</v>
      </c>
      <c r="F30" s="28">
        <f ca="1">apuestas_ago[[#This Row],[Apuesta Miniporra]]-$B$3</f>
        <v>-19.420000000000002</v>
      </c>
      <c r="G30" s="68">
        <f ca="1">ABS(apuestas_ago[[#This Row],[desvio]])/$B$3</f>
        <v>0.20938005390835582</v>
      </c>
      <c r="H30" s="4">
        <f ca="1">_xlfn.RANK.EQ(apuestas_ago[[#This Row],[desvio %]],apuestas_ago[desvio %],1)</f>
        <v>24</v>
      </c>
      <c r="J30" s="66" t="s">
        <v>967</v>
      </c>
      <c r="K30" s="10">
        <f ca="1">INDEX(apuestas_ago[orden],MATCH(resultados_ago[Apuesta MiniPorra],apuestas_ago[Apuesta Miniporra],0))</f>
        <v>24</v>
      </c>
      <c r="L30" s="6" t="str">
        <f>apuestas_ago[[#This Row],[Nombre]]</f>
        <v>Beatriz Muñoz Rioboo</v>
      </c>
      <c r="M30" s="14">
        <f>apuestas_ago[[#This Row],[Apuesta Miniporra]]</f>
        <v>73.33</v>
      </c>
      <c r="N30" s="14">
        <f ca="1">INDEX(apuestas_ago[desvio],MATCH(resultados_ago[[#This Row],[Apuesta MiniPorra]],apuestas_ago[Apuesta Miniporra],0))</f>
        <v>-19.420000000000002</v>
      </c>
      <c r="O30" s="13">
        <f ca="1">INDEX(apuestas_ago[desvio %],MATCH(resultados_ago[[#This Row],[Apuesta MiniPorra]],apuestas_ago[Apuesta Miniporra],0))</f>
        <v>0.20938005390835582</v>
      </c>
      <c r="P30" s="4">
        <v>24</v>
      </c>
      <c r="Q30" s="28" t="str">
        <f>IF(ISBLANK(omie!Y28),"",omie!Z28)</f>
        <v/>
      </c>
      <c r="T30" s="28"/>
      <c r="U30"/>
    </row>
    <row r="31" spans="1:23" x14ac:dyDescent="0.2">
      <c r="A31" t="s">
        <v>967</v>
      </c>
      <c r="B31" t="s">
        <v>364</v>
      </c>
      <c r="C31" s="28">
        <v>73.12</v>
      </c>
      <c r="D31" t="s">
        <v>118</v>
      </c>
      <c r="E31" t="s">
        <v>357</v>
      </c>
      <c r="F31" s="28">
        <f ca="1">apuestas_ago[[#This Row],[Apuesta Miniporra]]-$B$3</f>
        <v>-19.629999999999995</v>
      </c>
      <c r="G31" s="68">
        <f ca="1">ABS(apuestas_ago[[#This Row],[desvio]])/$B$3</f>
        <v>0.21164420485175198</v>
      </c>
      <c r="H31" s="4">
        <f ca="1">_xlfn.RANK.EQ(apuestas_ago[[#This Row],[desvio %]],apuestas_ago[desvio %],1)</f>
        <v>25</v>
      </c>
      <c r="J31" s="66" t="s">
        <v>967</v>
      </c>
      <c r="K31" s="10">
        <f ca="1">INDEX(apuestas_ago[orden],MATCH(resultados_ago[Apuesta MiniPorra],apuestas_ago[Apuesta Miniporra],0))</f>
        <v>25</v>
      </c>
      <c r="L31" s="6" t="str">
        <f>apuestas_ago[[#This Row],[Nombre]]</f>
        <v>Marcos Fortea Escolano</v>
      </c>
      <c r="M31" s="14">
        <f>apuestas_ago[[#This Row],[Apuesta Miniporra]]</f>
        <v>73.12</v>
      </c>
      <c r="N31" s="14">
        <f ca="1">INDEX(apuestas_ago[desvio],MATCH(resultados_ago[[#This Row],[Apuesta MiniPorra]],apuestas_ago[Apuesta Miniporra],0))</f>
        <v>-19.629999999999995</v>
      </c>
      <c r="O31" s="13">
        <f ca="1">INDEX(apuestas_ago[desvio %],MATCH(resultados_ago[[#This Row],[Apuesta MiniPorra]],apuestas_ago[Apuesta Miniporra],0))</f>
        <v>0.21164420485175198</v>
      </c>
      <c r="P31" s="4">
        <v>25</v>
      </c>
      <c r="Q31" s="28" t="str">
        <f>IF(ISBLANK(omie!Y29),"",omie!Z29)</f>
        <v/>
      </c>
      <c r="T31" s="28"/>
      <c r="U31"/>
    </row>
    <row r="32" spans="1:23" x14ac:dyDescent="0.2">
      <c r="A32" t="s">
        <v>967</v>
      </c>
      <c r="B32" t="s">
        <v>403</v>
      </c>
      <c r="C32" s="28">
        <v>72.599999999999994</v>
      </c>
      <c r="D32" t="s">
        <v>118</v>
      </c>
      <c r="E32" t="s">
        <v>67</v>
      </c>
      <c r="F32" s="28">
        <f ca="1">apuestas_ago[[#This Row],[Apuesta Miniporra]]-$B$3</f>
        <v>-20.150000000000006</v>
      </c>
      <c r="G32" s="68">
        <f ca="1">ABS(apuestas_ago[[#This Row],[desvio]])/$B$3</f>
        <v>0.21725067385444749</v>
      </c>
      <c r="H32" s="4">
        <f ca="1">_xlfn.RANK.EQ(apuestas_ago[[#This Row],[desvio %]],apuestas_ago[desvio %],1)</f>
        <v>26</v>
      </c>
      <c r="J32" s="66" t="s">
        <v>967</v>
      </c>
      <c r="K32" s="10">
        <f ca="1">INDEX(apuestas_ago[orden],MATCH(resultados_ago[Apuesta MiniPorra],apuestas_ago[Apuesta Miniporra],0))</f>
        <v>26</v>
      </c>
      <c r="L32" s="6" t="str">
        <f>apuestas_ago[[#This Row],[Nombre]]</f>
        <v>Luis Angel Garzon Velasco</v>
      </c>
      <c r="M32" s="14">
        <f>apuestas_ago[[#This Row],[Apuesta Miniporra]]</f>
        <v>72.599999999999994</v>
      </c>
      <c r="N32" s="14">
        <f ca="1">INDEX(apuestas_ago[desvio],MATCH(resultados_ago[[#This Row],[Apuesta MiniPorra]],apuestas_ago[Apuesta Miniporra],0))</f>
        <v>-20.150000000000006</v>
      </c>
      <c r="O32" s="13">
        <f ca="1">INDEX(apuestas_ago[desvio %],MATCH(resultados_ago[[#This Row],[Apuesta MiniPorra]],apuestas_ago[Apuesta Miniporra],0))</f>
        <v>0.21725067385444749</v>
      </c>
      <c r="P32" s="4">
        <v>26</v>
      </c>
      <c r="Q32" s="28" t="str">
        <f>IF(ISBLANK(omie!Y30),"",omie!Z30)</f>
        <v/>
      </c>
      <c r="T32" s="28"/>
      <c r="U32"/>
    </row>
    <row r="33" spans="1:21" x14ac:dyDescent="0.2">
      <c r="A33" t="s">
        <v>967</v>
      </c>
      <c r="B33" t="s">
        <v>781</v>
      </c>
      <c r="C33" s="28">
        <v>71.5</v>
      </c>
      <c r="D33" t="s">
        <v>118</v>
      </c>
      <c r="E33" t="s">
        <v>1007</v>
      </c>
      <c r="F33" s="28">
        <f ca="1">apuestas_ago[[#This Row],[Apuesta Miniporra]]-$B$3</f>
        <v>-21.25</v>
      </c>
      <c r="G33" s="68">
        <f ca="1">ABS(apuestas_ago[[#This Row],[desvio]])/$B$3</f>
        <v>0.22911051212938005</v>
      </c>
      <c r="H33" s="4">
        <f ca="1">_xlfn.RANK.EQ(apuestas_ago[[#This Row],[desvio %]],apuestas_ago[desvio %],1)</f>
        <v>27</v>
      </c>
      <c r="J33" s="66" t="s">
        <v>967</v>
      </c>
      <c r="K33" s="10">
        <f ca="1">INDEX(apuestas_ago[orden],MATCH(resultados_ago[Apuesta MiniPorra],apuestas_ago[Apuesta Miniporra],0))</f>
        <v>27</v>
      </c>
      <c r="L33" s="6" t="str">
        <f>apuestas_ago[[#This Row],[Nombre]]</f>
        <v>Daniel Pérez Carrasco</v>
      </c>
      <c r="M33" s="14">
        <f>apuestas_ago[[#This Row],[Apuesta Miniporra]]</f>
        <v>71.5</v>
      </c>
      <c r="N33" s="14">
        <f ca="1">INDEX(apuestas_ago[desvio],MATCH(resultados_ago[[#This Row],[Apuesta MiniPorra]],apuestas_ago[Apuesta Miniporra],0))</f>
        <v>-21.25</v>
      </c>
      <c r="O33" s="13">
        <f ca="1">INDEX(apuestas_ago[desvio %],MATCH(resultados_ago[[#This Row],[Apuesta MiniPorra]],apuestas_ago[Apuesta Miniporra],0))</f>
        <v>0.22911051212938005</v>
      </c>
      <c r="P33" s="4">
        <v>27</v>
      </c>
      <c r="Q33" s="28" t="str">
        <f>IF(ISBLANK(omie!Y31),"",omie!Z31)</f>
        <v/>
      </c>
      <c r="T33" s="28"/>
      <c r="U33"/>
    </row>
    <row r="34" spans="1:21" x14ac:dyDescent="0.2">
      <c r="A34" t="s">
        <v>967</v>
      </c>
      <c r="B34" t="s">
        <v>363</v>
      </c>
      <c r="C34" s="28">
        <v>71.2</v>
      </c>
      <c r="D34" t="s">
        <v>118</v>
      </c>
      <c r="E34" t="s">
        <v>76</v>
      </c>
      <c r="F34" s="28">
        <f ca="1">apuestas_ago[[#This Row],[Apuesta Miniporra]]-$B$3</f>
        <v>-21.549999999999997</v>
      </c>
      <c r="G34" s="68">
        <f ca="1">ABS(apuestas_ago[[#This Row],[desvio]])/$B$3</f>
        <v>0.23234501347708891</v>
      </c>
      <c r="H34" s="4">
        <f ca="1">_xlfn.RANK.EQ(apuestas_ago[[#This Row],[desvio %]],apuestas_ago[desvio %],1)</f>
        <v>28</v>
      </c>
      <c r="J34" s="66" t="s">
        <v>967</v>
      </c>
      <c r="K34" s="10">
        <f ca="1">INDEX(apuestas_ago[orden],MATCH(resultados_ago[Apuesta MiniPorra],apuestas_ago[Apuesta Miniporra],0))</f>
        <v>28</v>
      </c>
      <c r="L34" s="6" t="str">
        <f>apuestas_ago[[#This Row],[Nombre]]</f>
        <v>Roque Alonso Alonso</v>
      </c>
      <c r="M34" s="14">
        <f>apuestas_ago[[#This Row],[Apuesta Miniporra]]</f>
        <v>71.2</v>
      </c>
      <c r="N34" s="14">
        <f ca="1">INDEX(apuestas_ago[desvio],MATCH(resultados_ago[[#This Row],[Apuesta MiniPorra]],apuestas_ago[Apuesta Miniporra],0))</f>
        <v>-21.549999999999997</v>
      </c>
      <c r="O34" s="13">
        <f ca="1">INDEX(apuestas_ago[desvio %],MATCH(resultados_ago[[#This Row],[Apuesta MiniPorra]],apuestas_ago[Apuesta Miniporra],0))</f>
        <v>0.23234501347708891</v>
      </c>
      <c r="P34" s="4">
        <v>28</v>
      </c>
      <c r="Q34" s="28" t="str">
        <f>IF(ISBLANK(omie!Y32),"",omie!Z32)</f>
        <v/>
      </c>
      <c r="T34" s="28"/>
      <c r="U34"/>
    </row>
    <row r="35" spans="1:21" x14ac:dyDescent="0.2">
      <c r="A35" t="s">
        <v>967</v>
      </c>
      <c r="B35" t="s">
        <v>215</v>
      </c>
      <c r="C35" s="28">
        <v>70.7</v>
      </c>
      <c r="D35" t="s">
        <v>118</v>
      </c>
      <c r="E35" t="s">
        <v>1001</v>
      </c>
      <c r="F35" s="28">
        <f ca="1">apuestas_ago[[#This Row],[Apuesta Miniporra]]-$B$3</f>
        <v>-22.049999999999997</v>
      </c>
      <c r="G35" s="68">
        <f ca="1">ABS(apuestas_ago[[#This Row],[desvio]])/$B$3</f>
        <v>0.23773584905660375</v>
      </c>
      <c r="H35" s="4">
        <f ca="1">_xlfn.RANK.EQ(apuestas_ago[[#This Row],[desvio %]],apuestas_ago[desvio %],1)</f>
        <v>29</v>
      </c>
      <c r="J35" s="66" t="s">
        <v>967</v>
      </c>
      <c r="K35" s="10">
        <f ca="1">INDEX(apuestas_ago[orden],MATCH(resultados_ago[Apuesta MiniPorra],apuestas_ago[Apuesta Miniporra],0))</f>
        <v>29</v>
      </c>
      <c r="L35" s="6" t="str">
        <f>apuestas_ago[[#This Row],[Nombre]]</f>
        <v>Carles Estruch Puig</v>
      </c>
      <c r="M35" s="14">
        <f>apuestas_ago[[#This Row],[Apuesta Miniporra]]</f>
        <v>70.7</v>
      </c>
      <c r="N35" s="14">
        <f ca="1">INDEX(apuestas_ago[desvio],MATCH(resultados_ago[[#This Row],[Apuesta MiniPorra]],apuestas_ago[Apuesta Miniporra],0))</f>
        <v>-22.049999999999997</v>
      </c>
      <c r="O35" s="13">
        <f ca="1">INDEX(apuestas_ago[desvio %],MATCH(resultados_ago[[#This Row],[Apuesta MiniPorra]],apuestas_ago[Apuesta Miniporra],0))</f>
        <v>0.23773584905660375</v>
      </c>
      <c r="P35" s="4">
        <v>29</v>
      </c>
      <c r="Q35" s="28" t="str">
        <f>IF(ISBLANK(omie!Y33),"",omie!Z33)</f>
        <v/>
      </c>
      <c r="T35" s="28"/>
      <c r="U35"/>
    </row>
    <row r="36" spans="1:21" x14ac:dyDescent="0.2">
      <c r="A36" t="s">
        <v>967</v>
      </c>
      <c r="B36" t="s">
        <v>794</v>
      </c>
      <c r="C36" s="28">
        <v>70.5</v>
      </c>
      <c r="D36" t="s">
        <v>118</v>
      </c>
      <c r="E36" t="s">
        <v>664</v>
      </c>
      <c r="F36" s="28">
        <f ca="1">apuestas_ago[[#This Row],[Apuesta Miniporra]]-$B$3</f>
        <v>-22.25</v>
      </c>
      <c r="G36" s="68">
        <f ca="1">ABS(apuestas_ago[[#This Row],[desvio]])/$B$3</f>
        <v>0.23989218328840969</v>
      </c>
      <c r="H36" s="4">
        <f ca="1">_xlfn.RANK.EQ(apuestas_ago[[#This Row],[desvio %]],apuestas_ago[desvio %],1)</f>
        <v>30</v>
      </c>
      <c r="J36" s="66" t="s">
        <v>967</v>
      </c>
      <c r="K36" s="4">
        <f ca="1">INDEX(apuestas_ago[orden],MATCH(resultados_ago[Apuesta MiniPorra],apuestas_ago[Apuesta Miniporra],0))</f>
        <v>30</v>
      </c>
      <c r="L36" s="63" t="str">
        <f>apuestas_ago[[#This Row],[Nombre]]</f>
        <v>Gorka Arratibel Pastor</v>
      </c>
      <c r="M36" s="28">
        <f>apuestas_ago[[#This Row],[Apuesta Miniporra]]</f>
        <v>70.5</v>
      </c>
      <c r="N36" s="4">
        <f ca="1">INDEX(apuestas_ago[desvio],MATCH(resultados_ago[[#This Row],[Apuesta MiniPorra]],apuestas_ago[Apuesta Miniporra],0))</f>
        <v>-22.25</v>
      </c>
      <c r="O36" s="13">
        <f ca="1">INDEX(apuestas_ago[desvio %],MATCH(resultados_ago[[#This Row],[Apuesta MiniPorra]],apuestas_ago[Apuesta Miniporra],0))</f>
        <v>0.23989218328840969</v>
      </c>
      <c r="P36" s="4">
        <v>30</v>
      </c>
      <c r="Q36" s="28" t="str">
        <f>IF(ISBLANK(omie!Y34),"",omie!Z34)</f>
        <v/>
      </c>
      <c r="T36"/>
      <c r="U36"/>
    </row>
    <row r="37" spans="1:21" x14ac:dyDescent="0.2">
      <c r="A37" t="s">
        <v>967</v>
      </c>
      <c r="B37" t="s">
        <v>1040</v>
      </c>
      <c r="C37" s="28">
        <v>70.45</v>
      </c>
      <c r="D37" t="s">
        <v>1014</v>
      </c>
      <c r="E37" t="s">
        <v>1015</v>
      </c>
      <c r="F37" s="28">
        <f ca="1">apuestas_ago[[#This Row],[Apuesta Miniporra]]-$B$3</f>
        <v>-22.299999999999997</v>
      </c>
      <c r="G37" s="68">
        <f ca="1">ABS(apuestas_ago[[#This Row],[desvio]])/$B$3</f>
        <v>0.24043126684636115</v>
      </c>
      <c r="H37" s="4">
        <f ca="1">_xlfn.RANK.EQ(apuestas_ago[[#This Row],[desvio %]],apuestas_ago[desvio %],1)</f>
        <v>31</v>
      </c>
      <c r="J37" s="66" t="s">
        <v>967</v>
      </c>
      <c r="K37" s="4">
        <f ca="1">INDEX(apuestas_ago[orden],MATCH(resultados_ago[Apuesta MiniPorra],apuestas_ago[Apuesta Miniporra],0))</f>
        <v>31</v>
      </c>
      <c r="L37" s="63" t="str">
        <f>apuestas_ago[[#This Row],[Nombre]]</f>
        <v>Andres Canal</v>
      </c>
      <c r="M37" s="28">
        <f>apuestas_ago[[#This Row],[Apuesta Miniporra]]</f>
        <v>70.45</v>
      </c>
      <c r="N37" s="4">
        <f ca="1">INDEX(apuestas_ago[desvio],MATCH(resultados_ago[[#This Row],[Apuesta MiniPorra]],apuestas_ago[Apuesta Miniporra],0))</f>
        <v>-22.299999999999997</v>
      </c>
      <c r="O37" s="13">
        <f ca="1">INDEX(apuestas_ago[desvio %],MATCH(resultados_ago[[#This Row],[Apuesta MiniPorra]],apuestas_ago[Apuesta Miniporra],0))</f>
        <v>0.24043126684636115</v>
      </c>
      <c r="P37" s="4">
        <v>31</v>
      </c>
      <c r="Q37" s="104" t="str">
        <f>IF(ISBLANK(omie!Y35),"",omie!Z35)</f>
        <v/>
      </c>
      <c r="T37"/>
      <c r="U37"/>
    </row>
    <row r="38" spans="1:21" x14ac:dyDescent="0.2">
      <c r="A38" t="s">
        <v>967</v>
      </c>
      <c r="B38" t="s">
        <v>409</v>
      </c>
      <c r="C38" s="28">
        <v>69.989999999999995</v>
      </c>
      <c r="D38" t="s">
        <v>1030</v>
      </c>
      <c r="E38" t="s">
        <v>462</v>
      </c>
      <c r="F38" s="28">
        <f ca="1">apuestas_ago[[#This Row],[Apuesta Miniporra]]-$B$3</f>
        <v>-22.760000000000005</v>
      </c>
      <c r="G38" s="68">
        <f ca="1">ABS(apuestas_ago[[#This Row],[desvio]])/$B$3</f>
        <v>0.24539083557951488</v>
      </c>
      <c r="H38" s="4">
        <f ca="1">_xlfn.RANK.EQ(apuestas_ago[[#This Row],[desvio %]],apuestas_ago[desvio %],1)</f>
        <v>32</v>
      </c>
      <c r="J38" s="66" t="s">
        <v>967</v>
      </c>
      <c r="K38" s="4">
        <f ca="1">INDEX(apuestas_ago[orden],MATCH(resultados_ago[Apuesta MiniPorra],apuestas_ago[Apuesta Miniporra],0))</f>
        <v>32</v>
      </c>
      <c r="L38" s="63" t="str">
        <f>apuestas_ago[[#This Row],[Nombre]]</f>
        <v>Gladys Rocha Blanco</v>
      </c>
      <c r="M38" s="28">
        <f>apuestas_ago[[#This Row],[Apuesta Miniporra]]</f>
        <v>69.989999999999995</v>
      </c>
      <c r="N38" s="4">
        <f ca="1">INDEX(apuestas_ago[desvio],MATCH(resultados_ago[[#This Row],[Apuesta MiniPorra]],apuestas_ago[Apuesta Miniporra],0))</f>
        <v>-22.760000000000005</v>
      </c>
      <c r="O38" s="13">
        <f ca="1">INDEX(apuestas_ago[desvio %],MATCH(resultados_ago[[#This Row],[Apuesta MiniPorra]],apuestas_ago[Apuesta Miniporra],0))</f>
        <v>0.24539083557951488</v>
      </c>
      <c r="Q38" s="78"/>
      <c r="U38" s="42"/>
    </row>
    <row r="39" spans="1:21" x14ac:dyDescent="0.2">
      <c r="A39" t="s">
        <v>967</v>
      </c>
      <c r="B39" t="s">
        <v>786</v>
      </c>
      <c r="C39" s="28">
        <v>69.959999999999994</v>
      </c>
      <c r="D39" t="s">
        <v>118</v>
      </c>
      <c r="E39" t="s">
        <v>728</v>
      </c>
      <c r="F39" s="28">
        <f ca="1">apuestas_ago[[#This Row],[Apuesta Miniporra]]-$B$3</f>
        <v>-22.790000000000006</v>
      </c>
      <c r="G39" s="68">
        <f ca="1">ABS(apuestas_ago[[#This Row],[desvio]])/$B$3</f>
        <v>0.24571428571428577</v>
      </c>
      <c r="H39" s="4">
        <f ca="1">_xlfn.RANK.EQ(apuestas_ago[[#This Row],[desvio %]],apuestas_ago[desvio %],1)</f>
        <v>33</v>
      </c>
      <c r="J39" s="66" t="s">
        <v>967</v>
      </c>
      <c r="K39" s="4">
        <f ca="1">INDEX(apuestas_ago[orden],MATCH(resultados_ago[Apuesta MiniPorra],apuestas_ago[Apuesta Miniporra],0))</f>
        <v>33</v>
      </c>
      <c r="L39" s="63" t="str">
        <f>apuestas_ago[[#This Row],[Nombre]]</f>
        <v>Paco Cuadrado</v>
      </c>
      <c r="M39" s="28">
        <f>apuestas_ago[[#This Row],[Apuesta Miniporra]]</f>
        <v>69.959999999999994</v>
      </c>
      <c r="N39" s="4">
        <f ca="1">INDEX(apuestas_ago[desvio],MATCH(resultados_ago[[#This Row],[Apuesta MiniPorra]],apuestas_ago[Apuesta Miniporra],0))</f>
        <v>-22.790000000000006</v>
      </c>
      <c r="O39" s="13">
        <f ca="1">INDEX(apuestas_ago[desvio %],MATCH(resultados_ago[[#This Row],[Apuesta MiniPorra]],apuestas_ago[Apuesta Miniporra],0))</f>
        <v>0.24571428571428577</v>
      </c>
      <c r="P39" s="78"/>
      <c r="Q39" s="78"/>
      <c r="U39" s="42"/>
    </row>
    <row r="40" spans="1:21" x14ac:dyDescent="0.2">
      <c r="A40" t="s">
        <v>967</v>
      </c>
      <c r="B40" t="s">
        <v>947</v>
      </c>
      <c r="C40" s="28">
        <v>69.7</v>
      </c>
      <c r="D40" t="s">
        <v>118</v>
      </c>
      <c r="E40" t="s">
        <v>906</v>
      </c>
      <c r="F40" s="28">
        <f ca="1">apuestas_ago[[#This Row],[Apuesta Miniporra]]-$B$3</f>
        <v>-23.049999999999997</v>
      </c>
      <c r="G40" s="68">
        <f ca="1">ABS(apuestas_ago[[#This Row],[desvio]])/$B$3</f>
        <v>0.24851752021563339</v>
      </c>
      <c r="H40" s="4">
        <f ca="1">_xlfn.RANK.EQ(apuestas_ago[[#This Row],[desvio %]],apuestas_ago[desvio %],1)</f>
        <v>34</v>
      </c>
      <c r="J40" s="66" t="s">
        <v>967</v>
      </c>
      <c r="K40" s="4">
        <f ca="1">INDEX(apuestas_ago[orden],MATCH(resultados_ago[Apuesta MiniPorra],apuestas_ago[Apuesta Miniporra],0))</f>
        <v>34</v>
      </c>
      <c r="L40" s="63" t="str">
        <f>apuestas_ago[[#This Row],[Nombre]]</f>
        <v>Rafael Tejada Bonilla</v>
      </c>
      <c r="M40" s="28">
        <f>apuestas_ago[[#This Row],[Apuesta Miniporra]]</f>
        <v>69.7</v>
      </c>
      <c r="N40" s="4">
        <f ca="1">INDEX(apuestas_ago[desvio],MATCH(resultados_ago[[#This Row],[Apuesta MiniPorra]],apuestas_ago[Apuesta Miniporra],0))</f>
        <v>-23.049999999999997</v>
      </c>
      <c r="O40" s="13">
        <f ca="1">INDEX(apuestas_ago[desvio %],MATCH(resultados_ago[[#This Row],[Apuesta MiniPorra]],apuestas_ago[Apuesta Miniporra],0))</f>
        <v>0.24851752021563339</v>
      </c>
      <c r="P40" s="78"/>
      <c r="Q40" s="78"/>
      <c r="U40" s="42"/>
    </row>
    <row r="41" spans="1:21" x14ac:dyDescent="0.2">
      <c r="A41" t="s">
        <v>967</v>
      </c>
      <c r="B41" t="s">
        <v>806</v>
      </c>
      <c r="C41" s="28">
        <v>69.569999999999993</v>
      </c>
      <c r="D41" t="s">
        <v>992</v>
      </c>
      <c r="E41" t="s">
        <v>865</v>
      </c>
      <c r="F41" s="28">
        <f ca="1">apuestas_ago[[#This Row],[Apuesta Miniporra]]-$B$3</f>
        <v>-23.180000000000007</v>
      </c>
      <c r="G41" s="68">
        <f ca="1">ABS(apuestas_ago[[#This Row],[desvio]])/$B$3</f>
        <v>0.24991913746630734</v>
      </c>
      <c r="H41" s="4">
        <f ca="1">_xlfn.RANK.EQ(apuestas_ago[[#This Row],[desvio %]],apuestas_ago[desvio %],1)</f>
        <v>35</v>
      </c>
      <c r="J41" s="66" t="s">
        <v>967</v>
      </c>
      <c r="K41" s="4">
        <f ca="1">INDEX(apuestas_ago[orden],MATCH(resultados_ago[Apuesta MiniPorra],apuestas_ago[Apuesta Miniporra],0))</f>
        <v>35</v>
      </c>
      <c r="L41" s="63" t="str">
        <f>apuestas_ago[[#This Row],[Nombre]]</f>
        <v>Jorge González Arconada</v>
      </c>
      <c r="M41" s="28">
        <f>apuestas_ago[[#This Row],[Apuesta Miniporra]]</f>
        <v>69.569999999999993</v>
      </c>
      <c r="N41" s="4">
        <f ca="1">INDEX(apuestas_ago[desvio],MATCH(resultados_ago[[#This Row],[Apuesta MiniPorra]],apuestas_ago[Apuesta Miniporra],0))</f>
        <v>-23.180000000000007</v>
      </c>
      <c r="O41" s="13">
        <f ca="1">INDEX(apuestas_ago[desvio %],MATCH(resultados_ago[[#This Row],[Apuesta MiniPorra]],apuestas_ago[Apuesta Miniporra],0))</f>
        <v>0.24991913746630734</v>
      </c>
      <c r="P41" s="78"/>
      <c r="Q41" s="78"/>
      <c r="U41" s="42"/>
    </row>
    <row r="42" spans="1:21" x14ac:dyDescent="0.2">
      <c r="A42" t="s">
        <v>967</v>
      </c>
      <c r="B42" t="s">
        <v>954</v>
      </c>
      <c r="C42" s="28">
        <v>69.37</v>
      </c>
      <c r="D42" t="s">
        <v>1024</v>
      </c>
      <c r="E42" t="s">
        <v>1025</v>
      </c>
      <c r="F42" s="28">
        <f ca="1">apuestas_ago[[#This Row],[Apuesta Miniporra]]-$B$3</f>
        <v>-23.379999999999995</v>
      </c>
      <c r="G42" s="68">
        <f ca="1">ABS(apuestas_ago[[#This Row],[desvio]])/$B$3</f>
        <v>0.25207547169811317</v>
      </c>
      <c r="H42" s="4">
        <f ca="1">_xlfn.RANK.EQ(apuestas_ago[[#This Row],[desvio %]],apuestas_ago[desvio %],1)</f>
        <v>36</v>
      </c>
      <c r="J42" s="66" t="s">
        <v>967</v>
      </c>
      <c r="K42" s="4">
        <f ca="1">INDEX(apuestas_ago[orden],MATCH(resultados_ago[Apuesta MiniPorra],apuestas_ago[Apuesta Miniporra],0))</f>
        <v>36</v>
      </c>
      <c r="L42" t="str">
        <f>apuestas_ago[[#This Row],[Nombre]]</f>
        <v>Juan José Cuervo Arias</v>
      </c>
      <c r="M42" s="28">
        <f>apuestas_ago[[#This Row],[Apuesta Miniporra]]</f>
        <v>69.37</v>
      </c>
      <c r="N42" s="4">
        <f ca="1">INDEX(apuestas_ago[desvio],MATCH(resultados_ago[[#This Row],[Apuesta MiniPorra]],apuestas_ago[Apuesta Miniporra],0))</f>
        <v>-23.379999999999995</v>
      </c>
      <c r="O42" s="13">
        <f ca="1">INDEX(apuestas_ago[desvio %],MATCH(resultados_ago[[#This Row],[Apuesta MiniPorra]],apuestas_ago[Apuesta Miniporra],0))</f>
        <v>0.25207547169811317</v>
      </c>
      <c r="P42" s="78"/>
      <c r="Q42" s="78"/>
      <c r="U42" s="42"/>
    </row>
    <row r="43" spans="1:21" x14ac:dyDescent="0.2">
      <c r="A43" t="s">
        <v>967</v>
      </c>
      <c r="B43" t="s">
        <v>221</v>
      </c>
      <c r="C43" s="28">
        <v>69.099999999999994</v>
      </c>
      <c r="D43" t="s">
        <v>118</v>
      </c>
      <c r="E43" t="s">
        <v>124</v>
      </c>
      <c r="F43" s="28">
        <f ca="1">apuestas_ago[[#This Row],[Apuesta Miniporra]]-$B$3</f>
        <v>-23.650000000000006</v>
      </c>
      <c r="G43" s="68">
        <f ca="1">ABS(apuestas_ago[[#This Row],[desvio]])/$B$3</f>
        <v>0.25498652291105128</v>
      </c>
      <c r="H43" s="4">
        <f ca="1">_xlfn.RANK.EQ(apuestas_ago[[#This Row],[desvio %]],apuestas_ago[desvio %],1)</f>
        <v>37</v>
      </c>
      <c r="J43" s="66" t="s">
        <v>967</v>
      </c>
      <c r="K43" s="4">
        <f ca="1">INDEX(apuestas_ago[orden],MATCH(resultados_ago[Apuesta MiniPorra],apuestas_ago[Apuesta Miniporra],0))</f>
        <v>37</v>
      </c>
      <c r="L43" t="str">
        <f>apuestas_ago[[#This Row],[Nombre]]</f>
        <v>Alfonso Lezcano</v>
      </c>
      <c r="M43" s="28">
        <f>apuestas_ago[[#This Row],[Apuesta Miniporra]]</f>
        <v>69.099999999999994</v>
      </c>
      <c r="N43" s="4">
        <f ca="1">INDEX(apuestas_ago[desvio],MATCH(resultados_ago[[#This Row],[Apuesta MiniPorra]],apuestas_ago[Apuesta Miniporra],0))</f>
        <v>-23.650000000000006</v>
      </c>
      <c r="O43" s="13">
        <f ca="1">INDEX(apuestas_ago[desvio %],MATCH(resultados_ago[[#This Row],[Apuesta MiniPorra]],apuestas_ago[Apuesta Miniporra],0))</f>
        <v>0.25498652291105128</v>
      </c>
      <c r="P43" s="78"/>
      <c r="Q43" s="78"/>
      <c r="U43" s="42"/>
    </row>
    <row r="44" spans="1:21" x14ac:dyDescent="0.2">
      <c r="A44" t="s">
        <v>967</v>
      </c>
      <c r="B44" t="s">
        <v>292</v>
      </c>
      <c r="C44" s="28">
        <v>65.86</v>
      </c>
      <c r="D44" t="s">
        <v>118</v>
      </c>
      <c r="E44" t="s">
        <v>531</v>
      </c>
      <c r="F44" s="28">
        <f ca="1">apuestas_ago[[#This Row],[Apuesta Miniporra]]-$B$3</f>
        <v>-26.89</v>
      </c>
      <c r="G44" s="68">
        <f ca="1">ABS(apuestas_ago[[#This Row],[desvio]])/$B$3</f>
        <v>0.28991913746630726</v>
      </c>
      <c r="H44" s="4">
        <f ca="1">_xlfn.RANK.EQ(apuestas_ago[[#This Row],[desvio %]],apuestas_ago[desvio %],1)</f>
        <v>38</v>
      </c>
      <c r="J44" s="66" t="s">
        <v>967</v>
      </c>
      <c r="K44" s="4">
        <f ca="1">INDEX(apuestas_ago[orden],MATCH(resultados_ago[Apuesta MiniPorra],apuestas_ago[Apuesta Miniporra],0))</f>
        <v>38</v>
      </c>
      <c r="L44" t="str">
        <f>apuestas_ago[[#This Row],[Nombre]]</f>
        <v>Oscar Mulas Crespo</v>
      </c>
      <c r="M44" s="28">
        <f>apuestas_ago[[#This Row],[Apuesta Miniporra]]</f>
        <v>65.86</v>
      </c>
      <c r="N44" s="4">
        <f ca="1">INDEX(apuestas_ago[desvio],MATCH(resultados_ago[[#This Row],[Apuesta MiniPorra]],apuestas_ago[Apuesta Miniporra],0))</f>
        <v>-26.89</v>
      </c>
      <c r="O44" s="13">
        <f ca="1">INDEX(apuestas_ago[desvio %],MATCH(resultados_ago[[#This Row],[Apuesta MiniPorra]],apuestas_ago[Apuesta Miniporra],0))</f>
        <v>0.28991913746630726</v>
      </c>
      <c r="P44" s="78"/>
      <c r="Q44" s="78"/>
      <c r="U44" s="42"/>
    </row>
    <row r="45" spans="1:21" x14ac:dyDescent="0.2">
      <c r="A45" t="s">
        <v>967</v>
      </c>
      <c r="B45" t="s">
        <v>217</v>
      </c>
      <c r="C45" s="28">
        <v>65.430000000000007</v>
      </c>
      <c r="D45" t="s">
        <v>118</v>
      </c>
      <c r="E45" t="s">
        <v>123</v>
      </c>
      <c r="F45" s="28">
        <f ca="1">apuestas_ago[[#This Row],[Apuesta Miniporra]]-$B$3</f>
        <v>-27.319999999999993</v>
      </c>
      <c r="G45" s="68">
        <f ca="1">ABS(apuestas_ago[[#This Row],[desvio]])/$B$3</f>
        <v>0.29455525606468996</v>
      </c>
      <c r="H45" s="4">
        <f ca="1">_xlfn.RANK.EQ(apuestas_ago[[#This Row],[desvio %]],apuestas_ago[desvio %],1)</f>
        <v>39</v>
      </c>
      <c r="J45" s="66" t="s">
        <v>967</v>
      </c>
      <c r="K45" s="4">
        <f ca="1">INDEX(apuestas_ago[orden],MATCH(resultados_ago[Apuesta MiniPorra],apuestas_ago[Apuesta Miniporra],0))</f>
        <v>39</v>
      </c>
      <c r="L45" t="str">
        <f>apuestas_ago[[#This Row],[Nombre]]</f>
        <v>Fernando Sánchez-Rey Maeso</v>
      </c>
      <c r="M45" s="28">
        <f>apuestas_ago[[#This Row],[Apuesta Miniporra]]</f>
        <v>65.430000000000007</v>
      </c>
      <c r="N45" s="4">
        <f ca="1">INDEX(apuestas_ago[desvio],MATCH(resultados_ago[[#This Row],[Apuesta MiniPorra]],apuestas_ago[Apuesta Miniporra],0))</f>
        <v>-27.319999999999993</v>
      </c>
      <c r="O45" s="13">
        <f ca="1">INDEX(apuestas_ago[desvio %],MATCH(resultados_ago[[#This Row],[Apuesta MiniPorra]],apuestas_ago[Apuesta Miniporra],0))</f>
        <v>0.29455525606468996</v>
      </c>
      <c r="P45" s="78"/>
      <c r="Q45" s="78"/>
      <c r="U45" s="42"/>
    </row>
    <row r="46" spans="1:21" x14ac:dyDescent="0.2">
      <c r="A46" t="s">
        <v>967</v>
      </c>
      <c r="B46" t="s">
        <v>652</v>
      </c>
      <c r="C46" s="28">
        <v>64.66</v>
      </c>
      <c r="D46" t="s">
        <v>118</v>
      </c>
      <c r="E46" t="s">
        <v>1019</v>
      </c>
      <c r="F46" s="28">
        <f ca="1">apuestas_ago[[#This Row],[Apuesta Miniporra]]-$B$3</f>
        <v>-28.090000000000003</v>
      </c>
      <c r="G46" s="68">
        <f ca="1">ABS(apuestas_ago[[#This Row],[desvio]])/$B$3</f>
        <v>0.30285714285714288</v>
      </c>
      <c r="H46" s="4">
        <f ca="1">_xlfn.RANK.EQ(apuestas_ago[[#This Row],[desvio %]],apuestas_ago[desvio %],1)</f>
        <v>40</v>
      </c>
      <c r="J46" s="66" t="s">
        <v>967</v>
      </c>
      <c r="K46" s="4">
        <f ca="1">INDEX(apuestas_ago[orden],MATCH(resultados_ago[Apuesta MiniPorra],apuestas_ago[Apuesta Miniporra],0))</f>
        <v>40</v>
      </c>
      <c r="L46" t="str">
        <f>apuestas_ago[[#This Row],[Nombre]]</f>
        <v>Carlos Martin</v>
      </c>
      <c r="M46" s="28">
        <f>apuestas_ago[[#This Row],[Apuesta Miniporra]]</f>
        <v>64.66</v>
      </c>
      <c r="N46" s="4">
        <f ca="1">INDEX(apuestas_ago[desvio],MATCH(resultados_ago[[#This Row],[Apuesta MiniPorra]],apuestas_ago[Apuesta Miniporra],0))</f>
        <v>-28.090000000000003</v>
      </c>
      <c r="O46" s="13">
        <f ca="1">INDEX(apuestas_ago[desvio %],MATCH(resultados_ago[[#This Row],[Apuesta MiniPorra]],apuestas_ago[Apuesta Miniporra],0))</f>
        <v>0.30285714285714288</v>
      </c>
      <c r="P46" s="78"/>
      <c r="Q46" s="78"/>
      <c r="U46" s="42"/>
    </row>
    <row r="47" spans="1:21" x14ac:dyDescent="0.2">
      <c r="A47" t="s">
        <v>967</v>
      </c>
      <c r="B47" t="s">
        <v>9</v>
      </c>
      <c r="C47" s="28">
        <v>60</v>
      </c>
      <c r="D47" t="s">
        <v>118</v>
      </c>
      <c r="E47" t="s">
        <v>124</v>
      </c>
      <c r="F47" s="28">
        <f ca="1">apuestas_ago[[#This Row],[Apuesta Miniporra]]-$B$3</f>
        <v>-32.75</v>
      </c>
      <c r="G47" s="68">
        <f ca="1">ABS(apuestas_ago[[#This Row],[desvio]])/$B$3</f>
        <v>0.35309973045822102</v>
      </c>
      <c r="H47" s="4">
        <f ca="1">_xlfn.RANK.EQ(apuestas_ago[[#This Row],[desvio %]],apuestas_ago[desvio %],1)</f>
        <v>41</v>
      </c>
      <c r="J47" s="66" t="s">
        <v>967</v>
      </c>
      <c r="K47" s="4">
        <f ca="1">INDEX(apuestas_ago[orden],MATCH(resultados_ago[Apuesta MiniPorra],apuestas_ago[Apuesta Miniporra],0))</f>
        <v>41</v>
      </c>
      <c r="L47" t="str">
        <f>apuestas_ago[[#This Row],[Nombre]]</f>
        <v>Alfonso Zárate Conde</v>
      </c>
      <c r="M47" s="28">
        <f>apuestas_ago[[#This Row],[Apuesta Miniporra]]</f>
        <v>60</v>
      </c>
      <c r="N47" s="4">
        <f ca="1">INDEX(apuestas_ago[desvio],MATCH(resultados_ago[[#This Row],[Apuesta MiniPorra]],apuestas_ago[Apuesta Miniporra],0))</f>
        <v>-32.75</v>
      </c>
      <c r="O47" s="13">
        <f ca="1">INDEX(apuestas_ago[desvio %],MATCH(resultados_ago[[#This Row],[Apuesta MiniPorra]],apuestas_ago[Apuesta Miniporra],0))</f>
        <v>0.35309973045822102</v>
      </c>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6"/>
      <c r="L59" s="106"/>
      <c r="M59" s="106"/>
      <c r="N59" s="106"/>
      <c r="O59" s="106"/>
      <c r="U59" s="42"/>
    </row>
    <row r="60" spans="10:21" x14ac:dyDescent="0.2">
      <c r="K60" s="106"/>
      <c r="L60" s="106"/>
      <c r="M60" s="106"/>
      <c r="N60" s="106"/>
      <c r="O60" s="106"/>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G3:H3"/>
    <mergeCell ref="M3:M5"/>
    <mergeCell ref="N3:O5"/>
    <mergeCell ref="P3:Q5"/>
    <mergeCell ref="U20:W22"/>
    <mergeCell ref="K1:L5"/>
    <mergeCell ref="M1:M2"/>
    <mergeCell ref="N1:O2"/>
    <mergeCell ref="P1:Q2"/>
    <mergeCell ref="R1:T5"/>
    <mergeCell ref="Y1:Y5"/>
  </mergeCells>
  <conditionalFormatting sqref="K7:O47">
    <cfRule type="expression" dxfId="40" priority="1">
      <formula>$K7=3</formula>
    </cfRule>
    <cfRule type="expression" dxfId="39" priority="2">
      <formula>$K7=2</formula>
    </cfRule>
    <cfRule type="expression" dxfId="38" priority="3">
      <formula>$K7=1</formula>
    </cfRule>
  </conditionalFormatting>
  <conditionalFormatting sqref="R8:S13 R17:S20 R25:S26">
    <cfRule type="expression" dxfId="37" priority="4">
      <formula>$K38=1</formula>
    </cfRule>
  </conditionalFormatting>
  <conditionalFormatting sqref="P39:Q54 Q38 P58:Q60">
    <cfRule type="expression" dxfId="36" priority="5">
      <formula>$K34=3</formula>
    </cfRule>
    <cfRule type="expression" dxfId="35" priority="6">
      <formula>$K34=2</formula>
    </cfRule>
    <cfRule type="expression" dxfId="34" priority="7">
      <formula>$K34=1</formula>
    </cfRule>
  </conditionalFormatting>
  <conditionalFormatting sqref="O7:O47">
    <cfRule type="dataBar" priority="8">
      <dataBar>
        <cfvo type="min"/>
        <cfvo type="max"/>
        <color rgb="FFFF555A"/>
      </dataBar>
      <extLst>
        <ext xmlns:x14="http://schemas.microsoft.com/office/spreadsheetml/2009/9/main" uri="{B025F937-C7B1-47D3-B67F-A62EFF666E3E}">
          <x14:id>{ACD4A2D3-3235-4EE8-A37D-319ADFA4464C}</x14:id>
        </ext>
      </extLst>
    </cfRule>
  </conditionalFormatting>
  <conditionalFormatting sqref="C7:C47">
    <cfRule type="duplicateValues" dxfId="33" priority="86"/>
  </conditionalFormatting>
  <conditionalFormatting sqref="B7:B47">
    <cfRule type="duplicateValues" dxfId="32" priority="88"/>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4915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4915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4915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ACD4A2D3-3235-4EE8-A37D-319ADFA4464C}">
            <x14:dataBar minLength="0" maxLength="100" border="1" negativeBarBorderColorSameAsPositive="0">
              <x14:cfvo type="autoMin"/>
              <x14:cfvo type="autoMax"/>
              <x14:borderColor rgb="FFFF555A"/>
              <x14:negativeFillColor rgb="FFFF0000"/>
              <x14:negativeBorderColor rgb="FFFF0000"/>
              <x14:axisColor rgb="FF000000"/>
            </x14:dataBar>
          </x14:cfRule>
          <xm:sqref>O7:O47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61"/>
  <sheetViews>
    <sheetView zoomScale="130" zoomScaleNormal="130" workbookViewId="0">
      <selection activeCell="T45" sqref="T45"/>
    </sheetView>
  </sheetViews>
  <sheetFormatPr baseColWidth="10" defaultRowHeight="12" x14ac:dyDescent="0.2"/>
  <cols>
    <col min="1" max="1" width="2.140625" customWidth="1"/>
    <col min="4" max="4" width="2.5703125" customWidth="1"/>
    <col min="5" max="5" width="23.42578125" customWidth="1"/>
    <col min="7" max="7" width="19" bestFit="1" customWidth="1"/>
    <col min="9" max="10" width="5.85546875" customWidth="1"/>
    <col min="11" max="11" width="5.42578125" customWidth="1"/>
    <col min="12" max="12" width="30.5703125" style="4" customWidth="1"/>
    <col min="13" max="13" width="11.42578125" style="4"/>
    <col min="14" max="14" width="0" style="4" hidden="1" customWidth="1"/>
    <col min="15" max="15" width="11.42578125" style="4"/>
  </cols>
  <sheetData>
    <row r="1" spans="2:24" ht="6.75" customHeight="1" x14ac:dyDescent="0.2"/>
    <row r="2" spans="2:24" ht="12" customHeight="1" x14ac:dyDescent="0.2">
      <c r="K2" s="107" t="s">
        <v>676</v>
      </c>
      <c r="L2" s="107"/>
      <c r="M2" s="2" t="s">
        <v>675</v>
      </c>
      <c r="O2" s="2" t="s">
        <v>834</v>
      </c>
      <c r="P2" s="2" t="s">
        <v>674</v>
      </c>
      <c r="Q2" s="150" t="s">
        <v>837</v>
      </c>
      <c r="R2" s="150"/>
      <c r="T2" s="4"/>
      <c r="V2" t="s">
        <v>836</v>
      </c>
    </row>
    <row r="3" spans="2:24" ht="12" customHeight="1" x14ac:dyDescent="0.2">
      <c r="K3" s="107"/>
      <c r="L3" s="107"/>
      <c r="M3" s="147" t="s">
        <v>1042</v>
      </c>
      <c r="O3" s="148">
        <f>F18</f>
        <v>5</v>
      </c>
      <c r="P3" s="149">
        <f ca="1">F15</f>
        <v>92.75</v>
      </c>
      <c r="Q3" s="150"/>
      <c r="R3" s="150"/>
      <c r="V3" t="s">
        <v>837</v>
      </c>
    </row>
    <row r="4" spans="2:24" ht="4.5" customHeight="1" x14ac:dyDescent="0.2">
      <c r="K4" s="107"/>
      <c r="L4" s="107"/>
      <c r="M4" s="147"/>
      <c r="O4" s="148"/>
      <c r="P4" s="149"/>
      <c r="Q4" s="150"/>
      <c r="R4" s="150"/>
    </row>
    <row r="5" spans="2:24" ht="15.75" customHeight="1" x14ac:dyDescent="0.2">
      <c r="K5" s="107"/>
      <c r="L5" s="107"/>
      <c r="M5" s="147"/>
      <c r="O5" s="148"/>
      <c r="P5" s="149"/>
      <c r="Q5" s="150"/>
      <c r="R5" s="150"/>
    </row>
    <row r="6" spans="2:24" ht="6.75" customHeight="1" x14ac:dyDescent="0.2">
      <c r="O6" s="94"/>
    </row>
    <row r="7" spans="2:24" s="90" customFormat="1" ht="19.5" customHeight="1" x14ac:dyDescent="0.2">
      <c r="K7" s="91" t="s">
        <v>835</v>
      </c>
      <c r="L7" s="91" t="s">
        <v>673</v>
      </c>
      <c r="M7" s="91" t="s">
        <v>669</v>
      </c>
      <c r="N7" s="92" t="s">
        <v>830</v>
      </c>
      <c r="O7" s="95" t="s">
        <v>679</v>
      </c>
      <c r="P7" s="96" t="s">
        <v>678</v>
      </c>
      <c r="Q7" s="95" t="s">
        <v>680</v>
      </c>
      <c r="R7" s="96" t="s">
        <v>681</v>
      </c>
      <c r="W7" s="90" t="s">
        <v>672</v>
      </c>
      <c r="X7" s="90" t="s">
        <v>681</v>
      </c>
    </row>
    <row r="8" spans="2:24" x14ac:dyDescent="0.2">
      <c r="B8" s="4" t="s">
        <v>244</v>
      </c>
      <c r="C8" s="4" t="s">
        <v>245</v>
      </c>
      <c r="K8" s="42">
        <f ca="1">ago!K7</f>
        <v>1</v>
      </c>
      <c r="L8" s="42" t="str">
        <f>ago!L7</f>
        <v>Pablo Herrero Del Barrio</v>
      </c>
      <c r="M8" s="28">
        <f>ago!M7</f>
        <v>87.85</v>
      </c>
      <c r="N8" s="77">
        <f>M8-M9</f>
        <v>6.9999999999993179E-2</v>
      </c>
      <c r="O8" s="97">
        <f>M8-N8/2</f>
        <v>87.814999999999998</v>
      </c>
      <c r="P8" s="98"/>
      <c r="Q8" s="97">
        <f t="shared" ref="Q8:Q24" ca="1" si="0">R9</f>
        <v>86.865576923076929</v>
      </c>
      <c r="R8" s="98"/>
      <c r="T8" t="s">
        <v>850</v>
      </c>
      <c r="W8" s="88">
        <f ca="1">O8*$F$43-$F$19</f>
        <v>-463.76</v>
      </c>
      <c r="X8" s="89">
        <f ca="1">W8/$O$3</f>
        <v>-92.751999999999995</v>
      </c>
    </row>
    <row r="9" spans="2:24" x14ac:dyDescent="0.2">
      <c r="B9" s="4">
        <v>1</v>
      </c>
      <c r="C9" s="28">
        <f>IFERROR(ago!Q7,"")</f>
        <v>107.32</v>
      </c>
      <c r="E9" s="28"/>
      <c r="F9" s="4"/>
      <c r="K9" s="42">
        <f ca="1">ago!K8</f>
        <v>2</v>
      </c>
      <c r="L9" s="42" t="str">
        <f>ago!L8</f>
        <v>Jose Antonio Quidiello Antuña</v>
      </c>
      <c r="M9" s="28">
        <f>ago!M8</f>
        <v>87.78</v>
      </c>
      <c r="N9" s="77">
        <f t="shared" ref="N9:N57" si="1">M9-M10</f>
        <v>0.87000000000000455</v>
      </c>
      <c r="O9" s="97">
        <f t="shared" ref="O9:O57" si="2">M9-N9/2</f>
        <v>87.344999999999999</v>
      </c>
      <c r="P9" s="98">
        <f>O8</f>
        <v>87.814999999999998</v>
      </c>
      <c r="Q9" s="97">
        <f t="shared" ca="1" si="0"/>
        <v>86.305192307692323</v>
      </c>
      <c r="R9" s="98">
        <f ca="1">IF($Q$2=$V$2,$F$21*Tabla43[[#This Row],[límite sup]]-$F$19,($F$22*Tabla43[[#This Row],[límite sup]]-$F$19)/$F$23)</f>
        <v>86.865576923076929</v>
      </c>
      <c r="T9" t="s">
        <v>851</v>
      </c>
      <c r="U9" s="65">
        <v>71</v>
      </c>
    </row>
    <row r="10" spans="2:24" x14ac:dyDescent="0.2">
      <c r="B10" s="4">
        <v>2</v>
      </c>
      <c r="C10" s="28">
        <f>IFERROR(ago!Q8,"")</f>
        <v>93.5</v>
      </c>
      <c r="K10" s="42">
        <f ca="1">ago!K9</f>
        <v>3</v>
      </c>
      <c r="L10" s="42" t="str">
        <f>ago!L9</f>
        <v>Rafael Leiva</v>
      </c>
      <c r="M10" s="28">
        <f>ago!M9</f>
        <v>86.91</v>
      </c>
      <c r="N10" s="77">
        <f t="shared" si="1"/>
        <v>4.6299999999999955</v>
      </c>
      <c r="O10" s="97">
        <f t="shared" si="2"/>
        <v>84.594999999999999</v>
      </c>
      <c r="P10" s="98">
        <f t="shared" ref="P10:P58" si="3">O9</f>
        <v>87.344999999999999</v>
      </c>
      <c r="Q10" s="97">
        <f t="shared" ca="1" si="0"/>
        <v>83.026346153846163</v>
      </c>
      <c r="R10" s="98">
        <f ca="1">IF($Q$2=$V$2,$F$21*Tabla43[[#This Row],[límite sup]]-$F$19,($F$22*Tabla43[[#This Row],[límite sup]]-$F$19)/$F$23)</f>
        <v>86.305192307692323</v>
      </c>
      <c r="T10" t="s">
        <v>852</v>
      </c>
      <c r="U10" s="65">
        <v>72</v>
      </c>
    </row>
    <row r="11" spans="2:24" x14ac:dyDescent="0.2">
      <c r="B11" s="4">
        <v>3</v>
      </c>
      <c r="C11" s="28">
        <f>IFERROR(ago!Q9,"")</f>
        <v>77.64</v>
      </c>
      <c r="K11" s="42">
        <f ca="1">ago!K10</f>
        <v>4</v>
      </c>
      <c r="L11" s="42" t="str">
        <f>ago!L10</f>
        <v>Sergio Alfonso</v>
      </c>
      <c r="M11" s="28">
        <f>ago!M10</f>
        <v>82.28</v>
      </c>
      <c r="N11" s="77">
        <f t="shared" si="1"/>
        <v>0.68000000000000682</v>
      </c>
      <c r="O11" s="97">
        <f t="shared" si="2"/>
        <v>81.94</v>
      </c>
      <c r="P11" s="98">
        <f t="shared" si="3"/>
        <v>84.594999999999999</v>
      </c>
      <c r="Q11" s="97">
        <f t="shared" ca="1" si="0"/>
        <v>79.860769230769236</v>
      </c>
      <c r="R11" s="98">
        <f ca="1">IF($Q$2=$V$2,$F$21*Tabla43[[#This Row],[límite sup]]-$F$19,($F$22*Tabla43[[#This Row],[límite sup]]-$F$19)/$F$23)</f>
        <v>83.026346153846163</v>
      </c>
    </row>
    <row r="12" spans="2:24" x14ac:dyDescent="0.2">
      <c r="B12" s="4">
        <v>4</v>
      </c>
      <c r="C12" s="28">
        <f>IFERROR(ago!Q10,"")</f>
        <v>75.48</v>
      </c>
      <c r="K12" s="42">
        <f ca="1">ago!K11</f>
        <v>5</v>
      </c>
      <c r="L12" s="42" t="str">
        <f>ago!L11</f>
        <v>Jose F Vidal</v>
      </c>
      <c r="M12" s="28">
        <f>ago!M11</f>
        <v>81.599999999999994</v>
      </c>
      <c r="N12" s="77">
        <f t="shared" si="1"/>
        <v>0.94999999999998863</v>
      </c>
      <c r="O12" s="97">
        <f t="shared" si="2"/>
        <v>81.125</v>
      </c>
      <c r="P12" s="98">
        <f t="shared" si="3"/>
        <v>81.94</v>
      </c>
      <c r="Q12" s="97">
        <f t="shared" ca="1" si="0"/>
        <v>78.889038461538448</v>
      </c>
      <c r="R12" s="98">
        <f ca="1">IF($Q$2=$V$2,$F$21*Tabla43[[#This Row],[límite sup]]-$F$19,($F$22*Tabla43[[#This Row],[límite sup]]-$F$19)/$F$23)</f>
        <v>79.860769230769236</v>
      </c>
    </row>
    <row r="13" spans="2:24" x14ac:dyDescent="0.2">
      <c r="B13" s="4">
        <v>5</v>
      </c>
      <c r="C13" s="28">
        <f>IFERROR(ago!Q11,"")</f>
        <v>109.82</v>
      </c>
      <c r="F13" s="4"/>
      <c r="K13" s="42">
        <f ca="1">ago!K12</f>
        <v>6</v>
      </c>
      <c r="L13" s="42" t="str">
        <f>ago!L12</f>
        <v>Víctor Baeschlin Sánchez</v>
      </c>
      <c r="M13" s="28">
        <f>ago!M12</f>
        <v>80.650000000000006</v>
      </c>
      <c r="N13" s="77">
        <f t="shared" si="1"/>
        <v>0.6600000000000108</v>
      </c>
      <c r="O13" s="97">
        <f t="shared" si="2"/>
        <v>80.319999999999993</v>
      </c>
      <c r="P13" s="98">
        <f t="shared" si="3"/>
        <v>81.125</v>
      </c>
      <c r="Q13" s="97">
        <f t="shared" ca="1" si="0"/>
        <v>77.929230769230756</v>
      </c>
      <c r="R13" s="98">
        <f ca="1">IF($Q$2=$V$2,$F$21*Tabla43[[#This Row],[límite sup]]-$F$19,($F$22*Tabla43[[#This Row],[límite sup]]-$F$19)/$F$23)</f>
        <v>78.889038461538448</v>
      </c>
    </row>
    <row r="14" spans="2:24" x14ac:dyDescent="0.2">
      <c r="B14" s="4">
        <v>6</v>
      </c>
      <c r="C14" s="28" t="str">
        <f>IFERROR(ago!Q12,"")</f>
        <v/>
      </c>
      <c r="G14" s="21"/>
      <c r="K14" s="42">
        <f ca="1">ago!K13</f>
        <v>7</v>
      </c>
      <c r="L14" s="42" t="str">
        <f>ago!L13</f>
        <v>Jaime Larrañaga Juez</v>
      </c>
      <c r="M14" s="28">
        <f>ago!M13</f>
        <v>79.989999999999995</v>
      </c>
      <c r="N14" s="77">
        <f t="shared" si="1"/>
        <v>1</v>
      </c>
      <c r="O14" s="97">
        <f t="shared" si="2"/>
        <v>79.489999999999995</v>
      </c>
      <c r="P14" s="98">
        <f t="shared" si="3"/>
        <v>80.319999999999993</v>
      </c>
      <c r="Q14" s="97">
        <f t="shared" ca="1" si="0"/>
        <v>76.939615384615394</v>
      </c>
      <c r="R14" s="98">
        <f ca="1">IF($Q$2=$V$2,$F$21*Tabla43[[#This Row],[límite sup]]-$F$19,($F$22*Tabla43[[#This Row],[límite sup]]-$F$19)/$F$23)</f>
        <v>77.929230769230756</v>
      </c>
    </row>
    <row r="15" spans="2:24" ht="12" customHeight="1" x14ac:dyDescent="0.2">
      <c r="B15" s="4">
        <v>7</v>
      </c>
      <c r="C15" s="28" t="str">
        <f>IFERROR(ago!Q13,"")</f>
        <v/>
      </c>
      <c r="E15" t="s">
        <v>1045</v>
      </c>
      <c r="F15" s="105">
        <f ca="1">ago!B3</f>
        <v>92.75</v>
      </c>
      <c r="K15" s="42">
        <f ca="1">ago!K14</f>
        <v>8</v>
      </c>
      <c r="L15" s="42" t="str">
        <f>ago!L14</f>
        <v>Juan Pedro Conejo Sanchez</v>
      </c>
      <c r="M15" s="28">
        <f>ago!M14</f>
        <v>78.989999999999995</v>
      </c>
      <c r="N15" s="77">
        <f t="shared" si="1"/>
        <v>0.37999999999999545</v>
      </c>
      <c r="O15" s="97">
        <f t="shared" si="2"/>
        <v>78.8</v>
      </c>
      <c r="P15" s="98">
        <f t="shared" si="3"/>
        <v>79.489999999999995</v>
      </c>
      <c r="Q15" s="97">
        <f t="shared" ca="1" si="0"/>
        <v>76.116923076923072</v>
      </c>
      <c r="R15" s="98">
        <f ca="1">IF($Q$2=$V$2,$F$21*Tabla43[[#This Row],[límite sup]]-$F$19,($F$22*Tabla43[[#This Row],[límite sup]]-$F$19)/$F$23)</f>
        <v>76.939615384615394</v>
      </c>
    </row>
    <row r="16" spans="2:24" ht="12" customHeight="1" x14ac:dyDescent="0.2">
      <c r="B16" s="4">
        <v>8</v>
      </c>
      <c r="C16" s="28" t="str">
        <f>IFERROR(ago!Q14,"")</f>
        <v/>
      </c>
      <c r="E16" t="s">
        <v>677</v>
      </c>
      <c r="F16" s="65">
        <f ca="1">INDEX(resultados_ago[Apuesta MiniPorra],MATCH(1,resultados_ago[Posición],0))</f>
        <v>87.85</v>
      </c>
      <c r="K16" s="42">
        <f ca="1">ago!K15</f>
        <v>9</v>
      </c>
      <c r="L16" s="42" t="str">
        <f>ago!L15</f>
        <v>Jesús Aceituno López</v>
      </c>
      <c r="M16" s="28">
        <f>ago!M15</f>
        <v>78.61</v>
      </c>
      <c r="N16" s="77">
        <f t="shared" si="1"/>
        <v>0.60999999999999943</v>
      </c>
      <c r="O16" s="97">
        <f t="shared" si="2"/>
        <v>78.305000000000007</v>
      </c>
      <c r="P16" s="98">
        <f t="shared" si="3"/>
        <v>78.8</v>
      </c>
      <c r="Q16" s="97">
        <f t="shared" ca="1" si="0"/>
        <v>75.526730769230781</v>
      </c>
      <c r="R16" s="98">
        <f ca="1">IF($Q$2=$V$2,$F$21*Tabla43[[#This Row],[límite sup]]-$F$19,($F$22*Tabla43[[#This Row],[límite sup]]-$F$19)/$F$23)</f>
        <v>76.116923076923072</v>
      </c>
      <c r="U16" s="93"/>
    </row>
    <row r="17" spans="2:18" x14ac:dyDescent="0.2">
      <c r="B17" s="4">
        <v>9</v>
      </c>
      <c r="C17" s="28" t="str">
        <f>IFERROR(ago!Q15,"")</f>
        <v/>
      </c>
      <c r="K17" s="42">
        <f ca="1">ago!K16</f>
        <v>10</v>
      </c>
      <c r="L17" s="42" t="str">
        <f>ago!L16</f>
        <v>Javier Pérez Salazar</v>
      </c>
      <c r="M17" s="28">
        <f>ago!M16</f>
        <v>78</v>
      </c>
      <c r="N17" s="77">
        <f t="shared" si="1"/>
        <v>0.29999999999999716</v>
      </c>
      <c r="O17" s="97">
        <f t="shared" si="2"/>
        <v>77.849999999999994</v>
      </c>
      <c r="P17" s="98">
        <f t="shared" si="3"/>
        <v>78.305000000000007</v>
      </c>
      <c r="Q17" s="97">
        <f t="shared" ca="1" si="0"/>
        <v>74.984230769230763</v>
      </c>
      <c r="R17" s="98">
        <f ca="1">IF($Q$2=$V$2,$F$21*Tabla43[[#This Row],[límite sup]]-$F$19,($F$22*Tabla43[[#This Row],[límite sup]]-$F$19)/$F$23)</f>
        <v>75.526730769230781</v>
      </c>
    </row>
    <row r="18" spans="2:18" x14ac:dyDescent="0.2">
      <c r="B18" s="4">
        <v>10</v>
      </c>
      <c r="C18" s="28" t="str">
        <f>IFERROR(ago!Q16,"")</f>
        <v/>
      </c>
      <c r="E18" t="s">
        <v>670</v>
      </c>
      <c r="F18" s="65">
        <f>ago!H1</f>
        <v>5</v>
      </c>
      <c r="G18" t="s">
        <v>831</v>
      </c>
      <c r="K18" s="42">
        <f ca="1">ago!K17</f>
        <v>11</v>
      </c>
      <c r="L18" s="42" t="str">
        <f>ago!L17</f>
        <v>Jorge Antonio González Sánchez</v>
      </c>
      <c r="M18" s="28">
        <f>ago!M17</f>
        <v>77.7</v>
      </c>
      <c r="N18" s="77">
        <f t="shared" si="1"/>
        <v>0.10000000000000853</v>
      </c>
      <c r="O18" s="97">
        <f t="shared" si="2"/>
        <v>77.650000000000006</v>
      </c>
      <c r="P18" s="98">
        <f t="shared" si="3"/>
        <v>77.849999999999994</v>
      </c>
      <c r="Q18" s="97">
        <f t="shared" ca="1" si="0"/>
        <v>74.745769230769241</v>
      </c>
      <c r="R18" s="98">
        <f ca="1">IF($Q$2=$V$2,$F$21*Tabla43[[#This Row],[límite sup]]-$F$19,($F$22*Tabla43[[#This Row],[límite sup]]-$F$19)/$F$23)</f>
        <v>74.984230769230763</v>
      </c>
    </row>
    <row r="19" spans="2:18" x14ac:dyDescent="0.2">
      <c r="B19" s="4">
        <v>11</v>
      </c>
      <c r="C19" s="28" t="str">
        <f>IFERROR(ago!Q17,"")</f>
        <v/>
      </c>
      <c r="E19" t="s">
        <v>671</v>
      </c>
      <c r="F19" s="76">
        <f ca="1">SUM(C9:OFFSET($C$9,F18-1,1))</f>
        <v>463.76</v>
      </c>
      <c r="G19" t="s">
        <v>832</v>
      </c>
      <c r="K19" s="42">
        <f ca="1">ago!K18</f>
        <v>12</v>
      </c>
      <c r="L19" s="42" t="str">
        <f>ago!L18</f>
        <v>Jose Manuel Otero López</v>
      </c>
      <c r="M19" s="28">
        <f>ago!M18</f>
        <v>77.599999999999994</v>
      </c>
      <c r="N19" s="77">
        <f t="shared" si="1"/>
        <v>1.0999999999999943</v>
      </c>
      <c r="O19" s="97">
        <f t="shared" si="2"/>
        <v>77.05</v>
      </c>
      <c r="P19" s="98">
        <f t="shared" si="3"/>
        <v>77.650000000000006</v>
      </c>
      <c r="Q19" s="97">
        <f t="shared" ca="1" si="0"/>
        <v>74.030384615384605</v>
      </c>
      <c r="R19" s="98">
        <f ca="1">IF($Q$2=$V$2,$F$21*Tabla43[[#This Row],[límite sup]]-$F$19,($F$22*Tabla43[[#This Row],[límite sup]]-$F$19)/$F$23)</f>
        <v>74.745769230769241</v>
      </c>
    </row>
    <row r="20" spans="2:18" x14ac:dyDescent="0.2">
      <c r="B20" s="4">
        <v>12</v>
      </c>
      <c r="C20" s="28" t="str">
        <f>IFERROR(ago!Q18,"")</f>
        <v/>
      </c>
      <c r="E20" t="s">
        <v>833</v>
      </c>
      <c r="F20" s="28">
        <f ca="1">F19/F18</f>
        <v>92.751999999999995</v>
      </c>
      <c r="K20" s="42">
        <f ca="1">ago!K19</f>
        <v>13</v>
      </c>
      <c r="L20" s="42" t="str">
        <f>ago!L19</f>
        <v>Javier Espelta</v>
      </c>
      <c r="M20" s="28">
        <f>ago!M19</f>
        <v>76.5</v>
      </c>
      <c r="N20" s="77">
        <f t="shared" si="1"/>
        <v>9.9999999999994316E-2</v>
      </c>
      <c r="O20" s="97">
        <f t="shared" si="2"/>
        <v>76.45</v>
      </c>
      <c r="P20" s="98">
        <f t="shared" si="3"/>
        <v>77.05</v>
      </c>
      <c r="Q20" s="97">
        <f t="shared" ca="1" si="0"/>
        <v>73.315000000000012</v>
      </c>
      <c r="R20" s="98">
        <f ca="1">IF($Q$2=$V$2,$F$21*Tabla43[[#This Row],[límite sup]]-$F$19,($F$22*Tabla43[[#This Row],[límite sup]]-$F$19)/$F$23)</f>
        <v>74.030384615384605</v>
      </c>
    </row>
    <row r="21" spans="2:18" x14ac:dyDescent="0.2">
      <c r="B21" s="4">
        <v>13</v>
      </c>
      <c r="C21" s="28" t="str">
        <f>IFERROR(ago!Q19,"")</f>
        <v/>
      </c>
      <c r="E21" t="s">
        <v>838</v>
      </c>
      <c r="F21" s="74">
        <f>F18+1</f>
        <v>6</v>
      </c>
      <c r="K21" s="42">
        <f ca="1">ago!K20</f>
        <v>14</v>
      </c>
      <c r="L21" s="42" t="str">
        <f>ago!L20</f>
        <v>Javier Revuelta Alonso</v>
      </c>
      <c r="M21" s="28">
        <f>ago!M20</f>
        <v>76.400000000000006</v>
      </c>
      <c r="N21" s="77">
        <f t="shared" si="1"/>
        <v>8.0000000000012506E-2</v>
      </c>
      <c r="O21" s="97">
        <f t="shared" si="2"/>
        <v>76.36</v>
      </c>
      <c r="P21" s="98">
        <f t="shared" si="3"/>
        <v>76.45</v>
      </c>
      <c r="Q21" s="97">
        <f t="shared" ca="1" si="0"/>
        <v>73.207692307692298</v>
      </c>
      <c r="R21" s="98">
        <f ca="1">IF($Q$2=$V$2,$F$21*Tabla43[[#This Row],[límite sup]]-$F$19,($F$22*Tabla43[[#This Row],[límite sup]]-$F$19)/$F$23)</f>
        <v>73.315000000000012</v>
      </c>
    </row>
    <row r="22" spans="2:18" x14ac:dyDescent="0.2">
      <c r="B22" s="4">
        <v>14</v>
      </c>
      <c r="C22" s="28" t="str">
        <f>IFERROR(ago!Q20,"")</f>
        <v/>
      </c>
      <c r="E22" t="s">
        <v>839</v>
      </c>
      <c r="F22" s="74">
        <f>COUNT(Tabla2336[dia])</f>
        <v>31</v>
      </c>
      <c r="K22" s="42">
        <f ca="1">ago!K21</f>
        <v>15</v>
      </c>
      <c r="L22" s="42" t="str">
        <f>ago!L21</f>
        <v>Ricardo Estévez Solís</v>
      </c>
      <c r="M22" s="28">
        <f>ago!M21</f>
        <v>76.319999999999993</v>
      </c>
      <c r="N22" s="77">
        <f t="shared" si="1"/>
        <v>5.9999999999988063E-2</v>
      </c>
      <c r="O22" s="97">
        <f t="shared" si="2"/>
        <v>76.289999999999992</v>
      </c>
      <c r="P22" s="98">
        <f t="shared" si="3"/>
        <v>76.36</v>
      </c>
      <c r="Q22" s="97">
        <f t="shared" ca="1" si="0"/>
        <v>73.124230769230763</v>
      </c>
      <c r="R22" s="98">
        <f ca="1">IF($Q$2=$V$2,$F$21*Tabla43[[#This Row],[límite sup]]-$F$19,($F$22*Tabla43[[#This Row],[límite sup]]-$F$19)/$F$23)</f>
        <v>73.207692307692298</v>
      </c>
    </row>
    <row r="23" spans="2:18" x14ac:dyDescent="0.2">
      <c r="B23" s="4">
        <v>15</v>
      </c>
      <c r="C23" s="28" t="str">
        <f>IFERROR(ago!Q21,"")</f>
        <v/>
      </c>
      <c r="E23" t="s">
        <v>840</v>
      </c>
      <c r="F23" s="74">
        <f>F22-F18</f>
        <v>26</v>
      </c>
      <c r="K23" s="42">
        <f ca="1">ago!K22</f>
        <v>16</v>
      </c>
      <c r="L23" s="42" t="str">
        <f>ago!L22</f>
        <v>Julián Mateo Muñoz</v>
      </c>
      <c r="M23" s="28">
        <f>ago!M22</f>
        <v>76.260000000000005</v>
      </c>
      <c r="N23" s="77">
        <f t="shared" si="1"/>
        <v>4.0000000000006253E-2</v>
      </c>
      <c r="O23" s="97">
        <f t="shared" si="2"/>
        <v>76.240000000000009</v>
      </c>
      <c r="P23" s="98">
        <f t="shared" si="3"/>
        <v>76.289999999999992</v>
      </c>
      <c r="Q23" s="97">
        <f t="shared" ca="1" si="0"/>
        <v>73.064615384615408</v>
      </c>
      <c r="R23" s="98">
        <f ca="1">IF($Q$2=$V$2,$F$21*Tabla43[[#This Row],[límite sup]]-$F$19,($F$22*Tabla43[[#This Row],[límite sup]]-$F$19)/$F$23)</f>
        <v>73.124230769230763</v>
      </c>
    </row>
    <row r="24" spans="2:18" x14ac:dyDescent="0.2">
      <c r="B24" s="4">
        <v>16</v>
      </c>
      <c r="C24" s="28" t="str">
        <f>IFERROR(ago!Q22,"")</f>
        <v/>
      </c>
      <c r="K24" s="42">
        <f ca="1">ago!K23</f>
        <v>17</v>
      </c>
      <c r="L24" s="42" t="str">
        <f>ago!L23</f>
        <v>Andrea Zarbano</v>
      </c>
      <c r="M24" s="28">
        <f>ago!M23</f>
        <v>76.22</v>
      </c>
      <c r="N24" s="77">
        <f t="shared" si="1"/>
        <v>1.1799999999999926</v>
      </c>
      <c r="O24" s="97">
        <f t="shared" si="2"/>
        <v>75.63</v>
      </c>
      <c r="P24" s="98">
        <f t="shared" si="3"/>
        <v>76.240000000000009</v>
      </c>
      <c r="Q24" s="97">
        <f t="shared" ca="1" si="0"/>
        <v>72.337307692307689</v>
      </c>
      <c r="R24" s="98">
        <f ca="1">IF($Q$2=$V$2,$F$21*Tabla43[[#This Row],[límite sup]]-$F$19,($F$22*Tabla43[[#This Row],[límite sup]]-$F$19)/$F$23)</f>
        <v>73.064615384615408</v>
      </c>
    </row>
    <row r="25" spans="2:18" x14ac:dyDescent="0.2">
      <c r="B25" s="4">
        <v>17</v>
      </c>
      <c r="C25" s="28" t="str">
        <f>IFERROR(ago!Q23,"")</f>
        <v/>
      </c>
      <c r="E25" t="s">
        <v>668</v>
      </c>
      <c r="F25" s="75">
        <f>AVERAGE(C9:C39)</f>
        <v>92.751999999999995</v>
      </c>
      <c r="K25" s="42">
        <f ca="1">ago!K24</f>
        <v>18</v>
      </c>
      <c r="L25" s="42" t="str">
        <f>ago!L24</f>
        <v>Roberto Cavero García</v>
      </c>
      <c r="M25" s="28">
        <f>ago!M24</f>
        <v>75.040000000000006</v>
      </c>
      <c r="N25" s="77">
        <f t="shared" si="1"/>
        <v>0.23000000000000398</v>
      </c>
      <c r="O25" s="97">
        <f t="shared" si="2"/>
        <v>74.925000000000011</v>
      </c>
      <c r="P25" s="98">
        <f t="shared" si="3"/>
        <v>75.63</v>
      </c>
      <c r="Q25" s="97">
        <f ca="1">R26</f>
        <v>71.49673076923078</v>
      </c>
      <c r="R25" s="98">
        <f ca="1">IF($Q$2=$V$2,$F$21*Tabla43[[#This Row],[límite sup]]-$F$19,($F$22*Tabla43[[#This Row],[límite sup]]-$F$19)/$F$23)</f>
        <v>72.337307692307689</v>
      </c>
    </row>
    <row r="26" spans="2:18" x14ac:dyDescent="0.2">
      <c r="B26" s="4">
        <v>18</v>
      </c>
      <c r="C26" s="28" t="str">
        <f>IFERROR(ago!Q24,"")</f>
        <v/>
      </c>
      <c r="F26" s="28"/>
      <c r="K26" s="42">
        <f ca="1">ago!K25</f>
        <v>19</v>
      </c>
      <c r="L26" s="42" t="str">
        <f>ago!L25</f>
        <v>Inés Monroy</v>
      </c>
      <c r="M26" s="28">
        <f>ago!M25</f>
        <v>74.81</v>
      </c>
      <c r="N26" s="77">
        <f t="shared" si="1"/>
        <v>1.0000000000005116E-2</v>
      </c>
      <c r="O26" s="97">
        <f t="shared" si="2"/>
        <v>74.805000000000007</v>
      </c>
      <c r="P26" s="98">
        <f t="shared" si="3"/>
        <v>74.925000000000011</v>
      </c>
      <c r="Q26" s="97">
        <f t="shared" ref="Q26:Q50" ca="1" si="4">R27</f>
        <v>71.353653846153861</v>
      </c>
      <c r="R26" s="98">
        <f ca="1">IF($Q$2=$V$2,$F$21*Tabla43[[#This Row],[límite sup]]-$F$19,($F$22*Tabla43[[#This Row],[límite sup]]-$F$19)/$F$23)</f>
        <v>71.49673076923078</v>
      </c>
    </row>
    <row r="27" spans="2:18" ht="11.45" x14ac:dyDescent="0.2">
      <c r="B27" s="4">
        <v>19</v>
      </c>
      <c r="C27" s="28" t="str">
        <f>IFERROR(ago!Q25,"")</f>
        <v/>
      </c>
      <c r="K27" s="42">
        <f ca="1">ago!K26</f>
        <v>20</v>
      </c>
      <c r="L27" s="42" t="str">
        <f>ago!L26</f>
        <v>Elena Muñoz Vioque</v>
      </c>
      <c r="M27" s="28">
        <f>ago!M26</f>
        <v>74.8</v>
      </c>
      <c r="N27" s="77">
        <f t="shared" si="1"/>
        <v>3.0000000000001137E-2</v>
      </c>
      <c r="O27" s="97">
        <f t="shared" si="2"/>
        <v>74.784999999999997</v>
      </c>
      <c r="P27" s="98">
        <f t="shared" si="3"/>
        <v>74.805000000000007</v>
      </c>
      <c r="Q27" s="97">
        <f t="shared" ca="1" si="4"/>
        <v>71.329807692307696</v>
      </c>
      <c r="R27" s="98">
        <f ca="1">IF($Q$2=$V$2,$F$21*Tabla43[[#This Row],[límite sup]]-$F$19,($F$22*Tabla43[[#This Row],[límite sup]]-$F$19)/$F$23)</f>
        <v>71.353653846153861</v>
      </c>
    </row>
    <row r="28" spans="2:18" ht="11.45" x14ac:dyDescent="0.2">
      <c r="B28" s="4">
        <v>20</v>
      </c>
      <c r="C28" s="28" t="str">
        <f>IFERROR(ago!Q26,"")</f>
        <v/>
      </c>
      <c r="F28">
        <f ca="1">jul!B3/75.23</f>
        <v>0.96118569719526781</v>
      </c>
      <c r="K28" s="42">
        <f ca="1">ago!K27</f>
        <v>21</v>
      </c>
      <c r="L28" s="42" t="str">
        <f>ago!L27</f>
        <v>Javier Colón Cortegoso</v>
      </c>
      <c r="M28" s="28">
        <f>ago!M27</f>
        <v>74.77</v>
      </c>
      <c r="N28" s="77">
        <f t="shared" si="1"/>
        <v>0.46999999999999886</v>
      </c>
      <c r="O28" s="97">
        <f t="shared" si="2"/>
        <v>74.534999999999997</v>
      </c>
      <c r="P28" s="98">
        <f t="shared" si="3"/>
        <v>74.784999999999997</v>
      </c>
      <c r="Q28" s="97">
        <f t="shared" ca="1" si="4"/>
        <v>71.031730769230776</v>
      </c>
      <c r="R28" s="98">
        <f ca="1">IF($Q$2=$V$2,$F$21*Tabla43[[#This Row],[límite sup]]-$F$19,($F$22*Tabla43[[#This Row],[límite sup]]-$F$19)/$F$23)</f>
        <v>71.329807692307696</v>
      </c>
    </row>
    <row r="29" spans="2:18" ht="11.45" x14ac:dyDescent="0.2">
      <c r="B29" s="4">
        <v>21</v>
      </c>
      <c r="C29" s="28" t="str">
        <f>IFERROR(ago!Q27,"")</f>
        <v/>
      </c>
      <c r="F29" s="43">
        <f ca="1">F28/75.93</f>
        <v>1.2658839683857075E-2</v>
      </c>
      <c r="K29" s="42">
        <f ca="1">ago!K28</f>
        <v>22</v>
      </c>
      <c r="L29" s="42" t="str">
        <f>ago!L28</f>
        <v>Laura Gómez López</v>
      </c>
      <c r="M29" s="28">
        <f>ago!M28</f>
        <v>74.3</v>
      </c>
      <c r="N29" s="77">
        <f t="shared" si="1"/>
        <v>0.95000000000000284</v>
      </c>
      <c r="O29" s="97">
        <f t="shared" si="2"/>
        <v>73.824999999999989</v>
      </c>
      <c r="P29" s="98">
        <f t="shared" si="3"/>
        <v>74.534999999999997</v>
      </c>
      <c r="Q29" s="97">
        <f t="shared" ca="1" si="4"/>
        <v>70.185192307692304</v>
      </c>
      <c r="R29" s="98">
        <f ca="1">IF($Q$2=$V$2,$F$21*Tabla43[[#This Row],[límite sup]]-$F$19,($F$22*Tabla43[[#This Row],[límite sup]]-$F$19)/$F$23)</f>
        <v>71.031730769230776</v>
      </c>
    </row>
    <row r="30" spans="2:18" ht="11.45" x14ac:dyDescent="0.2">
      <c r="B30" s="4">
        <v>22</v>
      </c>
      <c r="C30" s="28" t="str">
        <f>IFERROR(ago!Q28,"")</f>
        <v/>
      </c>
      <c r="K30" s="42">
        <f ca="1">ago!K29</f>
        <v>23</v>
      </c>
      <c r="L30" s="42" t="str">
        <f>ago!L29</f>
        <v>Aitor Folch</v>
      </c>
      <c r="M30" s="28">
        <f>ago!M29</f>
        <v>73.349999999999994</v>
      </c>
      <c r="N30" s="77">
        <f t="shared" si="1"/>
        <v>1.9999999999996021E-2</v>
      </c>
      <c r="O30" s="97">
        <f t="shared" si="2"/>
        <v>73.34</v>
      </c>
      <c r="P30" s="98">
        <f t="shared" si="3"/>
        <v>73.824999999999989</v>
      </c>
      <c r="Q30" s="97">
        <f t="shared" ca="1" si="4"/>
        <v>69.606923076923081</v>
      </c>
      <c r="R30" s="98">
        <f ca="1">IF($Q$2=$V$2,$F$21*Tabla43[[#This Row],[límite sup]]-$F$19,($F$22*Tabla43[[#This Row],[límite sup]]-$F$19)/$F$23)</f>
        <v>70.185192307692304</v>
      </c>
    </row>
    <row r="31" spans="2:18" x14ac:dyDescent="0.2">
      <c r="B31" s="4">
        <v>23</v>
      </c>
      <c r="C31" s="28" t="str">
        <f>IFERROR(ago!Q29,"")</f>
        <v/>
      </c>
      <c r="K31" s="42">
        <f ca="1">ago!K30</f>
        <v>24</v>
      </c>
      <c r="L31" s="42" t="str">
        <f>ago!L30</f>
        <v>Beatriz Muñoz Rioboo</v>
      </c>
      <c r="M31" s="28">
        <f>ago!M30</f>
        <v>73.33</v>
      </c>
      <c r="N31" s="77">
        <f t="shared" si="1"/>
        <v>0.20999999999999375</v>
      </c>
      <c r="O31" s="97">
        <f t="shared" si="2"/>
        <v>73.224999999999994</v>
      </c>
      <c r="P31" s="98">
        <f t="shared" si="3"/>
        <v>73.34</v>
      </c>
      <c r="Q31" s="97">
        <f t="shared" ca="1" si="4"/>
        <v>69.469807692307683</v>
      </c>
      <c r="R31" s="98">
        <f ca="1">IF($Q$2=$V$2,$F$21*Tabla43[[#This Row],[límite sup]]-$F$19,($F$22*Tabla43[[#This Row],[límite sup]]-$F$19)/$F$23)</f>
        <v>69.606923076923081</v>
      </c>
    </row>
    <row r="32" spans="2:18" x14ac:dyDescent="0.2">
      <c r="B32" s="4">
        <v>24</v>
      </c>
      <c r="C32" s="28" t="str">
        <f>IFERROR(ago!Q30,"")</f>
        <v/>
      </c>
      <c r="F32" s="4"/>
      <c r="H32" s="4"/>
      <c r="K32" s="42">
        <f ca="1">ago!K31</f>
        <v>25</v>
      </c>
      <c r="L32" s="42" t="str">
        <f>ago!L31</f>
        <v>Marcos Fortea Escolano</v>
      </c>
      <c r="M32" s="28">
        <f>ago!M31</f>
        <v>73.12</v>
      </c>
      <c r="N32" s="77">
        <f t="shared" si="1"/>
        <v>0.52000000000001023</v>
      </c>
      <c r="O32" s="97">
        <f t="shared" si="2"/>
        <v>72.86</v>
      </c>
      <c r="P32" s="98">
        <f t="shared" si="3"/>
        <v>73.224999999999994</v>
      </c>
      <c r="Q32" s="97">
        <f t="shared" ca="1" si="4"/>
        <v>69.034615384615378</v>
      </c>
      <c r="R32" s="98">
        <f ca="1">IF($Q$2=$V$2,$F$21*Tabla43[[#This Row],[límite sup]]-$F$19,($F$22*Tabla43[[#This Row],[límite sup]]-$F$19)/$F$23)</f>
        <v>69.469807692307683</v>
      </c>
    </row>
    <row r="33" spans="2:18" x14ac:dyDescent="0.2">
      <c r="B33" s="4">
        <v>25</v>
      </c>
      <c r="C33" s="28" t="str">
        <f>IFERROR(ago!Q31,"")</f>
        <v/>
      </c>
      <c r="F33" s="4"/>
      <c r="H33" s="28"/>
      <c r="K33" s="42">
        <f ca="1">ago!K32</f>
        <v>26</v>
      </c>
      <c r="L33" s="42" t="str">
        <f>ago!L32</f>
        <v>Luis Angel Garzon Velasco</v>
      </c>
      <c r="M33" s="28">
        <f>ago!M32</f>
        <v>72.599999999999994</v>
      </c>
      <c r="N33" s="77">
        <f t="shared" si="1"/>
        <v>1.0999999999999943</v>
      </c>
      <c r="O33" s="97">
        <f t="shared" si="2"/>
        <v>72.05</v>
      </c>
      <c r="P33" s="98">
        <f t="shared" si="3"/>
        <v>72.86</v>
      </c>
      <c r="Q33" s="97">
        <f t="shared" ca="1" si="4"/>
        <v>68.068846153846138</v>
      </c>
      <c r="R33" s="98">
        <f ca="1">IF($Q$2=$V$2,$F$21*Tabla43[[#This Row],[límite sup]]-$F$19,($F$22*Tabla43[[#This Row],[límite sup]]-$F$19)/$F$23)</f>
        <v>69.034615384615378</v>
      </c>
    </row>
    <row r="34" spans="2:18" x14ac:dyDescent="0.2">
      <c r="B34" s="4">
        <v>26</v>
      </c>
      <c r="C34" s="28" t="str">
        <f>IFERROR(ago!Q32,"")</f>
        <v/>
      </c>
      <c r="F34" s="28"/>
      <c r="H34" s="28"/>
      <c r="K34" s="42">
        <f ca="1">ago!K33</f>
        <v>27</v>
      </c>
      <c r="L34" s="42" t="str">
        <f>ago!L33</f>
        <v>Daniel Pérez Carrasco</v>
      </c>
      <c r="M34" s="28">
        <f>ago!M33</f>
        <v>71.5</v>
      </c>
      <c r="N34" s="77">
        <f t="shared" si="1"/>
        <v>0.29999999999999716</v>
      </c>
      <c r="O34" s="97">
        <f t="shared" si="2"/>
        <v>71.349999999999994</v>
      </c>
      <c r="P34" s="98">
        <f t="shared" si="3"/>
        <v>72.05</v>
      </c>
      <c r="Q34" s="97">
        <f t="shared" ca="1" si="4"/>
        <v>67.234230769230763</v>
      </c>
      <c r="R34" s="98">
        <f ca="1">IF($Q$2=$V$2,$F$21*Tabla43[[#This Row],[límite sup]]-$F$19,($F$22*Tabla43[[#This Row],[límite sup]]-$F$19)/$F$23)</f>
        <v>68.068846153846138</v>
      </c>
    </row>
    <row r="35" spans="2:18" x14ac:dyDescent="0.2">
      <c r="B35" s="4">
        <v>27</v>
      </c>
      <c r="C35" s="28" t="str">
        <f>IFERROR(ago!Q33,"")</f>
        <v/>
      </c>
      <c r="F35" s="4"/>
      <c r="H35" s="4"/>
      <c r="K35" s="42">
        <f ca="1">ago!K34</f>
        <v>28</v>
      </c>
      <c r="L35" s="42" t="str">
        <f>ago!L34</f>
        <v>Roque Alonso Alonso</v>
      </c>
      <c r="M35" s="28">
        <f>ago!M34</f>
        <v>71.2</v>
      </c>
      <c r="N35" s="77">
        <f t="shared" si="1"/>
        <v>0.5</v>
      </c>
      <c r="O35" s="97">
        <f t="shared" si="2"/>
        <v>70.95</v>
      </c>
      <c r="P35" s="98">
        <f t="shared" si="3"/>
        <v>71.349999999999994</v>
      </c>
      <c r="Q35" s="97">
        <f t="shared" ca="1" si="4"/>
        <v>66.757307692307705</v>
      </c>
      <c r="R35" s="98">
        <f ca="1">IF($Q$2=$V$2,$F$21*Tabla43[[#This Row],[límite sup]]-$F$19,($F$22*Tabla43[[#This Row],[límite sup]]-$F$19)/$F$23)</f>
        <v>67.234230769230763</v>
      </c>
    </row>
    <row r="36" spans="2:18" x14ac:dyDescent="0.2">
      <c r="B36" s="4">
        <v>28</v>
      </c>
      <c r="C36" s="28" t="str">
        <f>IFERROR(ago!Q34,"")</f>
        <v/>
      </c>
      <c r="F36" s="28"/>
      <c r="H36" s="28"/>
      <c r="K36" s="42">
        <f ca="1">ago!K35</f>
        <v>29</v>
      </c>
      <c r="L36" s="42" t="str">
        <f>ago!L35</f>
        <v>Carles Estruch Puig</v>
      </c>
      <c r="M36" s="28">
        <f>ago!M35</f>
        <v>70.7</v>
      </c>
      <c r="N36" s="77">
        <f t="shared" si="1"/>
        <v>0.20000000000000284</v>
      </c>
      <c r="O36" s="97">
        <f t="shared" si="2"/>
        <v>70.599999999999994</v>
      </c>
      <c r="P36" s="98">
        <f t="shared" si="3"/>
        <v>70.95</v>
      </c>
      <c r="Q36" s="97">
        <f t="shared" ca="1" si="4"/>
        <v>66.34</v>
      </c>
      <c r="R36" s="98">
        <f ca="1">IF($Q$2=$V$2,$F$21*Tabla43[[#This Row],[límite sup]]-$F$19,($F$22*Tabla43[[#This Row],[límite sup]]-$F$19)/$F$23)</f>
        <v>66.757307692307705</v>
      </c>
    </row>
    <row r="37" spans="2:18" x14ac:dyDescent="0.2">
      <c r="B37" s="4">
        <v>29</v>
      </c>
      <c r="C37" s="28" t="str">
        <f>IFERROR(ago!Q35,"")</f>
        <v/>
      </c>
      <c r="K37" s="42">
        <f ca="1">ago!K36</f>
        <v>30</v>
      </c>
      <c r="L37" s="42" t="str">
        <f>ago!L36</f>
        <v>Gorka Arratibel Pastor</v>
      </c>
      <c r="M37" s="28">
        <f>ago!M36</f>
        <v>70.5</v>
      </c>
      <c r="N37" s="77">
        <f t="shared" si="1"/>
        <v>4.9999999999997158E-2</v>
      </c>
      <c r="O37" s="97">
        <f t="shared" si="2"/>
        <v>70.474999999999994</v>
      </c>
      <c r="P37" s="98">
        <f t="shared" si="3"/>
        <v>70.599999999999994</v>
      </c>
      <c r="Q37" s="97">
        <f t="shared" ca="1" si="4"/>
        <v>66.190961538461536</v>
      </c>
      <c r="R37" s="98">
        <f ca="1">IF($Q$2=$V$2,$F$21*Tabla43[[#This Row],[límite sup]]-$F$19,($F$22*Tabla43[[#This Row],[límite sup]]-$F$19)/$F$23)</f>
        <v>66.34</v>
      </c>
    </row>
    <row r="38" spans="2:18" x14ac:dyDescent="0.2">
      <c r="B38" s="4">
        <v>30</v>
      </c>
      <c r="C38" s="28" t="str">
        <f>IFERROR(ago!Q36,"")</f>
        <v/>
      </c>
      <c r="K38" s="42">
        <f ca="1">ago!K37</f>
        <v>31</v>
      </c>
      <c r="L38" s="42" t="str">
        <f>ago!L37</f>
        <v>Andres Canal</v>
      </c>
      <c r="M38" s="28">
        <f>ago!M37</f>
        <v>70.45</v>
      </c>
      <c r="N38" s="77">
        <f t="shared" si="1"/>
        <v>0.46000000000000796</v>
      </c>
      <c r="O38" s="97">
        <f t="shared" si="2"/>
        <v>70.22</v>
      </c>
      <c r="P38" s="98">
        <f t="shared" si="3"/>
        <v>70.474999999999994</v>
      </c>
      <c r="Q38" s="97">
        <f t="shared" ca="1" si="4"/>
        <v>65.886923076923082</v>
      </c>
      <c r="R38" s="98">
        <f ca="1">IF($Q$2=$V$2,$F$21*Tabla43[[#This Row],[límite sup]]-$F$19,($F$22*Tabla43[[#This Row],[límite sup]]-$F$19)/$F$23)</f>
        <v>66.190961538461536</v>
      </c>
    </row>
    <row r="39" spans="2:18" x14ac:dyDescent="0.2">
      <c r="B39" s="4">
        <v>31</v>
      </c>
      <c r="C39" s="28" t="str">
        <f>IFERROR(ago!Q37,"")</f>
        <v/>
      </c>
      <c r="K39" s="42">
        <f ca="1">ago!K38</f>
        <v>32</v>
      </c>
      <c r="L39" s="42" t="str">
        <f>ago!L38</f>
        <v>Gladys Rocha Blanco</v>
      </c>
      <c r="M39" s="28">
        <f>ago!M38</f>
        <v>69.989999999999995</v>
      </c>
      <c r="N39" s="77">
        <f t="shared" si="1"/>
        <v>3.0000000000001137E-2</v>
      </c>
      <c r="O39" s="97">
        <f t="shared" si="2"/>
        <v>69.974999999999994</v>
      </c>
      <c r="P39" s="98">
        <f t="shared" si="3"/>
        <v>70.22</v>
      </c>
      <c r="Q39" s="97">
        <f t="shared" ca="1" si="4"/>
        <v>65.594807692307683</v>
      </c>
      <c r="R39" s="98">
        <f ca="1">IF($Q$2=$V$2,$F$21*Tabla43[[#This Row],[límite sup]]-$F$19,($F$22*Tabla43[[#This Row],[límite sup]]-$F$19)/$F$23)</f>
        <v>65.886923076923082</v>
      </c>
    </row>
    <row r="40" spans="2:18" x14ac:dyDescent="0.2">
      <c r="B40" s="4"/>
      <c r="C40" s="28" t="str">
        <f>IFERROR(omie_mayo_miniporra[[#This Row],[€/MWh]],"")</f>
        <v/>
      </c>
      <c r="K40" s="42">
        <f ca="1">ago!K39</f>
        <v>33</v>
      </c>
      <c r="L40" s="42" t="str">
        <f>ago!L39</f>
        <v>Paco Cuadrado</v>
      </c>
      <c r="M40" s="28">
        <f>ago!M39</f>
        <v>69.959999999999994</v>
      </c>
      <c r="N40" s="77">
        <f t="shared" si="1"/>
        <v>0.25999999999999091</v>
      </c>
      <c r="O40" s="97">
        <f t="shared" si="2"/>
        <v>69.83</v>
      </c>
      <c r="P40" s="98">
        <f t="shared" si="3"/>
        <v>69.974999999999994</v>
      </c>
      <c r="Q40" s="97">
        <f t="shared" ca="1" si="4"/>
        <v>65.421923076923079</v>
      </c>
      <c r="R40" s="98">
        <f ca="1">IF($Q$2=$V$2,$F$21*Tabla43[[#This Row],[límite sup]]-$F$19,($F$22*Tabla43[[#This Row],[límite sup]]-$F$19)/$F$23)</f>
        <v>65.594807692307683</v>
      </c>
    </row>
    <row r="41" spans="2:18" x14ac:dyDescent="0.2">
      <c r="B41" s="4"/>
      <c r="C41" s="28" t="str">
        <f>IFERROR(omie_mayo_miniporra[[#This Row],[€/MWh]],"")</f>
        <v/>
      </c>
      <c r="K41" s="42">
        <f ca="1">ago!K40</f>
        <v>34</v>
      </c>
      <c r="L41" s="42" t="str">
        <f>ago!L40</f>
        <v>Rafael Tejada Bonilla</v>
      </c>
      <c r="M41" s="28">
        <f>ago!M40</f>
        <v>69.7</v>
      </c>
      <c r="N41" s="77">
        <f t="shared" si="1"/>
        <v>0.13000000000000966</v>
      </c>
      <c r="O41" s="97">
        <f t="shared" si="2"/>
        <v>69.634999999999991</v>
      </c>
      <c r="P41" s="98">
        <f t="shared" si="3"/>
        <v>69.83</v>
      </c>
      <c r="Q41" s="97">
        <f t="shared" ca="1" si="4"/>
        <v>65.189423076923063</v>
      </c>
      <c r="R41" s="98">
        <f ca="1">IF($Q$2=$V$2,$F$21*Tabla43[[#This Row],[límite sup]]-$F$19,($F$22*Tabla43[[#This Row],[límite sup]]-$F$19)/$F$23)</f>
        <v>65.421923076923079</v>
      </c>
    </row>
    <row r="42" spans="2:18" x14ac:dyDescent="0.2">
      <c r="B42" s="4"/>
      <c r="C42" s="28" t="str">
        <f>IFERROR(omie_mayo_miniporra[[#This Row],[€/MWh]],"")</f>
        <v/>
      </c>
      <c r="K42" s="42">
        <f ca="1">ago!K41</f>
        <v>35</v>
      </c>
      <c r="L42" s="42" t="str">
        <f>ago!L41</f>
        <v>Jorge González Arconada</v>
      </c>
      <c r="M42" s="28">
        <f>ago!M41</f>
        <v>69.569999999999993</v>
      </c>
      <c r="N42" s="77">
        <f t="shared" si="1"/>
        <v>0.19999999999998863</v>
      </c>
      <c r="O42" s="97">
        <f t="shared" si="2"/>
        <v>69.47</v>
      </c>
      <c r="P42" s="98">
        <f t="shared" si="3"/>
        <v>69.634999999999991</v>
      </c>
      <c r="Q42" s="97">
        <f t="shared" ca="1" si="4"/>
        <v>64.992692307692309</v>
      </c>
      <c r="R42" s="98">
        <f ca="1">IF($Q$2=$V$2,$F$21*Tabla43[[#This Row],[límite sup]]-$F$19,($F$22*Tabla43[[#This Row],[límite sup]]-$F$19)/$F$23)</f>
        <v>65.189423076923063</v>
      </c>
    </row>
    <row r="43" spans="2:18" x14ac:dyDescent="0.2">
      <c r="B43" s="4"/>
      <c r="C43" s="28" t="str">
        <f>IFERROR(omie_mayo_miniporra[[#This Row],[€/MWh]],"")</f>
        <v/>
      </c>
      <c r="F43" s="4"/>
      <c r="K43" s="42">
        <f ca="1">ago!K42</f>
        <v>36</v>
      </c>
      <c r="L43" s="42" t="str">
        <f>ago!L42</f>
        <v>Juan José Cuervo Arias</v>
      </c>
      <c r="M43" s="28">
        <f>ago!M42</f>
        <v>69.37</v>
      </c>
      <c r="N43" s="77">
        <f t="shared" si="1"/>
        <v>0.27000000000001023</v>
      </c>
      <c r="O43" s="97">
        <f t="shared" si="2"/>
        <v>69.234999999999999</v>
      </c>
      <c r="P43" s="98">
        <f t="shared" si="3"/>
        <v>69.47</v>
      </c>
      <c r="Q43" s="97">
        <f t="shared" ca="1" si="4"/>
        <v>64.712499999999991</v>
      </c>
      <c r="R43" s="98">
        <f ca="1">IF($Q$2=$V$2,$F$21*Tabla43[[#This Row],[límite sup]]-$F$19,($F$22*Tabla43[[#This Row],[límite sup]]-$F$19)/$F$23)</f>
        <v>64.992692307692309</v>
      </c>
    </row>
    <row r="44" spans="2:18" x14ac:dyDescent="0.2">
      <c r="K44" s="42">
        <f ca="1">ago!K43</f>
        <v>37</v>
      </c>
      <c r="L44" s="42" t="str">
        <f>ago!L43</f>
        <v>Alfonso Lezcano</v>
      </c>
      <c r="M44" s="28">
        <f>ago!M43</f>
        <v>69.099999999999994</v>
      </c>
      <c r="N44" s="77">
        <f t="shared" si="1"/>
        <v>3.2399999999999949</v>
      </c>
      <c r="O44" s="97">
        <f t="shared" si="2"/>
        <v>67.47999999999999</v>
      </c>
      <c r="P44" s="98">
        <f t="shared" si="3"/>
        <v>69.234999999999999</v>
      </c>
      <c r="Q44" s="97">
        <f t="shared" ca="1" si="4"/>
        <v>62.61999999999999</v>
      </c>
      <c r="R44" s="98">
        <f ca="1">IF($Q$2=$V$2,$F$21*Tabla43[[#This Row],[límite sup]]-$F$19,($F$22*Tabla43[[#This Row],[límite sup]]-$F$19)/$F$23)</f>
        <v>64.712499999999991</v>
      </c>
    </row>
    <row r="45" spans="2:18" x14ac:dyDescent="0.2">
      <c r="K45" s="42">
        <f ca="1">ago!K44</f>
        <v>38</v>
      </c>
      <c r="L45" s="42" t="str">
        <f>ago!L44</f>
        <v>Oscar Mulas Crespo</v>
      </c>
      <c r="M45" s="28">
        <f>ago!M44</f>
        <v>65.86</v>
      </c>
      <c r="N45" s="77">
        <f t="shared" si="1"/>
        <v>0.42999999999999261</v>
      </c>
      <c r="O45" s="97">
        <f t="shared" si="2"/>
        <v>65.64500000000001</v>
      </c>
      <c r="P45" s="98">
        <f t="shared" si="3"/>
        <v>67.47999999999999</v>
      </c>
      <c r="Q45" s="97">
        <f t="shared" ca="1" si="4"/>
        <v>60.4321153846154</v>
      </c>
      <c r="R45" s="98">
        <f ca="1">IF($Q$2=$V$2,$F$21*Tabla43[[#This Row],[límite sup]]-$F$19,($F$22*Tabla43[[#This Row],[límite sup]]-$F$19)/$F$23)</f>
        <v>62.61999999999999</v>
      </c>
    </row>
    <row r="46" spans="2:18" x14ac:dyDescent="0.2">
      <c r="K46" s="42">
        <f ca="1">ago!K45</f>
        <v>39</v>
      </c>
      <c r="L46" s="42" t="str">
        <f>ago!L45</f>
        <v>Fernando Sánchez-Rey Maeso</v>
      </c>
      <c r="M46" s="28">
        <f>ago!M45</f>
        <v>65.430000000000007</v>
      </c>
      <c r="N46" s="77">
        <f t="shared" si="1"/>
        <v>0.77000000000001023</v>
      </c>
      <c r="O46" s="97">
        <f t="shared" si="2"/>
        <v>65.045000000000002</v>
      </c>
      <c r="P46" s="98">
        <f t="shared" si="3"/>
        <v>65.64500000000001</v>
      </c>
      <c r="Q46" s="97">
        <f t="shared" ca="1" si="4"/>
        <v>59.716730769230772</v>
      </c>
      <c r="R46" s="98">
        <f ca="1">IF($Q$2=$V$2,$F$21*Tabla43[[#This Row],[límite sup]]-$F$19,($F$22*Tabla43[[#This Row],[límite sup]]-$F$19)/$F$23)</f>
        <v>60.4321153846154</v>
      </c>
    </row>
    <row r="47" spans="2:18" x14ac:dyDescent="0.2">
      <c r="K47" s="42">
        <f ca="1">ago!K46</f>
        <v>40</v>
      </c>
      <c r="L47" s="42" t="str">
        <f>ago!L46</f>
        <v>Carlos Martin</v>
      </c>
      <c r="M47" s="28">
        <f>ago!M46</f>
        <v>64.66</v>
      </c>
      <c r="N47" s="77">
        <f t="shared" si="1"/>
        <v>4.6599999999999966</v>
      </c>
      <c r="O47" s="97">
        <f t="shared" si="2"/>
        <v>62.33</v>
      </c>
      <c r="P47" s="98">
        <f t="shared" si="3"/>
        <v>65.045000000000002</v>
      </c>
      <c r="Q47" s="97">
        <f t="shared" ca="1" si="4"/>
        <v>56.479615384615386</v>
      </c>
      <c r="R47" s="98">
        <f ca="1">IF($Q$2=$V$2,$F$21*Tabla43[[#This Row],[límite sup]]-$F$19,($F$22*Tabla43[[#This Row],[límite sup]]-$F$19)/$F$23)</f>
        <v>59.716730769230772</v>
      </c>
    </row>
    <row r="48" spans="2:18" x14ac:dyDescent="0.2">
      <c r="K48" s="42">
        <f ca="1">ago!K47</f>
        <v>41</v>
      </c>
      <c r="L48" s="42" t="str">
        <f>ago!L47</f>
        <v>Alfonso Zárate Conde</v>
      </c>
      <c r="M48" s="28">
        <f>ago!M47</f>
        <v>60</v>
      </c>
      <c r="N48" s="77">
        <f t="shared" si="1"/>
        <v>60</v>
      </c>
      <c r="O48" s="97">
        <f t="shared" si="2"/>
        <v>30</v>
      </c>
      <c r="P48" s="98">
        <f t="shared" si="3"/>
        <v>62.33</v>
      </c>
      <c r="Q48" s="97">
        <f t="shared" si="4"/>
        <v>0</v>
      </c>
      <c r="R48" s="98">
        <f ca="1">IF($Q$2=$V$2,$F$21*Tabla43[[#This Row],[límite sup]]-$F$19,($F$22*Tabla43[[#This Row],[límite sup]]-$F$19)/$F$23)</f>
        <v>56.479615384615386</v>
      </c>
    </row>
    <row r="49" spans="11:19" x14ac:dyDescent="0.2">
      <c r="K49" s="155"/>
      <c r="L49" s="155"/>
      <c r="M49" s="156"/>
      <c r="N49" s="157"/>
      <c r="O49" s="156"/>
      <c r="P49" s="156"/>
      <c r="Q49" s="156"/>
      <c r="R49" s="156"/>
      <c r="S49" s="158"/>
    </row>
    <row r="50" spans="11:19" x14ac:dyDescent="0.2">
      <c r="K50" s="155"/>
      <c r="L50" s="155"/>
      <c r="M50" s="156"/>
      <c r="N50" s="157"/>
      <c r="O50" s="156"/>
      <c r="P50" s="156"/>
      <c r="Q50" s="156"/>
      <c r="R50" s="156"/>
      <c r="S50" s="158"/>
    </row>
    <row r="51" spans="11:19" x14ac:dyDescent="0.2">
      <c r="K51" s="155"/>
      <c r="L51" s="155"/>
      <c r="M51" s="156"/>
      <c r="N51" s="157"/>
      <c r="O51" s="156"/>
      <c r="P51" s="156"/>
      <c r="Q51" s="156"/>
      <c r="R51" s="156"/>
      <c r="S51" s="158"/>
    </row>
    <row r="52" spans="11:19" x14ac:dyDescent="0.2">
      <c r="K52" s="155"/>
      <c r="L52" s="155"/>
      <c r="M52" s="156"/>
      <c r="N52" s="157"/>
      <c r="O52" s="156"/>
      <c r="P52" s="156"/>
      <c r="Q52" s="156"/>
      <c r="R52" s="156"/>
      <c r="S52" s="158"/>
    </row>
    <row r="53" spans="11:19" x14ac:dyDescent="0.2">
      <c r="K53" s="155"/>
      <c r="L53" s="155"/>
      <c r="M53" s="156"/>
      <c r="N53" s="157"/>
      <c r="O53" s="156"/>
      <c r="P53" s="156"/>
      <c r="Q53" s="156"/>
      <c r="R53" s="156"/>
      <c r="S53" s="158"/>
    </row>
    <row r="54" spans="11:19" x14ac:dyDescent="0.2">
      <c r="K54" s="155"/>
      <c r="L54" s="155"/>
      <c r="M54" s="156"/>
      <c r="N54" s="157"/>
      <c r="O54" s="156"/>
      <c r="P54" s="156"/>
      <c r="Q54" s="156"/>
      <c r="R54" s="156"/>
      <c r="S54" s="158"/>
    </row>
    <row r="55" spans="11:19" x14ac:dyDescent="0.2">
      <c r="K55" s="155"/>
      <c r="L55" s="155"/>
      <c r="M55" s="156"/>
      <c r="N55" s="157"/>
      <c r="O55" s="156"/>
      <c r="P55" s="156"/>
      <c r="Q55" s="156"/>
      <c r="R55" s="156"/>
      <c r="S55" s="158"/>
    </row>
    <row r="56" spans="11:19" x14ac:dyDescent="0.2">
      <c r="K56" s="155"/>
      <c r="L56" s="155"/>
      <c r="M56" s="156"/>
      <c r="N56" s="157"/>
      <c r="O56" s="156"/>
      <c r="P56" s="156"/>
      <c r="Q56" s="156"/>
      <c r="R56" s="156"/>
      <c r="S56" s="158"/>
    </row>
    <row r="57" spans="11:19" x14ac:dyDescent="0.2">
      <c r="K57" s="155"/>
      <c r="L57" s="155"/>
      <c r="M57" s="156"/>
      <c r="N57" s="157"/>
      <c r="O57" s="156"/>
      <c r="P57" s="156"/>
      <c r="Q57" s="156"/>
      <c r="R57" s="156"/>
      <c r="S57" s="158"/>
    </row>
    <row r="58" spans="11:19" x14ac:dyDescent="0.2">
      <c r="K58" s="155"/>
      <c r="L58" s="155"/>
      <c r="M58" s="156"/>
      <c r="N58" s="157"/>
      <c r="O58" s="156"/>
      <c r="P58" s="156"/>
      <c r="Q58" s="156"/>
      <c r="R58" s="156"/>
      <c r="S58" s="158"/>
    </row>
    <row r="59" spans="11:19" x14ac:dyDescent="0.2">
      <c r="K59" s="158"/>
      <c r="L59" s="156"/>
      <c r="M59" s="157"/>
      <c r="N59" s="156"/>
      <c r="O59" s="156"/>
      <c r="P59" s="156"/>
      <c r="Q59" s="156"/>
      <c r="R59" s="158"/>
      <c r="S59" s="158"/>
    </row>
    <row r="60" spans="11:19" x14ac:dyDescent="0.2">
      <c r="K60" s="158"/>
      <c r="L60" s="159"/>
      <c r="M60" s="159"/>
      <c r="N60" s="159"/>
      <c r="O60" s="159"/>
      <c r="P60" s="158"/>
      <c r="Q60" s="158"/>
      <c r="R60" s="158"/>
      <c r="S60" s="158"/>
    </row>
    <row r="61" spans="11:19" x14ac:dyDescent="0.2">
      <c r="K61" s="158"/>
      <c r="L61" s="159"/>
      <c r="M61" s="159"/>
      <c r="N61" s="159"/>
      <c r="O61" s="159"/>
      <c r="P61" s="158"/>
      <c r="Q61" s="158"/>
      <c r="R61" s="158"/>
      <c r="S61" s="158"/>
    </row>
  </sheetData>
  <mergeCells count="5">
    <mergeCell ref="K2:L5"/>
    <mergeCell ref="M3:M5"/>
    <mergeCell ref="O3:O5"/>
    <mergeCell ref="P3:P5"/>
    <mergeCell ref="Q2:R5"/>
  </mergeCells>
  <conditionalFormatting sqref="C9:C39">
    <cfRule type="expression" dxfId="31" priority="3">
      <formula>$B9&gt;$F$18</formula>
    </cfRule>
  </conditionalFormatting>
  <conditionalFormatting sqref="K8:R8 K9:M58">
    <cfRule type="expression" dxfId="30" priority="72">
      <formula>$K8:$K58=1</formula>
    </cfRule>
    <cfRule type="expression" priority="73" stopIfTrue="1">
      <formula>$M8:$M58&gt;=$U$10+1</formula>
    </cfRule>
    <cfRule type="expression" dxfId="29" priority="74">
      <formula>$M8:$M58&gt;=$U$9</formula>
    </cfRule>
    <cfRule type="expression" dxfId="28" priority="75">
      <formula>$R8:$R58&lt;0</formula>
    </cfRule>
  </conditionalFormatting>
  <conditionalFormatting sqref="N9:R58">
    <cfRule type="expression" dxfId="27" priority="76">
      <formula>$K9:$K59=1</formula>
    </cfRule>
    <cfRule type="expression" priority="77" stopIfTrue="1">
      <formula>$M9:$M59&gt;=$U$10+1</formula>
    </cfRule>
    <cfRule type="expression" dxfId="26" priority="78">
      <formula>$M9:$M59&gt;=$U$9</formula>
    </cfRule>
    <cfRule type="expression" dxfId="25" priority="79">
      <formula>$R9:$R58&lt;0</formula>
    </cfRule>
  </conditionalFormatting>
  <dataValidations disablePrompts="1"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Z111"/>
  <sheetViews>
    <sheetView zoomScaleNormal="100" workbookViewId="0">
      <selection activeCell="R47" sqref="R47"/>
    </sheetView>
  </sheetViews>
  <sheetFormatPr baseColWidth="10" defaultRowHeight="12" x14ac:dyDescent="0.2"/>
  <cols>
    <col min="1" max="1" width="28.5703125" bestFit="1" customWidth="1"/>
    <col min="3" max="3" width="12.140625" bestFit="1" customWidth="1"/>
    <col min="4" max="4" width="12.140625" customWidth="1"/>
  </cols>
  <sheetData>
    <row r="2" spans="1:26" x14ac:dyDescent="0.2">
      <c r="C2" t="s">
        <v>813</v>
      </c>
      <c r="D2" t="s">
        <v>814</v>
      </c>
    </row>
    <row r="3" spans="1:26" x14ac:dyDescent="0.2">
      <c r="A3" t="s">
        <v>1036</v>
      </c>
      <c r="B3" s="80">
        <v>87.85</v>
      </c>
      <c r="C3">
        <f>_xlfn.NORM.DIST(B3,$F$3,$F$4,FALSE)</f>
        <v>5.6864956443166336E-3</v>
      </c>
      <c r="D3">
        <f>_xlfn.NORM.DIST(B3,$F$3,$F$4,TRUE)</f>
        <v>0.98662022608591626</v>
      </c>
      <c r="E3" t="s">
        <v>489</v>
      </c>
      <c r="F3" s="21">
        <f>AVERAGE(B3:B43)</f>
        <v>74.482195121951179</v>
      </c>
    </row>
    <row r="4" spans="1:26" x14ac:dyDescent="0.2">
      <c r="A4" t="s">
        <v>645</v>
      </c>
      <c r="B4" s="81">
        <v>87.78</v>
      </c>
      <c r="C4">
        <f t="shared" ref="C4:C53" si="0">_xlfn.NORM.DIST(B4,$F$3,$F$4,FALSE)</f>
        <v>5.8340902858760495E-3</v>
      </c>
      <c r="D4">
        <f t="shared" ref="D4:D53" si="1">_xlfn.NORM.DIST(B4,$F$3,$F$4,TRUE)</f>
        <v>0.98621702311948034</v>
      </c>
      <c r="E4" t="s">
        <v>812</v>
      </c>
      <c r="F4">
        <f>_xlfn.STDEV.S(B3:B43)</f>
        <v>6.035105845051568</v>
      </c>
      <c r="Y4" t="s">
        <v>966</v>
      </c>
    </row>
    <row r="5" spans="1:26" x14ac:dyDescent="0.2">
      <c r="A5" t="s">
        <v>1037</v>
      </c>
      <c r="B5" s="80">
        <v>86.91</v>
      </c>
      <c r="C5">
        <f t="shared" si="0"/>
        <v>7.9324629910917446E-3</v>
      </c>
      <c r="D5">
        <f t="shared" si="1"/>
        <v>0.98026495664869084</v>
      </c>
      <c r="E5" s="45" t="s">
        <v>811</v>
      </c>
      <c r="F5" s="83">
        <f>MEDIAN(B3:B43)</f>
        <v>74.77</v>
      </c>
      <c r="Y5" t="s">
        <v>553</v>
      </c>
      <c r="Z5" s="23">
        <f>powerrange!U9</f>
        <v>71</v>
      </c>
    </row>
    <row r="6" spans="1:26" x14ac:dyDescent="0.2">
      <c r="A6" t="s">
        <v>542</v>
      </c>
      <c r="B6" s="81">
        <v>82.28</v>
      </c>
      <c r="C6">
        <f t="shared" si="0"/>
        <v>2.8688473299254433E-2</v>
      </c>
      <c r="D6">
        <f t="shared" si="1"/>
        <v>0.90183428437885471</v>
      </c>
      <c r="Y6" t="s">
        <v>965</v>
      </c>
      <c r="Z6" s="23">
        <f>powerrange!U10</f>
        <v>72</v>
      </c>
    </row>
    <row r="7" spans="1:26" x14ac:dyDescent="0.2">
      <c r="A7" t="s">
        <v>222</v>
      </c>
      <c r="B7" s="80">
        <v>81.599999999999994</v>
      </c>
      <c r="C7">
        <f t="shared" si="0"/>
        <v>3.2974382388831623E-2</v>
      </c>
      <c r="D7">
        <f t="shared" si="1"/>
        <v>0.88088056687011673</v>
      </c>
    </row>
    <row r="8" spans="1:26" x14ac:dyDescent="0.2">
      <c r="A8" t="s">
        <v>1038</v>
      </c>
      <c r="B8" s="81">
        <v>80.650000000000006</v>
      </c>
      <c r="C8">
        <f t="shared" si="0"/>
        <v>3.9212429077105065E-2</v>
      </c>
      <c r="D8">
        <f t="shared" si="1"/>
        <v>0.84660667571477122</v>
      </c>
    </row>
    <row r="9" spans="1:26" x14ac:dyDescent="0.2">
      <c r="A9" t="s">
        <v>219</v>
      </c>
      <c r="B9" s="80">
        <v>79.989999999999995</v>
      </c>
      <c r="C9">
        <f t="shared" si="0"/>
        <v>4.358786023444447E-2</v>
      </c>
      <c r="D9">
        <f t="shared" si="1"/>
        <v>0.81928081447173617</v>
      </c>
    </row>
    <row r="10" spans="1:26" x14ac:dyDescent="0.2">
      <c r="A10" t="s">
        <v>401</v>
      </c>
      <c r="B10" s="81">
        <v>78.989999999999995</v>
      </c>
      <c r="C10">
        <f t="shared" si="0"/>
        <v>5.0012388052345633E-2</v>
      </c>
      <c r="D10">
        <f t="shared" si="1"/>
        <v>0.77244725552323024</v>
      </c>
    </row>
    <row r="11" spans="1:26" x14ac:dyDescent="0.2">
      <c r="A11" t="s">
        <v>788</v>
      </c>
      <c r="B11" s="80">
        <v>78.61</v>
      </c>
      <c r="C11">
        <f t="shared" si="0"/>
        <v>5.2316869514479634E-2</v>
      </c>
      <c r="D11">
        <f t="shared" si="1"/>
        <v>0.75300156043487543</v>
      </c>
    </row>
    <row r="12" spans="1:26" x14ac:dyDescent="0.2">
      <c r="A12" t="s">
        <v>406</v>
      </c>
      <c r="B12" s="81">
        <v>78</v>
      </c>
      <c r="C12">
        <f t="shared" si="0"/>
        <v>5.5775950426346067E-2</v>
      </c>
      <c r="D12">
        <f t="shared" si="1"/>
        <v>0.72001643689211203</v>
      </c>
    </row>
    <row r="13" spans="1:26" x14ac:dyDescent="0.2">
      <c r="A13" t="s">
        <v>218</v>
      </c>
      <c r="B13" s="80">
        <v>77.7</v>
      </c>
      <c r="C13">
        <f t="shared" si="0"/>
        <v>5.734480558476137E-2</v>
      </c>
      <c r="D13">
        <f t="shared" si="1"/>
        <v>0.70304591727729215</v>
      </c>
      <c r="F13">
        <f>_xlfn.PERCENTILE.INC(C3:C43,0.75)</f>
        <v>6.3108623099339567E-2</v>
      </c>
    </row>
    <row r="14" spans="1:26" x14ac:dyDescent="0.2">
      <c r="A14" t="s">
        <v>412</v>
      </c>
      <c r="B14" s="81">
        <v>77.599999999999994</v>
      </c>
      <c r="C14">
        <f t="shared" si="0"/>
        <v>5.784573058512426E-2</v>
      </c>
      <c r="D14">
        <f t="shared" si="1"/>
        <v>0.69728629499824679</v>
      </c>
    </row>
    <row r="15" spans="1:26" x14ac:dyDescent="0.2">
      <c r="A15" t="s">
        <v>242</v>
      </c>
      <c r="B15" s="80">
        <v>76.5</v>
      </c>
      <c r="C15">
        <f t="shared" si="0"/>
        <v>6.25102289520649E-2</v>
      </c>
      <c r="D15">
        <f t="shared" si="1"/>
        <v>0.63094021978539128</v>
      </c>
    </row>
    <row r="16" spans="1:26" x14ac:dyDescent="0.2">
      <c r="A16" t="s">
        <v>336</v>
      </c>
      <c r="B16" s="81">
        <v>76.400000000000006</v>
      </c>
      <c r="C16">
        <f t="shared" si="0"/>
        <v>6.2848868014642137E-2</v>
      </c>
      <c r="D16">
        <f t="shared" si="1"/>
        <v>0.62467213677344557</v>
      </c>
    </row>
    <row r="17" spans="1:4" x14ac:dyDescent="0.2">
      <c r="A17" t="s">
        <v>1039</v>
      </c>
      <c r="B17" s="80">
        <v>76.319999999999993</v>
      </c>
      <c r="C17">
        <f t="shared" si="0"/>
        <v>6.3108623099339567E-2</v>
      </c>
      <c r="D17">
        <f t="shared" si="1"/>
        <v>0.61963377049511736</v>
      </c>
    </row>
    <row r="18" spans="1:4" x14ac:dyDescent="0.2">
      <c r="A18" t="s">
        <v>408</v>
      </c>
      <c r="B18" s="81">
        <v>76.260000000000005</v>
      </c>
      <c r="C18">
        <f t="shared" si="0"/>
        <v>6.3296844310655881E-2</v>
      </c>
      <c r="D18">
        <f t="shared" si="1"/>
        <v>0.61584157804056905</v>
      </c>
    </row>
    <row r="19" spans="1:4" x14ac:dyDescent="0.2">
      <c r="A19" t="s">
        <v>949</v>
      </c>
      <c r="B19" s="80">
        <v>76.22</v>
      </c>
      <c r="C19">
        <f t="shared" si="0"/>
        <v>6.3419154374918768E-2</v>
      </c>
      <c r="D19">
        <f t="shared" si="1"/>
        <v>0.61330724957640137</v>
      </c>
    </row>
    <row r="20" spans="1:4" x14ac:dyDescent="0.2">
      <c r="A20" t="s">
        <v>381</v>
      </c>
      <c r="B20" s="81">
        <v>75.040000000000006</v>
      </c>
      <c r="C20">
        <f t="shared" si="0"/>
        <v>6.582186026397896E-2</v>
      </c>
      <c r="D20">
        <f t="shared" si="1"/>
        <v>0.53682048406607497</v>
      </c>
    </row>
    <row r="21" spans="1:4" x14ac:dyDescent="0.2">
      <c r="A21" t="s">
        <v>362</v>
      </c>
      <c r="B21" s="80">
        <v>74.81</v>
      </c>
      <c r="C21">
        <f t="shared" si="0"/>
        <v>6.6006169854369495E-2</v>
      </c>
      <c r="D21">
        <f t="shared" si="1"/>
        <v>0.52165843545765145</v>
      </c>
    </row>
    <row r="22" spans="1:4" x14ac:dyDescent="0.2">
      <c r="A22" t="s">
        <v>225</v>
      </c>
      <c r="B22" s="81">
        <v>74.8</v>
      </c>
      <c r="C22">
        <f t="shared" si="0"/>
        <v>6.6012020099778801E-2</v>
      </c>
      <c r="D22">
        <f t="shared" si="1"/>
        <v>0.52099834435728598</v>
      </c>
    </row>
    <row r="23" spans="1:4" x14ac:dyDescent="0.2">
      <c r="A23" t="s">
        <v>474</v>
      </c>
      <c r="B23" s="80">
        <v>74.77</v>
      </c>
      <c r="C23">
        <f t="shared" si="0"/>
        <v>6.6028486229121039E-2</v>
      </c>
      <c r="D23">
        <f t="shared" si="1"/>
        <v>0.51901773269421347</v>
      </c>
    </row>
    <row r="24" spans="1:4" x14ac:dyDescent="0.2">
      <c r="A24" t="s">
        <v>414</v>
      </c>
      <c r="B24" s="81">
        <v>74.3</v>
      </c>
      <c r="C24">
        <f t="shared" si="0"/>
        <v>6.6073493370809963E-2</v>
      </c>
      <c r="D24">
        <f t="shared" si="1"/>
        <v>0.48795807396975216</v>
      </c>
    </row>
    <row r="25" spans="1:4" x14ac:dyDescent="0.2">
      <c r="A25" t="s">
        <v>328</v>
      </c>
      <c r="B25" s="80">
        <v>73.349999999999994</v>
      </c>
      <c r="C25">
        <f t="shared" si="0"/>
        <v>6.4950548291803772E-2</v>
      </c>
      <c r="D25">
        <f t="shared" si="1"/>
        <v>0.42559451132766801</v>
      </c>
    </row>
    <row r="26" spans="1:4" x14ac:dyDescent="0.2">
      <c r="A26" t="s">
        <v>413</v>
      </c>
      <c r="B26" s="81">
        <v>73.33</v>
      </c>
      <c r="C26">
        <f t="shared" si="0"/>
        <v>6.4909824599262228E-2</v>
      </c>
      <c r="D26">
        <f t="shared" si="1"/>
        <v>0.42429590645286347</v>
      </c>
    </row>
    <row r="27" spans="1:4" x14ac:dyDescent="0.2">
      <c r="A27" t="s">
        <v>364</v>
      </c>
      <c r="B27" s="80">
        <v>73.12</v>
      </c>
      <c r="C27">
        <f t="shared" si="0"/>
        <v>6.4441022465910325E-2</v>
      </c>
      <c r="D27">
        <f t="shared" si="1"/>
        <v>0.41071275650654998</v>
      </c>
    </row>
    <row r="28" spans="1:4" x14ac:dyDescent="0.2">
      <c r="A28" t="s">
        <v>403</v>
      </c>
      <c r="B28" s="81">
        <v>72.599999999999994</v>
      </c>
      <c r="C28">
        <f t="shared" si="0"/>
        <v>6.2965724740300141E-2</v>
      </c>
      <c r="D28">
        <f t="shared" si="1"/>
        <v>0.37756798256232293</v>
      </c>
    </row>
    <row r="29" spans="1:4" x14ac:dyDescent="0.2">
      <c r="A29" t="s">
        <v>781</v>
      </c>
      <c r="B29" s="80">
        <v>71.5</v>
      </c>
      <c r="C29">
        <f t="shared" si="0"/>
        <v>5.8506363997489923E-2</v>
      </c>
      <c r="D29">
        <f t="shared" si="1"/>
        <v>0.31060319175525164</v>
      </c>
    </row>
    <row r="30" spans="1:4" x14ac:dyDescent="0.2">
      <c r="A30" t="s">
        <v>363</v>
      </c>
      <c r="B30" s="81">
        <v>71.2</v>
      </c>
      <c r="C30">
        <f t="shared" si="0"/>
        <v>5.7016271302513029E-2</v>
      </c>
      <c r="D30">
        <f t="shared" si="1"/>
        <v>0.29327218910776315</v>
      </c>
    </row>
    <row r="31" spans="1:4" x14ac:dyDescent="0.2">
      <c r="A31" t="s">
        <v>215</v>
      </c>
      <c r="B31" s="80">
        <v>70.7</v>
      </c>
      <c r="C31">
        <f t="shared" si="0"/>
        <v>5.4317556614025805E-2</v>
      </c>
      <c r="D31">
        <f t="shared" si="1"/>
        <v>0.26542826215131976</v>
      </c>
    </row>
    <row r="32" spans="1:4" x14ac:dyDescent="0.2">
      <c r="A32" t="s">
        <v>794</v>
      </c>
      <c r="B32" s="81">
        <v>70.5</v>
      </c>
      <c r="C32">
        <f t="shared" si="0"/>
        <v>5.3171893392274308E-2</v>
      </c>
      <c r="D32">
        <f t="shared" si="1"/>
        <v>0.25467874045662658</v>
      </c>
    </row>
    <row r="33" spans="1:18" x14ac:dyDescent="0.2">
      <c r="A33" t="s">
        <v>1040</v>
      </c>
      <c r="B33" s="80">
        <v>70.45</v>
      </c>
      <c r="C33">
        <f t="shared" si="0"/>
        <v>5.2880198475902536E-2</v>
      </c>
      <c r="D33">
        <f t="shared" si="1"/>
        <v>0.25202742968058589</v>
      </c>
    </row>
    <row r="34" spans="1:18" x14ac:dyDescent="0.2">
      <c r="A34" t="s">
        <v>409</v>
      </c>
      <c r="B34" s="81">
        <v>69.989999999999995</v>
      </c>
      <c r="C34">
        <f t="shared" si="0"/>
        <v>5.0108934276841613E-2</v>
      </c>
      <c r="D34">
        <f t="shared" si="1"/>
        <v>0.22833417938107312</v>
      </c>
    </row>
    <row r="35" spans="1:18" x14ac:dyDescent="0.2">
      <c r="A35" t="s">
        <v>786</v>
      </c>
      <c r="B35" s="80">
        <v>69.959999999999994</v>
      </c>
      <c r="C35">
        <f t="shared" si="0"/>
        <v>4.9923253431640918E-2</v>
      </c>
      <c r="D35">
        <f t="shared" si="1"/>
        <v>0.22683369519901789</v>
      </c>
    </row>
    <row r="36" spans="1:18" x14ac:dyDescent="0.2">
      <c r="A36" t="s">
        <v>906</v>
      </c>
      <c r="B36" s="81">
        <v>69.7</v>
      </c>
      <c r="C36">
        <f t="shared" si="0"/>
        <v>4.8292557503772322E-2</v>
      </c>
      <c r="D36">
        <f t="shared" si="1"/>
        <v>0.21406483834989967</v>
      </c>
    </row>
    <row r="37" spans="1:18" x14ac:dyDescent="0.2">
      <c r="A37" t="s">
        <v>806</v>
      </c>
      <c r="B37" s="80">
        <v>69.569999999999993</v>
      </c>
      <c r="C37">
        <f t="shared" si="0"/>
        <v>4.7464247528804966E-2</v>
      </c>
      <c r="D37">
        <f t="shared" si="1"/>
        <v>0.20784056060096143</v>
      </c>
    </row>
    <row r="38" spans="1:18" x14ac:dyDescent="0.2">
      <c r="A38" t="s">
        <v>1041</v>
      </c>
      <c r="B38" s="81">
        <v>69.37</v>
      </c>
      <c r="C38">
        <f t="shared" si="0"/>
        <v>4.6175724897232213E-2</v>
      </c>
      <c r="D38">
        <f t="shared" si="1"/>
        <v>0.19847629744611248</v>
      </c>
    </row>
    <row r="39" spans="1:18" x14ac:dyDescent="0.2">
      <c r="A39" t="s">
        <v>221</v>
      </c>
      <c r="B39" s="80">
        <v>69.099999999999994</v>
      </c>
      <c r="C39">
        <f t="shared" si="0"/>
        <v>4.4414090339804951E-2</v>
      </c>
      <c r="D39">
        <f t="shared" si="1"/>
        <v>0.18624617441484806</v>
      </c>
    </row>
    <row r="40" spans="1:18" x14ac:dyDescent="0.2">
      <c r="A40" t="s">
        <v>292</v>
      </c>
      <c r="B40" s="81">
        <v>65.86</v>
      </c>
      <c r="C40">
        <f t="shared" si="0"/>
        <v>2.3823429430934032E-2</v>
      </c>
      <c r="D40">
        <f t="shared" si="1"/>
        <v>7.6549064854260218E-2</v>
      </c>
    </row>
    <row r="41" spans="1:18" x14ac:dyDescent="0.2">
      <c r="A41" t="s">
        <v>217</v>
      </c>
      <c r="B41" s="80">
        <v>65.430000000000007</v>
      </c>
      <c r="C41">
        <f t="shared" si="0"/>
        <v>2.1463173092373621E-2</v>
      </c>
      <c r="D41">
        <f t="shared" si="1"/>
        <v>6.6817152001847763E-2</v>
      </c>
    </row>
    <row r="42" spans="1:18" x14ac:dyDescent="0.2">
      <c r="A42" t="s">
        <v>652</v>
      </c>
      <c r="B42" s="81">
        <v>64.66</v>
      </c>
      <c r="C42">
        <f t="shared" si="0"/>
        <v>1.7581178925572417E-2</v>
      </c>
      <c r="D42">
        <f t="shared" si="1"/>
        <v>5.1814413110957934E-2</v>
      </c>
    </row>
    <row r="43" spans="1:18" x14ac:dyDescent="0.2">
      <c r="A43" t="s">
        <v>9</v>
      </c>
      <c r="B43" s="80">
        <v>60</v>
      </c>
      <c r="C43">
        <f t="shared" si="0"/>
        <v>3.7137496981314651E-3</v>
      </c>
      <c r="D43">
        <f t="shared" si="1"/>
        <v>8.2051790576515432E-3</v>
      </c>
    </row>
    <row r="44" spans="1:18" x14ac:dyDescent="0.2">
      <c r="B44" s="81"/>
      <c r="Q44" t="s">
        <v>879</v>
      </c>
      <c r="R44">
        <v>78.989999999999995</v>
      </c>
    </row>
    <row r="45" spans="1:18" x14ac:dyDescent="0.2">
      <c r="B45" s="80"/>
      <c r="K45" s="15" t="s">
        <v>408</v>
      </c>
      <c r="L45" s="105">
        <v>68.17</v>
      </c>
      <c r="M45" s="4">
        <v>0</v>
      </c>
      <c r="Q45" t="s">
        <v>4</v>
      </c>
      <c r="R45" s="21">
        <f ca="1">ago!B3</f>
        <v>92.75</v>
      </c>
    </row>
    <row r="46" spans="1:18" x14ac:dyDescent="0.2">
      <c r="B46" s="81"/>
      <c r="L46" s="4">
        <f>L45</f>
        <v>68.17</v>
      </c>
      <c r="M46">
        <f>INDEX(C3:C55,MATCH(L46,B3:B53,-1))</f>
        <v>4.4414090339804951E-2</v>
      </c>
      <c r="Q46" t="s">
        <v>1046</v>
      </c>
      <c r="R46" s="21">
        <f ca="1">ABS(+R44-R45)</f>
        <v>13.760000000000005</v>
      </c>
    </row>
    <row r="47" spans="1:18" x14ac:dyDescent="0.2">
      <c r="B47" s="80"/>
      <c r="L47" s="4"/>
      <c r="M47" s="4"/>
      <c r="Q47" t="s">
        <v>1047</v>
      </c>
      <c r="R47" s="43">
        <f ca="1">R46/R45</f>
        <v>0.14835579514824804</v>
      </c>
    </row>
    <row r="48" spans="1:18" x14ac:dyDescent="0.2">
      <c r="B48" s="81"/>
      <c r="L48" s="4"/>
      <c r="M48" s="4"/>
    </row>
    <row r="49" spans="1:13" x14ac:dyDescent="0.2">
      <c r="B49" s="80"/>
      <c r="K49" t="s">
        <v>229</v>
      </c>
      <c r="L49" s="44">
        <f ca="1">ago!$B$3</f>
        <v>92.75</v>
      </c>
      <c r="M49" s="4">
        <v>0</v>
      </c>
    </row>
    <row r="50" spans="1:13" x14ac:dyDescent="0.2">
      <c r="B50" s="81"/>
      <c r="L50" s="28">
        <f ca="1">L49</f>
        <v>92.75</v>
      </c>
      <c r="M50" s="4" t="e">
        <f ca="1">INDEX(C3:C43,MATCH(L49,B3:C43,-11))</f>
        <v>#N/A</v>
      </c>
    </row>
    <row r="51" spans="1:13" x14ac:dyDescent="0.2">
      <c r="B51" s="80"/>
    </row>
    <row r="52" spans="1:13" x14ac:dyDescent="0.2">
      <c r="B52" s="81"/>
    </row>
    <row r="53" spans="1:13" x14ac:dyDescent="0.2">
      <c r="B53" s="82"/>
    </row>
    <row r="54" spans="1:13" x14ac:dyDescent="0.2">
      <c r="B54" s="28"/>
    </row>
    <row r="55" spans="1:13" x14ac:dyDescent="0.2">
      <c r="B55" s="28"/>
    </row>
    <row r="58" spans="1:13" x14ac:dyDescent="0.2">
      <c r="A58" t="s">
        <v>233</v>
      </c>
      <c r="B58" t="s">
        <v>669</v>
      </c>
    </row>
    <row r="59" spans="1:13" x14ac:dyDescent="0.2">
      <c r="A59" t="s">
        <v>328</v>
      </c>
      <c r="B59" s="81">
        <v>59</v>
      </c>
    </row>
    <row r="60" spans="1:13" x14ac:dyDescent="0.2">
      <c r="A60" t="s">
        <v>789</v>
      </c>
      <c r="B60" s="80">
        <v>53.41</v>
      </c>
    </row>
    <row r="61" spans="1:13" x14ac:dyDescent="0.2">
      <c r="A61" t="s">
        <v>221</v>
      </c>
      <c r="B61" s="81">
        <v>39.590000000000003</v>
      </c>
    </row>
    <row r="62" spans="1:13" x14ac:dyDescent="0.2">
      <c r="A62" t="s">
        <v>9</v>
      </c>
      <c r="B62" s="80">
        <v>35</v>
      </c>
    </row>
    <row r="63" spans="1:13" x14ac:dyDescent="0.2">
      <c r="A63" t="s">
        <v>215</v>
      </c>
      <c r="B63" s="81">
        <v>55.55</v>
      </c>
    </row>
    <row r="64" spans="1:13" x14ac:dyDescent="0.2">
      <c r="A64" t="s">
        <v>335</v>
      </c>
      <c r="B64" s="80">
        <v>53.21</v>
      </c>
    </row>
    <row r="65" spans="1:2" x14ac:dyDescent="0.2">
      <c r="A65" t="s">
        <v>652</v>
      </c>
      <c r="B65" s="81">
        <v>51.49</v>
      </c>
    </row>
    <row r="66" spans="1:2" x14ac:dyDescent="0.2">
      <c r="A66" t="s">
        <v>651</v>
      </c>
      <c r="B66" s="80">
        <v>38.9</v>
      </c>
    </row>
    <row r="67" spans="1:2" x14ac:dyDescent="0.2">
      <c r="A67" t="s">
        <v>781</v>
      </c>
      <c r="B67" s="81">
        <v>38.5</v>
      </c>
    </row>
    <row r="68" spans="1:2" x14ac:dyDescent="0.2">
      <c r="A68" t="s">
        <v>541</v>
      </c>
      <c r="B68" s="81">
        <v>35.15</v>
      </c>
    </row>
    <row r="69" spans="1:2" x14ac:dyDescent="0.2">
      <c r="A69" t="s">
        <v>225</v>
      </c>
      <c r="B69" s="81">
        <v>50.8</v>
      </c>
    </row>
    <row r="70" spans="1:2" x14ac:dyDescent="0.2">
      <c r="A70" t="s">
        <v>217</v>
      </c>
      <c r="B70" s="80">
        <v>39.93</v>
      </c>
    </row>
    <row r="71" spans="1:2" x14ac:dyDescent="0.2">
      <c r="A71" t="s">
        <v>337</v>
      </c>
      <c r="B71" s="80">
        <v>44.44</v>
      </c>
    </row>
    <row r="72" spans="1:2" x14ac:dyDescent="0.2">
      <c r="A72" t="s">
        <v>790</v>
      </c>
      <c r="B72" s="81">
        <v>53.4</v>
      </c>
    </row>
    <row r="73" spans="1:2" x14ac:dyDescent="0.2">
      <c r="A73" t="s">
        <v>409</v>
      </c>
      <c r="B73" s="81">
        <v>52.5</v>
      </c>
    </row>
    <row r="74" spans="1:2" x14ac:dyDescent="0.2">
      <c r="A74" t="s">
        <v>794</v>
      </c>
      <c r="B74" s="80">
        <v>55.3</v>
      </c>
    </row>
    <row r="75" spans="1:2" x14ac:dyDescent="0.2">
      <c r="A75" t="s">
        <v>785</v>
      </c>
      <c r="B75" s="80">
        <v>35.880000000000003</v>
      </c>
    </row>
    <row r="76" spans="1:2" x14ac:dyDescent="0.2">
      <c r="A76" t="s">
        <v>362</v>
      </c>
      <c r="B76" s="81">
        <v>42.11</v>
      </c>
    </row>
    <row r="77" spans="1:2" x14ac:dyDescent="0.2">
      <c r="A77" t="s">
        <v>650</v>
      </c>
      <c r="B77" s="81">
        <v>86.46</v>
      </c>
    </row>
    <row r="78" spans="1:2" x14ac:dyDescent="0.2">
      <c r="A78" t="s">
        <v>219</v>
      </c>
      <c r="B78" s="80">
        <v>58.88</v>
      </c>
    </row>
    <row r="79" spans="1:2" x14ac:dyDescent="0.2">
      <c r="A79" t="s">
        <v>474</v>
      </c>
      <c r="B79" s="80">
        <v>42.25</v>
      </c>
    </row>
    <row r="80" spans="1:2" x14ac:dyDescent="0.2">
      <c r="A80" t="s">
        <v>242</v>
      </c>
      <c r="B80" s="80">
        <v>46.5</v>
      </c>
    </row>
    <row r="81" spans="1:2" x14ac:dyDescent="0.2">
      <c r="A81" t="s">
        <v>780</v>
      </c>
      <c r="B81" s="80">
        <v>43.28</v>
      </c>
    </row>
    <row r="82" spans="1:2" x14ac:dyDescent="0.2">
      <c r="A82" t="s">
        <v>791</v>
      </c>
      <c r="B82" s="81">
        <v>56.3</v>
      </c>
    </row>
    <row r="83" spans="1:2" x14ac:dyDescent="0.2">
      <c r="A83" t="s">
        <v>406</v>
      </c>
      <c r="B83" s="81">
        <v>55</v>
      </c>
    </row>
    <row r="84" spans="1:2" x14ac:dyDescent="0.2">
      <c r="A84" t="s">
        <v>336</v>
      </c>
      <c r="B84" s="80">
        <v>51.4</v>
      </c>
    </row>
    <row r="85" spans="1:2" x14ac:dyDescent="0.2">
      <c r="A85" t="s">
        <v>788</v>
      </c>
      <c r="B85" s="80">
        <v>99.95</v>
      </c>
    </row>
    <row r="86" spans="1:2" x14ac:dyDescent="0.2">
      <c r="A86" t="s">
        <v>411</v>
      </c>
      <c r="B86" s="80">
        <v>29.45</v>
      </c>
    </row>
    <row r="87" spans="1:2" x14ac:dyDescent="0.2">
      <c r="A87" t="s">
        <v>218</v>
      </c>
      <c r="B87" s="80">
        <v>69</v>
      </c>
    </row>
    <row r="88" spans="1:2" x14ac:dyDescent="0.2">
      <c r="A88" t="s">
        <v>806</v>
      </c>
      <c r="B88" s="80">
        <v>63.18</v>
      </c>
    </row>
    <row r="89" spans="1:2" x14ac:dyDescent="0.2">
      <c r="A89" t="s">
        <v>783</v>
      </c>
      <c r="B89" s="81">
        <v>31.85</v>
      </c>
    </row>
    <row r="90" spans="1:2" x14ac:dyDescent="0.2">
      <c r="A90" t="s">
        <v>645</v>
      </c>
      <c r="B90" s="81">
        <v>43.71</v>
      </c>
    </row>
    <row r="91" spans="1:2" x14ac:dyDescent="0.2">
      <c r="A91" t="s">
        <v>222</v>
      </c>
      <c r="B91" s="80">
        <v>47.82</v>
      </c>
    </row>
    <row r="92" spans="1:2" x14ac:dyDescent="0.2">
      <c r="A92" t="s">
        <v>412</v>
      </c>
      <c r="B92" s="81">
        <v>54.22</v>
      </c>
    </row>
    <row r="93" spans="1:2" x14ac:dyDescent="0.2">
      <c r="A93" t="s">
        <v>803</v>
      </c>
      <c r="B93" s="80">
        <v>52.24</v>
      </c>
    </row>
    <row r="94" spans="1:2" x14ac:dyDescent="0.2">
      <c r="A94" t="s">
        <v>401</v>
      </c>
      <c r="B94" s="80">
        <v>54.56</v>
      </c>
    </row>
    <row r="95" spans="1:2" x14ac:dyDescent="0.2">
      <c r="A95" t="s">
        <v>408</v>
      </c>
      <c r="B95" s="81">
        <v>41.91</v>
      </c>
    </row>
    <row r="96" spans="1:2" x14ac:dyDescent="0.2">
      <c r="A96" t="s">
        <v>414</v>
      </c>
      <c r="B96" s="81">
        <v>53.2</v>
      </c>
    </row>
    <row r="97" spans="1:2" x14ac:dyDescent="0.2">
      <c r="A97" t="s">
        <v>403</v>
      </c>
      <c r="B97" s="80">
        <v>60.1</v>
      </c>
    </row>
    <row r="98" spans="1:2" x14ac:dyDescent="0.2">
      <c r="A98" t="s">
        <v>364</v>
      </c>
      <c r="B98" s="81">
        <v>48.01</v>
      </c>
    </row>
    <row r="99" spans="1:2" x14ac:dyDescent="0.2">
      <c r="A99" t="s">
        <v>292</v>
      </c>
      <c r="B99" s="81">
        <v>43.83</v>
      </c>
    </row>
    <row r="100" spans="1:2" x14ac:dyDescent="0.2">
      <c r="A100" t="s">
        <v>786</v>
      </c>
      <c r="B100" s="81">
        <v>60.31</v>
      </c>
    </row>
    <row r="101" spans="1:2" x14ac:dyDescent="0.2">
      <c r="A101" t="s">
        <v>793</v>
      </c>
      <c r="B101" s="80">
        <v>56.2</v>
      </c>
    </row>
    <row r="102" spans="1:2" x14ac:dyDescent="0.2">
      <c r="A102" t="s">
        <v>792</v>
      </c>
      <c r="B102" s="81">
        <v>55.32</v>
      </c>
    </row>
    <row r="103" spans="1:2" x14ac:dyDescent="0.2">
      <c r="A103" t="s">
        <v>782</v>
      </c>
      <c r="B103" s="80">
        <v>52.95</v>
      </c>
    </row>
    <row r="104" spans="1:2" x14ac:dyDescent="0.2">
      <c r="A104" t="s">
        <v>543</v>
      </c>
      <c r="B104" s="80">
        <v>49.29</v>
      </c>
    </row>
    <row r="105" spans="1:2" x14ac:dyDescent="0.2">
      <c r="A105" t="s">
        <v>363</v>
      </c>
      <c r="B105" s="80">
        <v>42.1</v>
      </c>
    </row>
    <row r="106" spans="1:2" x14ac:dyDescent="0.2">
      <c r="A106" t="s">
        <v>542</v>
      </c>
      <c r="B106" s="81">
        <v>44.45</v>
      </c>
    </row>
    <row r="107" spans="1:2" x14ac:dyDescent="0.2">
      <c r="A107" t="s">
        <v>653</v>
      </c>
      <c r="B107" s="80">
        <v>55.33</v>
      </c>
    </row>
    <row r="108" spans="1:2" x14ac:dyDescent="0.2">
      <c r="A108" t="s">
        <v>784</v>
      </c>
      <c r="B108" s="80">
        <v>43.73</v>
      </c>
    </row>
    <row r="109" spans="1:2" x14ac:dyDescent="0.2">
      <c r="A109" t="s">
        <v>399</v>
      </c>
      <c r="B109" s="81">
        <v>43.2</v>
      </c>
    </row>
    <row r="110" spans="1:2" x14ac:dyDescent="0.2">
      <c r="A110" t="s">
        <v>407</v>
      </c>
      <c r="B110" s="81">
        <v>46.66</v>
      </c>
    </row>
    <row r="111" spans="1:2" x14ac:dyDescent="0.2">
      <c r="A111" t="s">
        <v>787</v>
      </c>
      <c r="B111" s="84">
        <v>63.57</v>
      </c>
    </row>
  </sheetData>
  <conditionalFormatting sqref="B3:B45 B47:B55">
    <cfRule type="expression" dxfId="24" priority="7">
      <formula>$L3=3</formula>
    </cfRule>
    <cfRule type="expression" dxfId="23" priority="8">
      <formula>$L3=2</formula>
    </cfRule>
    <cfRule type="expression" dxfId="22" priority="9">
      <formula>$L3=1</formula>
    </cfRule>
  </conditionalFormatting>
  <conditionalFormatting sqref="B46">
    <cfRule type="expression" dxfId="21" priority="49">
      <formula>#REF!=3</formula>
    </cfRule>
    <cfRule type="expression" dxfId="20" priority="50">
      <formula>#REF!=2</formula>
    </cfRule>
    <cfRule type="expression" dxfId="19" priority="51">
      <formula>#REF!=1</formula>
    </cfRule>
  </conditionalFormatting>
  <conditionalFormatting sqref="B59:B101 B103:B111">
    <cfRule type="expression" dxfId="18" priority="1">
      <formula>$L59=3</formula>
    </cfRule>
    <cfRule type="expression" dxfId="17" priority="2">
      <formula>$L59=2</formula>
    </cfRule>
    <cfRule type="expression" dxfId="16" priority="3">
      <formula>$L59=1</formula>
    </cfRule>
  </conditionalFormatting>
  <conditionalFormatting sqref="B102">
    <cfRule type="expression" dxfId="15" priority="4">
      <formula>#REF!=3</formula>
    </cfRule>
    <cfRule type="expression" dxfId="14" priority="5">
      <formula>#REF!=2</formula>
    </cfRule>
    <cfRule type="expression" dxfId="13" priority="6">
      <formula>#REF!=1</formula>
    </cfRule>
  </conditionalFormatting>
  <dataValidations disablePrompts="1" count="1">
    <dataValidation type="list" allowBlank="1" showInputMessage="1" showErrorMessage="1" sqref="K45" xr:uid="{3DB28D2D-F34E-4831-8BA8-BFF217720A5B}">
      <formula1>$A$59:$A$111</formula1>
    </dataValidation>
  </dataValidation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U14" sqref="U14"/>
    </sheetView>
  </sheetViews>
  <sheetFormatPr baseColWidth="10" defaultRowHeight="12" x14ac:dyDescent="0.2"/>
  <cols>
    <col min="1" max="1" width="3.7109375" style="4" bestFit="1" customWidth="1"/>
    <col min="2" max="2" width="6" style="4" bestFit="1" customWidth="1"/>
    <col min="3" max="5" width="7"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51" t="s">
        <v>254</v>
      </c>
      <c r="B1" s="151"/>
      <c r="C1" s="151"/>
      <c r="D1" s="151"/>
      <c r="E1" s="151"/>
    </row>
    <row r="2" spans="1:31" x14ac:dyDescent="0.2">
      <c r="O2" s="63" t="s">
        <v>666</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C4" s="4">
        <v>117.02</v>
      </c>
      <c r="D4" s="4">
        <v>117.12</v>
      </c>
      <c r="E4" s="4">
        <v>117.1</v>
      </c>
      <c r="G4" s="4">
        <v>1</v>
      </c>
      <c r="H4" s="4">
        <v>36.389999999999993</v>
      </c>
      <c r="I4" s="4">
        <v>37.479999999999997</v>
      </c>
      <c r="K4" s="4">
        <v>1</v>
      </c>
      <c r="L4" s="4">
        <v>69.98</v>
      </c>
      <c r="M4" s="4">
        <v>69.569999999999993</v>
      </c>
      <c r="O4" s="4">
        <v>1</v>
      </c>
      <c r="P4" s="4">
        <v>92.751999999999995</v>
      </c>
      <c r="Q4" s="4">
        <v>107.31708333333331</v>
      </c>
      <c r="R4" s="4">
        <v>8.3333333333333329E-2</v>
      </c>
      <c r="S4" s="4">
        <v>0.33300000000000002</v>
      </c>
      <c r="T4" s="4">
        <v>0.29166666666666669</v>
      </c>
      <c r="U4" s="4">
        <v>6.7000000000000004E-2</v>
      </c>
      <c r="V4" s="4">
        <v>0.45833333333333326</v>
      </c>
      <c r="W4" s="4">
        <v>0.53300000000000003</v>
      </c>
      <c r="X4" s="4">
        <v>765</v>
      </c>
      <c r="Y4" s="4">
        <v>90.5</v>
      </c>
      <c r="Z4" s="4">
        <v>60.78</v>
      </c>
      <c r="AA4" s="4">
        <v>108.95571428571428</v>
      </c>
      <c r="AB4" s="4">
        <v>42.991</v>
      </c>
      <c r="AC4" s="4">
        <v>104.39636363636365</v>
      </c>
      <c r="AD4" s="4">
        <v>112.25</v>
      </c>
      <c r="AE4" s="4">
        <f>IF(ISBLANK(t_omie_evol[[#This Row],[Omie media diaria]]),$X$39,t_omie_evol[[#This Row],[demanda GWh]])</f>
        <v>765</v>
      </c>
    </row>
    <row r="5" spans="1:31" x14ac:dyDescent="0.2">
      <c r="A5" s="4">
        <v>2</v>
      </c>
      <c r="D5" s="4">
        <v>114.54</v>
      </c>
      <c r="E5" s="4">
        <v>114.54</v>
      </c>
      <c r="G5" s="4">
        <v>2</v>
      </c>
      <c r="H5" s="4">
        <v>37.639999999999993</v>
      </c>
      <c r="I5" s="4">
        <v>37.479999999999997</v>
      </c>
      <c r="K5" s="4">
        <v>2</v>
      </c>
      <c r="L5" s="4">
        <v>69.470000000000013</v>
      </c>
      <c r="M5" s="4">
        <v>69.569999999999993</v>
      </c>
      <c r="O5" s="4">
        <v>2</v>
      </c>
      <c r="P5" s="4">
        <v>92.751999999999995</v>
      </c>
      <c r="Q5" s="4">
        <v>93.49875000000003</v>
      </c>
      <c r="R5" s="4">
        <v>0.375</v>
      </c>
      <c r="S5" s="4">
        <v>0.33300000000000002</v>
      </c>
      <c r="T5" s="4">
        <v>0</v>
      </c>
      <c r="U5" s="4">
        <v>0.01</v>
      </c>
      <c r="V5" s="4">
        <v>0.625</v>
      </c>
      <c r="W5" s="4">
        <v>0.55200000000000005</v>
      </c>
      <c r="X5" s="4">
        <v>739</v>
      </c>
      <c r="Y5" s="4">
        <v>77.062222222222218</v>
      </c>
      <c r="Z5" s="4">
        <v>60.78</v>
      </c>
      <c r="AA5" s="4">
        <v>0</v>
      </c>
      <c r="AB5" s="4">
        <v>42.991</v>
      </c>
      <c r="AC5" s="4">
        <v>103.36066666666667</v>
      </c>
      <c r="AD5" s="4">
        <v>112.25</v>
      </c>
      <c r="AE5" s="4">
        <f>IF(ISBLANK(t_omie_evol[[#This Row],[Omie media diaria]]),$X$39,t_omie_evol[[#This Row],[demanda GWh]])</f>
        <v>739</v>
      </c>
    </row>
    <row r="6" spans="1:31" x14ac:dyDescent="0.2">
      <c r="A6" s="4">
        <v>3</v>
      </c>
      <c r="C6" s="4">
        <v>106</v>
      </c>
      <c r="D6" s="4">
        <v>113.01</v>
      </c>
      <c r="E6" s="4">
        <v>111.61</v>
      </c>
      <c r="G6" s="4">
        <v>3</v>
      </c>
      <c r="H6" s="4">
        <v>37.52999999999998</v>
      </c>
      <c r="I6" s="4">
        <v>37.479999999999997</v>
      </c>
      <c r="K6" s="4">
        <v>3</v>
      </c>
      <c r="L6" s="4">
        <v>69.470000000000013</v>
      </c>
      <c r="M6" s="4">
        <v>69.569999999999993</v>
      </c>
      <c r="O6" s="4">
        <v>3</v>
      </c>
      <c r="P6" s="4">
        <v>92.751999999999995</v>
      </c>
      <c r="Q6" s="4">
        <v>77.644999999999996</v>
      </c>
      <c r="R6" s="4">
        <v>0.41666666666666674</v>
      </c>
      <c r="S6" s="4">
        <v>0.33300000000000002</v>
      </c>
      <c r="T6" s="4">
        <v>0</v>
      </c>
      <c r="U6" s="4">
        <v>1.4E-2</v>
      </c>
      <c r="V6" s="4">
        <v>0.54166666666666663</v>
      </c>
      <c r="W6" s="4">
        <v>0.52800000000000002</v>
      </c>
      <c r="X6" s="4">
        <v>648</v>
      </c>
      <c r="Y6" s="4">
        <v>26.744</v>
      </c>
      <c r="Z6" s="4">
        <v>60.78</v>
      </c>
      <c r="AA6" s="4">
        <v>0</v>
      </c>
      <c r="AB6" s="4">
        <v>42.991</v>
      </c>
      <c r="AC6" s="4">
        <v>114.10538461538459</v>
      </c>
      <c r="AD6" s="4">
        <v>112.25</v>
      </c>
      <c r="AE6" s="4">
        <f>IF(ISBLANK(t_omie_evol[[#This Row],[Omie media diaria]]),$X$39,t_omie_evol[[#This Row],[demanda GWh]])</f>
        <v>648</v>
      </c>
    </row>
    <row r="7" spans="1:31" x14ac:dyDescent="0.2">
      <c r="A7" s="4">
        <v>4</v>
      </c>
      <c r="D7" s="4">
        <v>113.31</v>
      </c>
      <c r="E7" s="4">
        <v>113.31</v>
      </c>
      <c r="G7" s="4">
        <v>4</v>
      </c>
      <c r="H7" s="4">
        <v>37.02999999999998</v>
      </c>
      <c r="I7" s="4">
        <v>37.479999999999997</v>
      </c>
      <c r="K7" s="4">
        <v>4</v>
      </c>
      <c r="L7" s="4">
        <v>69.470000000000013</v>
      </c>
      <c r="M7" s="4">
        <v>69.569999999999993</v>
      </c>
      <c r="O7" s="4">
        <v>4</v>
      </c>
      <c r="P7" s="4">
        <v>92.751999999999995</v>
      </c>
      <c r="Q7" s="4">
        <v>75.476666666666674</v>
      </c>
      <c r="R7" s="4">
        <v>0.45833333333333326</v>
      </c>
      <c r="S7" s="4">
        <v>0.33300000000000002</v>
      </c>
      <c r="T7" s="4">
        <v>4.1666666666666664E-2</v>
      </c>
      <c r="U7" s="4">
        <v>2.1000000000000001E-2</v>
      </c>
      <c r="V7" s="4">
        <v>0.45833333333333326</v>
      </c>
      <c r="W7" s="4">
        <v>0.52100000000000002</v>
      </c>
      <c r="X7" s="4">
        <v>617</v>
      </c>
      <c r="Y7" s="4">
        <v>26.081818181818175</v>
      </c>
      <c r="Z7" s="4">
        <v>60.78</v>
      </c>
      <c r="AA7" s="4">
        <v>106</v>
      </c>
      <c r="AB7" s="4">
        <v>42.991</v>
      </c>
      <c r="AC7" s="4">
        <v>116.86181818181817</v>
      </c>
      <c r="AD7" s="4">
        <v>112.25</v>
      </c>
      <c r="AE7" s="4">
        <f>IF(ISBLANK(t_omie_evol[[#This Row],[Omie media diaria]]),$X$39,t_omie_evol[[#This Row],[demanda GWh]])</f>
        <v>617</v>
      </c>
    </row>
    <row r="8" spans="1:31" x14ac:dyDescent="0.2">
      <c r="A8" s="4">
        <v>5</v>
      </c>
      <c r="D8" s="4">
        <v>112.98</v>
      </c>
      <c r="E8" s="4">
        <v>112.9</v>
      </c>
      <c r="G8" s="4">
        <v>5</v>
      </c>
      <c r="H8" s="4">
        <v>38.809999999999981</v>
      </c>
      <c r="I8" s="4">
        <v>37.479999999999997</v>
      </c>
      <c r="K8" s="4">
        <v>5</v>
      </c>
      <c r="L8" s="4">
        <v>69.470000000000013</v>
      </c>
      <c r="M8" s="4">
        <v>69.569999999999993</v>
      </c>
      <c r="O8" s="4">
        <v>5</v>
      </c>
      <c r="P8" s="4">
        <v>92.751999999999995</v>
      </c>
      <c r="Q8" s="4">
        <v>109.82416666666667</v>
      </c>
      <c r="R8" s="4">
        <v>0.33333333333333331</v>
      </c>
      <c r="S8" s="4">
        <v>0.33300000000000002</v>
      </c>
      <c r="T8" s="4">
        <v>0</v>
      </c>
      <c r="U8" s="4">
        <v>0</v>
      </c>
      <c r="V8" s="4">
        <v>0.58333333333333337</v>
      </c>
      <c r="W8" s="4">
        <v>0.58299999999999996</v>
      </c>
      <c r="X8" s="4">
        <v>0</v>
      </c>
      <c r="Y8" s="4">
        <v>83.501249999999999</v>
      </c>
      <c r="Z8" s="4">
        <v>60.78</v>
      </c>
      <c r="AA8" s="4">
        <v>0</v>
      </c>
      <c r="AB8" s="4">
        <v>42.991</v>
      </c>
      <c r="AC8" s="4">
        <v>122.52357142857144</v>
      </c>
      <c r="AD8" s="4">
        <v>112.25</v>
      </c>
      <c r="AE8" s="4">
        <f>IF(ISBLANK(t_omie_evol[[#This Row],[Omie media diaria]]),$X$39,t_omie_evol[[#This Row],[demanda GWh]])</f>
        <v>0</v>
      </c>
    </row>
    <row r="9" spans="1:31" x14ac:dyDescent="0.2">
      <c r="A9" s="4">
        <v>6</v>
      </c>
      <c r="C9" s="4">
        <v>112.88</v>
      </c>
      <c r="D9" s="4">
        <v>114.32</v>
      </c>
      <c r="E9" s="4">
        <v>113.7</v>
      </c>
      <c r="G9" s="4">
        <v>6</v>
      </c>
      <c r="I9" s="4">
        <v>37.479999999999997</v>
      </c>
      <c r="K9" s="4">
        <v>6</v>
      </c>
      <c r="M9" s="4">
        <v>69.569999999999993</v>
      </c>
      <c r="O9" s="4">
        <v>6</v>
      </c>
      <c r="P9" s="4">
        <v>92.751999999999995</v>
      </c>
      <c r="S9" s="4">
        <v>0.33300000000000002</v>
      </c>
      <c r="U9" s="4">
        <v>0</v>
      </c>
      <c r="W9" s="4">
        <v>0.58299999999999996</v>
      </c>
      <c r="Y9" s="4" t="s">
        <v>815</v>
      </c>
      <c r="Z9" s="4">
        <v>60.78</v>
      </c>
      <c r="AA9" s="4" t="s">
        <v>815</v>
      </c>
      <c r="AB9" s="4">
        <v>42.991</v>
      </c>
      <c r="AC9" s="4" t="s">
        <v>815</v>
      </c>
      <c r="AD9" s="4">
        <v>112.25</v>
      </c>
      <c r="AE9" s="4">
        <f>IF(ISBLANK(t_omie_evol[[#This Row],[Omie media diaria]]),$X$39,t_omie_evol[[#This Row],[demanda GWh]])</f>
        <v>553.79999999999995</v>
      </c>
    </row>
    <row r="10" spans="1:31" x14ac:dyDescent="0.2">
      <c r="A10" s="4">
        <v>7</v>
      </c>
      <c r="C10" s="4">
        <v>116.84</v>
      </c>
      <c r="D10" s="4">
        <v>115.48</v>
      </c>
      <c r="E10" s="4">
        <v>115.76</v>
      </c>
      <c r="G10" s="4">
        <v>7</v>
      </c>
      <c r="I10" s="4">
        <v>37.479999999999997</v>
      </c>
      <c r="K10" s="4">
        <v>7</v>
      </c>
      <c r="M10" s="4">
        <v>69.569999999999993</v>
      </c>
      <c r="O10" s="4">
        <v>7</v>
      </c>
      <c r="P10" s="4">
        <v>92.751999999999995</v>
      </c>
      <c r="S10" s="4">
        <v>0.33300000000000002</v>
      </c>
      <c r="U10" s="4">
        <v>0</v>
      </c>
      <c r="W10" s="4">
        <v>0.58299999999999996</v>
      </c>
      <c r="Y10" s="4" t="s">
        <v>815</v>
      </c>
      <c r="Z10" s="4">
        <v>60.78</v>
      </c>
      <c r="AA10" s="4" t="s">
        <v>815</v>
      </c>
      <c r="AB10" s="4">
        <v>42.991</v>
      </c>
      <c r="AC10" s="4" t="s">
        <v>815</v>
      </c>
      <c r="AD10" s="4">
        <v>112.25</v>
      </c>
      <c r="AE10" s="4">
        <f>IF(ISBLANK(t_omie_evol[[#This Row],[Omie media diaria]]),$X$39,t_omie_evol[[#This Row],[demanda GWh]])</f>
        <v>553.79999999999995</v>
      </c>
    </row>
    <row r="11" spans="1:31" x14ac:dyDescent="0.2">
      <c r="A11" s="4">
        <v>8</v>
      </c>
      <c r="B11" s="4">
        <v>114</v>
      </c>
      <c r="D11" s="4">
        <v>116.63</v>
      </c>
      <c r="E11" s="4">
        <v>118</v>
      </c>
      <c r="G11" s="4">
        <v>8</v>
      </c>
      <c r="I11" s="4">
        <v>37.479999999999997</v>
      </c>
      <c r="K11" s="4">
        <v>8</v>
      </c>
      <c r="M11" s="4">
        <v>69.569999999999993</v>
      </c>
      <c r="O11" s="4">
        <v>8</v>
      </c>
      <c r="P11" s="4">
        <v>92.751999999999995</v>
      </c>
      <c r="S11" s="4">
        <v>0.33300000000000002</v>
      </c>
      <c r="U11" s="4">
        <v>0</v>
      </c>
      <c r="W11" s="4">
        <v>0.58299999999999996</v>
      </c>
      <c r="Y11" s="4" t="s">
        <v>815</v>
      </c>
      <c r="Z11" s="4">
        <v>60.78</v>
      </c>
      <c r="AA11" s="4" t="s">
        <v>815</v>
      </c>
      <c r="AB11" s="4">
        <v>42.991</v>
      </c>
      <c r="AC11" s="4" t="s">
        <v>815</v>
      </c>
      <c r="AD11" s="4">
        <v>112.25</v>
      </c>
      <c r="AE11" s="4">
        <f>IF(ISBLANK(t_omie_evol[[#This Row],[Omie media diaria]]),$X$39,t_omie_evol[[#This Row],[demanda GWh]])</f>
        <v>553.79999999999995</v>
      </c>
    </row>
    <row r="12" spans="1:31" x14ac:dyDescent="0.2">
      <c r="A12" s="4">
        <v>9</v>
      </c>
      <c r="B12" s="4">
        <v>97.89</v>
      </c>
      <c r="C12" s="4">
        <v>116.84</v>
      </c>
      <c r="D12" s="4">
        <v>111.98</v>
      </c>
      <c r="E12" s="4">
        <v>110.13</v>
      </c>
      <c r="G12" s="4">
        <v>9</v>
      </c>
      <c r="I12" s="4">
        <v>37.479999999999997</v>
      </c>
      <c r="K12" s="4">
        <v>9</v>
      </c>
      <c r="M12" s="4">
        <v>69.569999999999993</v>
      </c>
      <c r="O12" s="4">
        <v>9</v>
      </c>
      <c r="P12" s="4">
        <v>92.751999999999995</v>
      </c>
      <c r="S12" s="4">
        <v>0.33300000000000002</v>
      </c>
      <c r="U12" s="4">
        <v>0</v>
      </c>
      <c r="W12" s="4">
        <v>0.58299999999999996</v>
      </c>
      <c r="Y12" s="4" t="s">
        <v>815</v>
      </c>
      <c r="Z12" s="4">
        <v>60.78</v>
      </c>
      <c r="AA12" s="4" t="s">
        <v>815</v>
      </c>
      <c r="AB12" s="4">
        <v>42.991</v>
      </c>
      <c r="AC12" s="4" t="s">
        <v>815</v>
      </c>
      <c r="AD12" s="4">
        <v>112.25</v>
      </c>
      <c r="AE12" s="4">
        <f>IF(ISBLANK(t_omie_evol[[#This Row],[Omie media diaria]]),$X$39,t_omie_evol[[#This Row],[demanda GWh]])</f>
        <v>553.79999999999995</v>
      </c>
    </row>
    <row r="13" spans="1:31" x14ac:dyDescent="0.2">
      <c r="A13" s="4">
        <v>10</v>
      </c>
      <c r="B13" s="4">
        <v>80.27</v>
      </c>
      <c r="D13" s="4">
        <v>117.23</v>
      </c>
      <c r="E13" s="4">
        <v>94.17</v>
      </c>
      <c r="G13" s="4">
        <v>10</v>
      </c>
      <c r="I13" s="4">
        <v>37.479999999999997</v>
      </c>
      <c r="K13" s="4">
        <v>10</v>
      </c>
      <c r="M13" s="4">
        <v>69.569999999999993</v>
      </c>
      <c r="O13" s="4">
        <v>10</v>
      </c>
      <c r="P13" s="4">
        <v>92.751999999999995</v>
      </c>
      <c r="S13" s="4">
        <v>0.33300000000000002</v>
      </c>
      <c r="U13" s="4">
        <v>0</v>
      </c>
      <c r="W13" s="4">
        <v>0.58299999999999996</v>
      </c>
      <c r="Y13" s="4" t="s">
        <v>815</v>
      </c>
      <c r="Z13" s="4">
        <v>60.78</v>
      </c>
      <c r="AA13" s="4" t="s">
        <v>815</v>
      </c>
      <c r="AB13" s="4">
        <v>42.991</v>
      </c>
      <c r="AC13" s="4" t="s">
        <v>815</v>
      </c>
      <c r="AD13" s="4">
        <v>112.25</v>
      </c>
      <c r="AE13" s="4">
        <f>IF(ISBLANK(t_omie_evol[[#This Row],[Omie media diaria]]),$X$39,t_omie_evol[[#This Row],[demanda GWh]])</f>
        <v>553.79999999999995</v>
      </c>
    </row>
    <row r="14" spans="1:31" x14ac:dyDescent="0.2">
      <c r="A14" s="4">
        <v>11</v>
      </c>
      <c r="B14" s="4">
        <v>23.72</v>
      </c>
      <c r="D14" s="4">
        <v>100.56</v>
      </c>
      <c r="E14" s="4">
        <v>69.819999999999993</v>
      </c>
      <c r="G14" s="4">
        <v>11</v>
      </c>
      <c r="I14" s="4">
        <v>37.479999999999997</v>
      </c>
      <c r="K14" s="4">
        <v>11</v>
      </c>
      <c r="M14" s="4">
        <v>69.569999999999993</v>
      </c>
      <c r="O14" s="4">
        <v>11</v>
      </c>
      <c r="P14" s="4">
        <v>92.751999999999995</v>
      </c>
      <c r="S14" s="4">
        <v>0.33300000000000002</v>
      </c>
      <c r="U14" s="4">
        <v>0</v>
      </c>
      <c r="W14" s="4">
        <v>0.58299999999999996</v>
      </c>
      <c r="Y14" s="4" t="s">
        <v>815</v>
      </c>
      <c r="Z14" s="4">
        <v>60.78</v>
      </c>
      <c r="AA14" s="4" t="s">
        <v>815</v>
      </c>
      <c r="AB14" s="4">
        <v>42.991</v>
      </c>
      <c r="AC14" s="4" t="s">
        <v>815</v>
      </c>
      <c r="AD14" s="4">
        <v>112.25</v>
      </c>
      <c r="AE14" s="4">
        <f>IF(ISBLANK(t_omie_evol[[#This Row],[Omie media diaria]]),$X$39,t_omie_evol[[#This Row],[demanda GWh]])</f>
        <v>553.79999999999995</v>
      </c>
    </row>
    <row r="15" spans="1:31" x14ac:dyDescent="0.2">
      <c r="A15" s="4">
        <v>12</v>
      </c>
      <c r="B15" s="4">
        <v>54.84</v>
      </c>
      <c r="E15" s="4">
        <v>54.84</v>
      </c>
      <c r="G15" s="4">
        <v>12</v>
      </c>
      <c r="I15" s="4">
        <v>37.479999999999997</v>
      </c>
      <c r="K15" s="4">
        <v>12</v>
      </c>
      <c r="M15" s="4">
        <v>69.569999999999993</v>
      </c>
      <c r="O15" s="4">
        <v>12</v>
      </c>
      <c r="P15" s="4">
        <v>92.751999999999995</v>
      </c>
      <c r="S15" s="4">
        <v>0.33300000000000002</v>
      </c>
      <c r="U15" s="4">
        <v>0</v>
      </c>
      <c r="W15" s="4">
        <v>0.58299999999999996</v>
      </c>
      <c r="Y15" s="4" t="s">
        <v>815</v>
      </c>
      <c r="Z15" s="4">
        <v>60.78</v>
      </c>
      <c r="AA15" s="4" t="s">
        <v>815</v>
      </c>
      <c r="AB15" s="4">
        <v>42.991</v>
      </c>
      <c r="AC15" s="4" t="s">
        <v>815</v>
      </c>
      <c r="AD15" s="4">
        <v>112.25</v>
      </c>
      <c r="AE15" s="4">
        <f>IF(ISBLANK(t_omie_evol[[#This Row],[Omie media diaria]]),$X$39,t_omie_evol[[#This Row],[demanda GWh]])</f>
        <v>553.79999999999995</v>
      </c>
    </row>
    <row r="16" spans="1:31" x14ac:dyDescent="0.2">
      <c r="A16" s="4">
        <v>13</v>
      </c>
      <c r="B16" s="4">
        <v>41.98</v>
      </c>
      <c r="C16" s="4">
        <v>92.98</v>
      </c>
      <c r="E16" s="4">
        <v>52.18</v>
      </c>
      <c r="G16" s="4">
        <v>13</v>
      </c>
      <c r="I16" s="4">
        <v>37.479999999999997</v>
      </c>
      <c r="K16" s="4">
        <v>13</v>
      </c>
      <c r="M16" s="4">
        <v>69.569999999999993</v>
      </c>
      <c r="O16" s="4">
        <v>13</v>
      </c>
      <c r="P16" s="4">
        <v>92.751999999999995</v>
      </c>
      <c r="S16" s="4">
        <v>0.33300000000000002</v>
      </c>
      <c r="U16" s="4">
        <v>0</v>
      </c>
      <c r="W16" s="4">
        <v>0.58299999999999996</v>
      </c>
      <c r="Y16" s="4" t="s">
        <v>815</v>
      </c>
      <c r="Z16" s="4">
        <v>60.78</v>
      </c>
      <c r="AA16" s="4" t="s">
        <v>815</v>
      </c>
      <c r="AB16" s="4">
        <v>42.991</v>
      </c>
      <c r="AC16" s="4" t="s">
        <v>815</v>
      </c>
      <c r="AD16" s="4">
        <v>112.25</v>
      </c>
      <c r="AE16" s="4">
        <f>IF(ISBLANK(t_omie_evol[[#This Row],[Omie media diaria]]),$X$39,t_omie_evol[[#This Row],[demanda GWh]])</f>
        <v>553.79999999999995</v>
      </c>
    </row>
    <row r="17" spans="1:31" x14ac:dyDescent="0.2">
      <c r="A17" s="4">
        <v>14</v>
      </c>
      <c r="B17" s="4">
        <v>31.18</v>
      </c>
      <c r="D17" s="4">
        <v>76.400000000000006</v>
      </c>
      <c r="E17" s="4">
        <v>49.27</v>
      </c>
      <c r="G17" s="4">
        <v>14</v>
      </c>
      <c r="I17" s="4">
        <v>37.479999999999997</v>
      </c>
      <c r="K17" s="4">
        <v>14</v>
      </c>
      <c r="M17" s="4">
        <v>69.569999999999993</v>
      </c>
      <c r="O17" s="4">
        <v>14</v>
      </c>
      <c r="P17" s="4">
        <v>92.751999999999995</v>
      </c>
      <c r="S17" s="4">
        <v>0.33300000000000002</v>
      </c>
      <c r="U17" s="4">
        <v>0</v>
      </c>
      <c r="W17" s="4">
        <v>0.58299999999999996</v>
      </c>
      <c r="Y17" s="4" t="s">
        <v>815</v>
      </c>
      <c r="Z17" s="4">
        <v>60.78</v>
      </c>
      <c r="AA17" s="4" t="s">
        <v>815</v>
      </c>
      <c r="AB17" s="4">
        <v>42.991</v>
      </c>
      <c r="AC17" s="4" t="s">
        <v>815</v>
      </c>
      <c r="AD17" s="4">
        <v>112.25</v>
      </c>
      <c r="AE17" s="4">
        <f>IF(ISBLANK(t_omie_evol[[#This Row],[Omie media diaria]]),$X$39,t_omie_evol[[#This Row],[demanda GWh]])</f>
        <v>553.79999999999995</v>
      </c>
    </row>
    <row r="18" spans="1:31" x14ac:dyDescent="0.2">
      <c r="A18" s="4">
        <v>15</v>
      </c>
      <c r="B18" s="4">
        <v>32.369999999999997</v>
      </c>
      <c r="C18" s="4">
        <v>88.99</v>
      </c>
      <c r="D18" s="4">
        <v>58.1</v>
      </c>
      <c r="E18" s="4">
        <v>48.84</v>
      </c>
      <c r="G18" s="4">
        <v>15</v>
      </c>
      <c r="I18" s="4">
        <v>37.479999999999997</v>
      </c>
      <c r="K18" s="4">
        <v>15</v>
      </c>
      <c r="M18" s="4">
        <v>69.569999999999993</v>
      </c>
      <c r="O18" s="4">
        <v>15</v>
      </c>
      <c r="P18" s="4">
        <v>92.751999999999995</v>
      </c>
      <c r="S18" s="4">
        <v>0.33300000000000002</v>
      </c>
      <c r="U18" s="4">
        <v>0</v>
      </c>
      <c r="W18" s="4">
        <v>0.58299999999999996</v>
      </c>
      <c r="Y18" s="4" t="s">
        <v>815</v>
      </c>
      <c r="Z18" s="4">
        <v>60.78</v>
      </c>
      <c r="AA18" s="4" t="s">
        <v>815</v>
      </c>
      <c r="AB18" s="4">
        <v>42.991</v>
      </c>
      <c r="AC18" s="4" t="s">
        <v>815</v>
      </c>
      <c r="AD18" s="4">
        <v>112.25</v>
      </c>
      <c r="AE18" s="4">
        <f>IF(ISBLANK(t_omie_evol[[#This Row],[Omie media diaria]]),$X$39,t_omie_evol[[#This Row],[demanda GWh]])</f>
        <v>553.79999999999995</v>
      </c>
    </row>
    <row r="19" spans="1:31" x14ac:dyDescent="0.2">
      <c r="A19" s="4">
        <v>16</v>
      </c>
      <c r="B19" s="4">
        <v>45.82</v>
      </c>
      <c r="E19" s="4">
        <v>45.82</v>
      </c>
      <c r="G19" s="4">
        <v>16</v>
      </c>
      <c r="I19" s="4">
        <v>37.479999999999997</v>
      </c>
      <c r="K19" s="4">
        <v>16</v>
      </c>
      <c r="M19" s="4">
        <v>69.569999999999993</v>
      </c>
      <c r="O19" s="4">
        <v>16</v>
      </c>
      <c r="P19" s="4">
        <v>92.751999999999995</v>
      </c>
      <c r="S19" s="4">
        <v>0.33300000000000002</v>
      </c>
      <c r="U19" s="4">
        <v>0</v>
      </c>
      <c r="W19" s="4">
        <v>0.58299999999999996</v>
      </c>
      <c r="Y19" s="4" t="s">
        <v>815</v>
      </c>
      <c r="Z19" s="4">
        <v>60.78</v>
      </c>
      <c r="AA19" s="4" t="s">
        <v>815</v>
      </c>
      <c r="AB19" s="4">
        <v>42.991</v>
      </c>
      <c r="AC19" s="4" t="s">
        <v>815</v>
      </c>
      <c r="AD19" s="4">
        <v>112.25</v>
      </c>
      <c r="AE19" s="4">
        <f>IF(ISBLANK(t_omie_evol[[#This Row],[Omie media diaria]]),$X$39,t_omie_evol[[#This Row],[demanda GWh]])</f>
        <v>553.79999999999995</v>
      </c>
    </row>
    <row r="20" spans="1:31" x14ac:dyDescent="0.2">
      <c r="A20" s="4">
        <v>17</v>
      </c>
      <c r="B20" s="4">
        <v>35.76</v>
      </c>
      <c r="D20" s="4">
        <v>81.8</v>
      </c>
      <c r="E20" s="4">
        <v>44.97</v>
      </c>
      <c r="G20" s="4">
        <v>17</v>
      </c>
      <c r="I20" s="4">
        <v>37.479999999999997</v>
      </c>
      <c r="K20" s="4">
        <v>17</v>
      </c>
      <c r="M20" s="4">
        <v>69.569999999999993</v>
      </c>
      <c r="O20" s="4">
        <v>17</v>
      </c>
      <c r="P20" s="4">
        <v>92.751999999999995</v>
      </c>
      <c r="S20" s="4">
        <v>0.33300000000000002</v>
      </c>
      <c r="U20" s="4">
        <v>0</v>
      </c>
      <c r="W20" s="4">
        <v>0.58299999999999996</v>
      </c>
      <c r="Y20" s="4" t="s">
        <v>815</v>
      </c>
      <c r="Z20" s="4">
        <v>60.78</v>
      </c>
      <c r="AA20" s="4" t="s">
        <v>815</v>
      </c>
      <c r="AB20" s="4">
        <v>42.991</v>
      </c>
      <c r="AC20" s="4" t="s">
        <v>815</v>
      </c>
      <c r="AD20" s="4">
        <v>112.25</v>
      </c>
      <c r="AE20" s="4">
        <f>IF(ISBLANK(t_omie_evol[[#This Row],[Omie media diaria]]),$X$39,t_omie_evol[[#This Row],[demanda GWh]])</f>
        <v>553.79999999999995</v>
      </c>
    </row>
    <row r="21" spans="1:31" x14ac:dyDescent="0.2">
      <c r="A21" s="4">
        <v>18</v>
      </c>
      <c r="B21" s="4">
        <v>45.7</v>
      </c>
      <c r="D21" s="4">
        <v>81.8</v>
      </c>
      <c r="E21" s="4">
        <v>52.92</v>
      </c>
      <c r="G21" s="4">
        <v>18</v>
      </c>
      <c r="I21" s="4">
        <v>37.479999999999997</v>
      </c>
      <c r="K21" s="4">
        <v>18</v>
      </c>
      <c r="M21" s="4">
        <v>69.569999999999993</v>
      </c>
      <c r="O21" s="4">
        <v>18</v>
      </c>
      <c r="P21" s="4">
        <v>92.751999999999995</v>
      </c>
      <c r="S21" s="4">
        <v>0.33300000000000002</v>
      </c>
      <c r="U21" s="4">
        <v>0</v>
      </c>
      <c r="W21" s="4">
        <v>0.58299999999999996</v>
      </c>
      <c r="Y21" s="4" t="s">
        <v>815</v>
      </c>
      <c r="Z21" s="4">
        <v>60.78</v>
      </c>
      <c r="AA21" s="4" t="s">
        <v>815</v>
      </c>
      <c r="AB21" s="4">
        <v>42.991</v>
      </c>
      <c r="AC21" s="4" t="s">
        <v>815</v>
      </c>
      <c r="AD21" s="4">
        <v>112.25</v>
      </c>
      <c r="AE21" s="4">
        <f>IF(ISBLANK(t_omie_evol[[#This Row],[Omie media diaria]]),$X$39,t_omie_evol[[#This Row],[demanda GWh]])</f>
        <v>553.79999999999995</v>
      </c>
    </row>
    <row r="22" spans="1:31" x14ac:dyDescent="0.2">
      <c r="A22" s="4">
        <v>19</v>
      </c>
      <c r="B22" s="4">
        <v>71.69</v>
      </c>
      <c r="D22" s="4">
        <v>76.56</v>
      </c>
      <c r="E22" s="4">
        <v>73.64</v>
      </c>
      <c r="G22" s="4">
        <v>19</v>
      </c>
      <c r="I22" s="4">
        <v>37.479999999999997</v>
      </c>
      <c r="K22" s="4">
        <v>19</v>
      </c>
      <c r="M22" s="4">
        <v>69.569999999999993</v>
      </c>
      <c r="O22" s="4">
        <v>19</v>
      </c>
      <c r="P22" s="4">
        <v>92.751999999999995</v>
      </c>
      <c r="S22" s="4">
        <v>0.33300000000000002</v>
      </c>
      <c r="U22" s="4">
        <v>0</v>
      </c>
      <c r="W22" s="4">
        <v>0.58299999999999996</v>
      </c>
      <c r="Y22" s="4" t="s">
        <v>815</v>
      </c>
      <c r="Z22" s="4">
        <v>60.78</v>
      </c>
      <c r="AA22" s="4" t="s">
        <v>815</v>
      </c>
      <c r="AB22" s="4">
        <v>42.991</v>
      </c>
      <c r="AC22" s="4" t="s">
        <v>815</v>
      </c>
      <c r="AD22" s="4">
        <v>112.25</v>
      </c>
      <c r="AE22" s="4">
        <f>IF(ISBLANK(t_omie_evol[[#This Row],[Omie media diaria]]),$X$39,t_omie_evol[[#This Row],[demanda GWh]])</f>
        <v>553.79999999999995</v>
      </c>
    </row>
    <row r="23" spans="1:31" x14ac:dyDescent="0.2">
      <c r="A23" s="4">
        <v>20</v>
      </c>
      <c r="B23" s="4">
        <v>80</v>
      </c>
      <c r="D23" s="4">
        <v>99.76</v>
      </c>
      <c r="E23" s="4">
        <v>95.8</v>
      </c>
      <c r="G23" s="4">
        <v>20</v>
      </c>
      <c r="I23" s="4">
        <v>37.479999999999997</v>
      </c>
      <c r="K23" s="4">
        <v>20</v>
      </c>
      <c r="M23" s="4">
        <v>69.569999999999993</v>
      </c>
      <c r="O23" s="4">
        <v>20</v>
      </c>
      <c r="P23" s="4">
        <v>92.751999999999995</v>
      </c>
      <c r="S23" s="4">
        <v>0.33300000000000002</v>
      </c>
      <c r="U23" s="4">
        <v>0</v>
      </c>
      <c r="W23" s="4">
        <v>0.58299999999999996</v>
      </c>
      <c r="Y23" s="4" t="s">
        <v>815</v>
      </c>
      <c r="Z23" s="4">
        <v>60.78</v>
      </c>
      <c r="AA23" s="4" t="s">
        <v>815</v>
      </c>
      <c r="AB23" s="4">
        <v>42.991</v>
      </c>
      <c r="AC23" s="4" t="s">
        <v>815</v>
      </c>
      <c r="AD23" s="4">
        <v>112.25</v>
      </c>
      <c r="AE23" s="4">
        <f>IF(ISBLANK(t_omie_evol[[#This Row],[Omie media diaria]]),$X$39,t_omie_evol[[#This Row],[demanda GWh]])</f>
        <v>553.79999999999995</v>
      </c>
    </row>
    <row r="24" spans="1:31" x14ac:dyDescent="0.2">
      <c r="A24" s="4">
        <v>21</v>
      </c>
      <c r="B24" s="4">
        <v>114</v>
      </c>
      <c r="D24" s="4">
        <v>122.98</v>
      </c>
      <c r="E24" s="4">
        <v>121.18</v>
      </c>
      <c r="G24" s="4">
        <v>21</v>
      </c>
      <c r="I24" s="4">
        <v>37.479999999999997</v>
      </c>
      <c r="K24" s="4">
        <v>21</v>
      </c>
      <c r="M24" s="4">
        <v>69.569999999999993</v>
      </c>
      <c r="O24" s="4">
        <v>21</v>
      </c>
      <c r="P24" s="4">
        <v>92.751999999999995</v>
      </c>
      <c r="S24" s="4">
        <v>0.33300000000000002</v>
      </c>
      <c r="U24" s="4">
        <v>0</v>
      </c>
      <c r="W24" s="4">
        <v>0.58299999999999996</v>
      </c>
      <c r="Y24" s="4" t="s">
        <v>815</v>
      </c>
      <c r="Z24" s="4">
        <v>60.78</v>
      </c>
      <c r="AA24" s="4" t="s">
        <v>815</v>
      </c>
      <c r="AB24" s="4">
        <v>42.991</v>
      </c>
      <c r="AC24" s="4" t="s">
        <v>815</v>
      </c>
      <c r="AD24" s="4">
        <v>112.25</v>
      </c>
      <c r="AE24" s="4">
        <f>IF(ISBLANK(t_omie_evol[[#This Row],[Omie media diaria]]),$X$39,t_omie_evol[[#This Row],[demanda GWh]])</f>
        <v>553.79999999999995</v>
      </c>
    </row>
    <row r="25" spans="1:31" x14ac:dyDescent="0.2">
      <c r="A25" s="4">
        <v>22</v>
      </c>
      <c r="D25" s="4">
        <v>139.68</v>
      </c>
      <c r="E25" s="4">
        <v>138.27000000000001</v>
      </c>
      <c r="G25" s="4">
        <v>22</v>
      </c>
      <c r="I25" s="4">
        <v>37.479999999999997</v>
      </c>
      <c r="K25" s="4">
        <v>22</v>
      </c>
      <c r="M25" s="4">
        <v>69.569999999999993</v>
      </c>
      <c r="O25" s="4">
        <v>22</v>
      </c>
      <c r="P25" s="4">
        <v>92.751999999999995</v>
      </c>
      <c r="S25" s="4">
        <v>0.33300000000000002</v>
      </c>
      <c r="U25" s="4">
        <v>0</v>
      </c>
      <c r="W25" s="4">
        <v>0.58299999999999996</v>
      </c>
      <c r="Y25" s="4" t="s">
        <v>815</v>
      </c>
      <c r="Z25" s="4">
        <v>60.78</v>
      </c>
      <c r="AA25" s="4" t="s">
        <v>815</v>
      </c>
      <c r="AB25" s="4">
        <v>42.991</v>
      </c>
      <c r="AC25" s="4" t="s">
        <v>815</v>
      </c>
      <c r="AD25" s="4">
        <v>112.25</v>
      </c>
      <c r="AE25" s="4">
        <f>IF(ISBLANK(t_omie_evol[[#This Row],[Omie media diaria]]),$X$39,t_omie_evol[[#This Row],[demanda GWh]])</f>
        <v>553.79999999999995</v>
      </c>
    </row>
    <row r="26" spans="1:31" x14ac:dyDescent="0.2">
      <c r="A26" s="4">
        <v>23</v>
      </c>
      <c r="D26" s="4">
        <v>135.59</v>
      </c>
      <c r="E26" s="4">
        <v>133.57</v>
      </c>
      <c r="G26" s="4">
        <v>23</v>
      </c>
      <c r="I26" s="4">
        <v>37.479999999999997</v>
      </c>
      <c r="K26" s="4">
        <v>23</v>
      </c>
      <c r="M26" s="4">
        <v>69.569999999999993</v>
      </c>
      <c r="O26" s="4">
        <v>23</v>
      </c>
      <c r="P26" s="4">
        <v>92.751999999999995</v>
      </c>
      <c r="S26" s="4">
        <v>0.33300000000000002</v>
      </c>
      <c r="U26" s="4">
        <v>0</v>
      </c>
      <c r="W26" s="4">
        <v>0.58299999999999996</v>
      </c>
      <c r="Y26" s="4" t="s">
        <v>815</v>
      </c>
      <c r="Z26" s="4">
        <v>60.78</v>
      </c>
      <c r="AA26" s="4" t="s">
        <v>815</v>
      </c>
      <c r="AB26" s="4">
        <v>42.991</v>
      </c>
      <c r="AC26" s="4" t="s">
        <v>815</v>
      </c>
      <c r="AD26" s="4">
        <v>112.25</v>
      </c>
      <c r="AE26" s="4">
        <f>IF(ISBLANK(t_omie_evol[[#This Row],[Omie media diaria]]),$X$39,t_omie_evol[[#This Row],[demanda GWh]])</f>
        <v>553.79999999999995</v>
      </c>
    </row>
    <row r="27" spans="1:31" x14ac:dyDescent="0.2">
      <c r="A27" s="4">
        <v>24</v>
      </c>
      <c r="C27" s="4">
        <v>117.14</v>
      </c>
      <c r="D27" s="4">
        <v>121</v>
      </c>
      <c r="E27" s="4">
        <v>123.71</v>
      </c>
      <c r="G27" s="4">
        <v>24</v>
      </c>
      <c r="I27" s="4">
        <v>37.479999999999997</v>
      </c>
      <c r="K27" s="4">
        <v>24</v>
      </c>
      <c r="M27" s="4">
        <v>69.569999999999993</v>
      </c>
      <c r="O27" s="4">
        <v>24</v>
      </c>
      <c r="P27" s="4">
        <v>92.751999999999995</v>
      </c>
      <c r="S27" s="4">
        <v>0.33300000000000002</v>
      </c>
      <c r="U27" s="4">
        <v>0</v>
      </c>
      <c r="W27" s="4">
        <v>0.58299999999999996</v>
      </c>
      <c r="Y27" s="4" t="s">
        <v>815</v>
      </c>
      <c r="Z27" s="4">
        <v>60.78</v>
      </c>
      <c r="AA27" s="4" t="s">
        <v>815</v>
      </c>
      <c r="AB27" s="4">
        <v>42.991</v>
      </c>
      <c r="AC27" s="4" t="s">
        <v>815</v>
      </c>
      <c r="AD27" s="4">
        <v>112.25</v>
      </c>
      <c r="AE27" s="4">
        <f>IF(ISBLANK(t_omie_evol[[#This Row],[Omie media diaria]]),$X$39,t_omie_evol[[#This Row],[demanda GWh]])</f>
        <v>553.79999999999995</v>
      </c>
    </row>
    <row r="28" spans="1:31" x14ac:dyDescent="0.2">
      <c r="G28" s="4">
        <v>25</v>
      </c>
      <c r="I28" s="4">
        <v>37.479999999999997</v>
      </c>
      <c r="K28" s="4">
        <v>25</v>
      </c>
      <c r="M28" s="4">
        <v>69.569999999999993</v>
      </c>
      <c r="O28" s="4">
        <v>25</v>
      </c>
      <c r="P28" s="4">
        <v>92.751999999999995</v>
      </c>
      <c r="S28" s="4">
        <v>0.33300000000000002</v>
      </c>
      <c r="U28" s="4">
        <v>0</v>
      </c>
      <c r="W28" s="4">
        <v>0.58299999999999996</v>
      </c>
      <c r="Y28" s="4" t="s">
        <v>815</v>
      </c>
      <c r="Z28" s="4">
        <v>60.78</v>
      </c>
      <c r="AA28" s="4" t="s">
        <v>815</v>
      </c>
      <c r="AB28" s="4">
        <v>42.991</v>
      </c>
      <c r="AC28" s="4" t="s">
        <v>815</v>
      </c>
      <c r="AD28" s="4">
        <v>112.25</v>
      </c>
      <c r="AE28" s="4">
        <f>IF(ISBLANK(t_omie_evol[[#This Row],[Omie media diaria]]),$X$39,t_omie_evol[[#This Row],[demanda GWh]])</f>
        <v>553.79999999999995</v>
      </c>
    </row>
    <row r="29" spans="1:31" ht="11.45" customHeight="1" x14ac:dyDescent="0.2">
      <c r="G29" s="4">
        <v>26</v>
      </c>
      <c r="I29" s="4">
        <v>37.479999999999997</v>
      </c>
      <c r="K29" s="4">
        <v>26</v>
      </c>
      <c r="M29" s="4">
        <v>69.569999999999993</v>
      </c>
      <c r="O29" s="4">
        <v>26</v>
      </c>
      <c r="P29" s="4">
        <v>92.751999999999995</v>
      </c>
      <c r="S29" s="4">
        <v>0.33300000000000002</v>
      </c>
      <c r="U29" s="4">
        <v>0</v>
      </c>
      <c r="W29" s="4">
        <v>0.58299999999999996</v>
      </c>
      <c r="Y29" s="4" t="s">
        <v>815</v>
      </c>
      <c r="Z29" s="4">
        <v>60.78</v>
      </c>
      <c r="AA29" s="4" t="s">
        <v>815</v>
      </c>
      <c r="AB29" s="4">
        <v>42.991</v>
      </c>
      <c r="AC29" s="4" t="s">
        <v>815</v>
      </c>
      <c r="AD29" s="4">
        <v>112.25</v>
      </c>
      <c r="AE29" s="4">
        <f>IF(ISBLANK(t_omie_evol[[#This Row],[Omie media diaria]]),$X$39,t_omie_evol[[#This Row],[demanda GWh]])</f>
        <v>553.79999999999995</v>
      </c>
    </row>
    <row r="30" spans="1:31" ht="11.45" customHeight="1" x14ac:dyDescent="0.2">
      <c r="G30" s="4">
        <v>27</v>
      </c>
      <c r="I30" s="4">
        <v>37.479999999999997</v>
      </c>
      <c r="K30" s="4">
        <v>27</v>
      </c>
      <c r="M30" s="4">
        <v>69.569999999999993</v>
      </c>
      <c r="O30" s="4">
        <v>27</v>
      </c>
      <c r="P30" s="4">
        <v>92.751999999999995</v>
      </c>
      <c r="S30" s="4">
        <v>0.33300000000000002</v>
      </c>
      <c r="U30" s="4">
        <v>0</v>
      </c>
      <c r="W30" s="4">
        <v>0.58299999999999996</v>
      </c>
      <c r="Y30" s="4" t="s">
        <v>815</v>
      </c>
      <c r="Z30" s="4">
        <v>60.78</v>
      </c>
      <c r="AA30" s="4" t="s">
        <v>815</v>
      </c>
      <c r="AB30" s="4">
        <v>42.991</v>
      </c>
      <c r="AC30" s="4" t="s">
        <v>815</v>
      </c>
      <c r="AD30" s="4">
        <v>112.25</v>
      </c>
      <c r="AE30" s="4">
        <f>IF(ISBLANK(t_omie_evol[[#This Row],[Omie media diaria]]),$X$39,t_omie_evol[[#This Row],[demanda GWh]])</f>
        <v>553.79999999999995</v>
      </c>
    </row>
    <row r="31" spans="1:31" ht="11.45" customHeight="1" x14ac:dyDescent="0.2">
      <c r="G31" s="4">
        <v>28</v>
      </c>
      <c r="I31" s="4">
        <v>37.479999999999997</v>
      </c>
      <c r="K31" s="4">
        <v>28</v>
      </c>
      <c r="M31" s="4">
        <v>69.569999999999993</v>
      </c>
      <c r="O31" s="4">
        <v>28</v>
      </c>
      <c r="P31" s="4">
        <v>92.751999999999995</v>
      </c>
      <c r="S31" s="4">
        <v>0.33300000000000002</v>
      </c>
      <c r="U31" s="4">
        <v>0</v>
      </c>
      <c r="W31" s="4">
        <v>0.58299999999999996</v>
      </c>
      <c r="Y31" s="4" t="s">
        <v>815</v>
      </c>
      <c r="Z31" s="4">
        <v>60.78</v>
      </c>
      <c r="AA31" s="4" t="s">
        <v>815</v>
      </c>
      <c r="AB31" s="4">
        <v>42.991</v>
      </c>
      <c r="AC31" s="4" t="s">
        <v>815</v>
      </c>
      <c r="AD31" s="4">
        <v>112.25</v>
      </c>
      <c r="AE31" s="4">
        <f>IF(ISBLANK(t_omie_evol[[#This Row],[Omie media diaria]]),$X$39,t_omie_evol[[#This Row],[demanda GWh]])</f>
        <v>553.79999999999995</v>
      </c>
    </row>
    <row r="32" spans="1:31" ht="11.45" customHeight="1" x14ac:dyDescent="0.2">
      <c r="G32" s="4">
        <v>29</v>
      </c>
      <c r="I32" s="4">
        <v>37.479999999999997</v>
      </c>
      <c r="K32" s="4">
        <v>29</v>
      </c>
      <c r="M32" s="4">
        <v>69.569999999999993</v>
      </c>
      <c r="O32" s="4">
        <v>29</v>
      </c>
      <c r="P32" s="4">
        <v>92.751999999999995</v>
      </c>
      <c r="S32" s="4">
        <v>0.33300000000000002</v>
      </c>
      <c r="U32" s="4">
        <v>0</v>
      </c>
      <c r="W32" s="4">
        <v>0.58299999999999996</v>
      </c>
      <c r="Y32" s="4" t="s">
        <v>815</v>
      </c>
      <c r="Z32" s="4">
        <v>60.78</v>
      </c>
      <c r="AA32" s="4" t="s">
        <v>815</v>
      </c>
      <c r="AB32" s="4">
        <v>42.991</v>
      </c>
      <c r="AC32" s="4" t="s">
        <v>815</v>
      </c>
      <c r="AD32" s="4">
        <v>112.25</v>
      </c>
      <c r="AE32" s="4">
        <f>IF(ISBLANK(t_omie_evol[[#This Row],[Omie media diaria]]),$X$39,t_omie_evol[[#This Row],[demanda GWh]])</f>
        <v>553.79999999999995</v>
      </c>
    </row>
    <row r="33" spans="7:31" ht="11.45" customHeight="1" x14ac:dyDescent="0.2">
      <c r="G33" s="4">
        <v>30</v>
      </c>
      <c r="I33" s="4">
        <v>37.479999999999997</v>
      </c>
      <c r="K33" s="4">
        <v>30</v>
      </c>
      <c r="M33" s="4">
        <v>69.569999999999993</v>
      </c>
      <c r="O33" s="4">
        <v>30</v>
      </c>
      <c r="P33" s="4">
        <v>92.751999999999995</v>
      </c>
      <c r="S33" s="4">
        <v>0.33300000000000002</v>
      </c>
      <c r="U33" s="4">
        <v>0</v>
      </c>
      <c r="W33" s="4">
        <v>0.58299999999999996</v>
      </c>
      <c r="Y33" s="4" t="s">
        <v>815</v>
      </c>
      <c r="Z33" s="4">
        <v>60.78</v>
      </c>
      <c r="AA33" s="4" t="s">
        <v>815</v>
      </c>
      <c r="AB33" s="4">
        <v>42.991</v>
      </c>
      <c r="AC33" s="4" t="s">
        <v>815</v>
      </c>
      <c r="AD33" s="4">
        <v>112.25</v>
      </c>
      <c r="AE33" s="4">
        <f>IF(ISBLANK(t_omie_evol[[#This Row],[Omie media diaria]]),$X$39,t_omie_evol[[#This Row],[demanda GWh]])</f>
        <v>553.79999999999995</v>
      </c>
    </row>
    <row r="34" spans="7:31" ht="11.45" customHeight="1" x14ac:dyDescent="0.2">
      <c r="G34" s="4">
        <v>31</v>
      </c>
      <c r="K34" s="4">
        <v>31</v>
      </c>
      <c r="M34" s="4">
        <v>69.569999999999993</v>
      </c>
      <c r="O34" s="4">
        <v>31</v>
      </c>
      <c r="P34" s="4">
        <v>92.751999999999995</v>
      </c>
      <c r="S34" s="4">
        <v>0.33300000000000002</v>
      </c>
      <c r="U34" s="4">
        <v>0</v>
      </c>
      <c r="W34" s="4">
        <v>0.58299999999999996</v>
      </c>
      <c r="Y34" s="4" t="s">
        <v>815</v>
      </c>
      <c r="Z34" s="4">
        <v>60.78</v>
      </c>
      <c r="AA34" s="4" t="s">
        <v>815</v>
      </c>
      <c r="AB34" s="4">
        <v>42.991</v>
      </c>
      <c r="AC34" s="4" t="s">
        <v>815</v>
      </c>
      <c r="AD34" s="4">
        <v>112.25</v>
      </c>
      <c r="AE34" s="4">
        <f>IF(ISBLANK(t_omie_evol[[#This Row],[Omie media diaria]]),$X$39,t_omie_evol[[#This Row],[demanda GWh]])</f>
        <v>553.79999999999995</v>
      </c>
    </row>
    <row r="38" spans="7:31" x14ac:dyDescent="0.2">
      <c r="W38" s="4" t="s">
        <v>488</v>
      </c>
      <c r="X38" s="4">
        <f>SUM(t_omie_evol[demanda GWh])</f>
        <v>2769</v>
      </c>
    </row>
    <row r="39" spans="7:31" x14ac:dyDescent="0.2">
      <c r="W39" s="4" t="s">
        <v>489</v>
      </c>
      <c r="X39" s="4">
        <f>AVERAGE(t_omie_evol[demanda GWh])</f>
        <v>553.79999999999995</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A16" workbookViewId="0">
      <selection activeCell="E43" sqref="E43"/>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652</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651</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790</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650</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645</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ht="11.45"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ht="11.45"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ht="11.45"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647</v>
      </c>
      <c r="AF36">
        <v>33.36</v>
      </c>
      <c r="AG36">
        <v>2.9600000000000009</v>
      </c>
      <c r="AH36">
        <v>9.7368421052631618E-2</v>
      </c>
    </row>
    <row r="37" spans="1:34" ht="11.45" x14ac:dyDescent="0.2">
      <c r="AC37" t="s">
        <v>563</v>
      </c>
      <c r="AD37">
        <v>16</v>
      </c>
      <c r="AE37" t="s">
        <v>646</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ht="11.45"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682</v>
      </c>
      <c r="B42">
        <v>53</v>
      </c>
      <c r="C42" t="s">
        <v>788</v>
      </c>
      <c r="D42">
        <v>99.95</v>
      </c>
      <c r="E42">
        <v>47.900000000000006</v>
      </c>
      <c r="F42">
        <v>0.92026897214217118</v>
      </c>
      <c r="AC42" t="s">
        <v>563</v>
      </c>
      <c r="AD42">
        <v>36</v>
      </c>
      <c r="AE42" t="s">
        <v>653</v>
      </c>
      <c r="AF42">
        <v>18.760000000000002</v>
      </c>
      <c r="AG42">
        <v>-11.639999999999997</v>
      </c>
      <c r="AH42">
        <v>0.38289473684210518</v>
      </c>
    </row>
    <row r="43" spans="1:34" x14ac:dyDescent="0.2">
      <c r="A43" t="s">
        <v>682</v>
      </c>
      <c r="B43">
        <v>52</v>
      </c>
      <c r="C43" t="s">
        <v>650</v>
      </c>
      <c r="D43">
        <v>86.46</v>
      </c>
      <c r="E43">
        <v>34.409999999999997</v>
      </c>
      <c r="F43">
        <v>0.66109510086455325</v>
      </c>
      <c r="AC43" t="s">
        <v>563</v>
      </c>
      <c r="AD43">
        <v>23</v>
      </c>
      <c r="AE43" t="s">
        <v>399</v>
      </c>
      <c r="AF43">
        <v>35.229999999999997</v>
      </c>
      <c r="AG43">
        <v>4.8299999999999983</v>
      </c>
      <c r="AH43">
        <v>0.15888157894736837</v>
      </c>
    </row>
    <row r="44" spans="1:34" x14ac:dyDescent="0.2">
      <c r="A44" t="s">
        <v>682</v>
      </c>
      <c r="B44">
        <v>48</v>
      </c>
      <c r="C44" t="s">
        <v>218</v>
      </c>
      <c r="D44">
        <v>69</v>
      </c>
      <c r="E44">
        <v>16.950000000000003</v>
      </c>
      <c r="F44">
        <v>0.32564841498559083</v>
      </c>
      <c r="AC44" t="s">
        <v>563</v>
      </c>
      <c r="AD44">
        <v>37</v>
      </c>
      <c r="AE44" t="s">
        <v>648</v>
      </c>
      <c r="AF44">
        <v>18.12</v>
      </c>
      <c r="AG44">
        <v>-12.279999999999998</v>
      </c>
      <c r="AH44">
        <v>0.40394736842105256</v>
      </c>
    </row>
    <row r="45" spans="1:34" x14ac:dyDescent="0.2">
      <c r="A45" t="s">
        <v>682</v>
      </c>
      <c r="B45">
        <v>41</v>
      </c>
      <c r="C45" t="s">
        <v>787</v>
      </c>
      <c r="D45">
        <v>63.57</v>
      </c>
      <c r="E45">
        <v>11.520000000000003</v>
      </c>
      <c r="F45">
        <v>0.22132564841498567</v>
      </c>
    </row>
    <row r="46" spans="1:34" x14ac:dyDescent="0.2">
      <c r="A46" t="s">
        <v>682</v>
      </c>
      <c r="B46">
        <v>40</v>
      </c>
      <c r="C46" t="s">
        <v>806</v>
      </c>
      <c r="D46">
        <v>63.18</v>
      </c>
      <c r="E46">
        <v>11.130000000000003</v>
      </c>
      <c r="F46">
        <v>0.21383285302593666</v>
      </c>
    </row>
    <row r="47" spans="1:34" x14ac:dyDescent="0.2">
      <c r="A47" t="s">
        <v>682</v>
      </c>
      <c r="B47">
        <v>31</v>
      </c>
      <c r="C47" t="s">
        <v>786</v>
      </c>
      <c r="D47">
        <v>60.31</v>
      </c>
      <c r="E47">
        <v>8.2600000000000051</v>
      </c>
      <c r="F47">
        <v>0.15869356388088388</v>
      </c>
    </row>
    <row r="48" spans="1:34" x14ac:dyDescent="0.2">
      <c r="A48" t="s">
        <v>682</v>
      </c>
      <c r="B48">
        <v>29</v>
      </c>
      <c r="C48" t="s">
        <v>403</v>
      </c>
      <c r="D48">
        <v>60.1</v>
      </c>
      <c r="E48">
        <v>8.0500000000000043</v>
      </c>
      <c r="F48">
        <v>0.15465898174831902</v>
      </c>
    </row>
    <row r="49" spans="1:6" x14ac:dyDescent="0.2">
      <c r="A49" t="s">
        <v>682</v>
      </c>
      <c r="B49">
        <v>26</v>
      </c>
      <c r="C49" t="s">
        <v>328</v>
      </c>
      <c r="D49">
        <v>59</v>
      </c>
      <c r="E49">
        <v>6.9500000000000028</v>
      </c>
      <c r="F49">
        <v>0.13352545629202697</v>
      </c>
    </row>
    <row r="50" spans="1:6" x14ac:dyDescent="0.2">
      <c r="A50" t="s">
        <v>682</v>
      </c>
      <c r="B50">
        <v>25</v>
      </c>
      <c r="C50" t="s">
        <v>219</v>
      </c>
      <c r="D50">
        <v>58.88</v>
      </c>
      <c r="E50">
        <v>6.8300000000000054</v>
      </c>
      <c r="F50">
        <v>0.13121998078770425</v>
      </c>
    </row>
    <row r="51" spans="1:6" x14ac:dyDescent="0.2">
      <c r="A51" t="s">
        <v>682</v>
      </c>
      <c r="B51">
        <v>22</v>
      </c>
      <c r="C51" t="s">
        <v>791</v>
      </c>
      <c r="D51">
        <v>56.3</v>
      </c>
      <c r="E51">
        <v>4.25</v>
      </c>
      <c r="F51">
        <v>8.1652257444764648E-2</v>
      </c>
    </row>
    <row r="52" spans="1:6" x14ac:dyDescent="0.2">
      <c r="A52" t="s">
        <v>682</v>
      </c>
      <c r="B52">
        <v>20</v>
      </c>
      <c r="C52" t="s">
        <v>793</v>
      </c>
      <c r="D52">
        <v>56.2</v>
      </c>
      <c r="E52">
        <v>4.1500000000000057</v>
      </c>
      <c r="F52">
        <v>7.9731027857829123E-2</v>
      </c>
    </row>
    <row r="53" spans="1:6" x14ac:dyDescent="0.2">
      <c r="A53" t="s">
        <v>682</v>
      </c>
      <c r="B53">
        <v>18</v>
      </c>
      <c r="C53" t="s">
        <v>215</v>
      </c>
      <c r="D53">
        <v>55.55</v>
      </c>
      <c r="E53">
        <v>3.5</v>
      </c>
      <c r="F53">
        <v>6.7243035542747367E-2</v>
      </c>
    </row>
    <row r="54" spans="1:6" x14ac:dyDescent="0.2">
      <c r="A54" t="s">
        <v>682</v>
      </c>
      <c r="B54">
        <v>17</v>
      </c>
      <c r="C54" t="s">
        <v>653</v>
      </c>
      <c r="D54">
        <v>55.33</v>
      </c>
      <c r="E54">
        <v>3.2800000000000011</v>
      </c>
      <c r="F54">
        <v>6.301633045148898E-2</v>
      </c>
    </row>
    <row r="55" spans="1:6" x14ac:dyDescent="0.2">
      <c r="A55" t="s">
        <v>682</v>
      </c>
      <c r="B55">
        <v>16</v>
      </c>
      <c r="C55" t="s">
        <v>792</v>
      </c>
      <c r="D55">
        <v>55.32</v>
      </c>
      <c r="E55">
        <v>3.2700000000000031</v>
      </c>
      <c r="F55">
        <v>6.282420749279545E-2</v>
      </c>
    </row>
    <row r="56" spans="1:6" x14ac:dyDescent="0.2">
      <c r="A56" t="s">
        <v>682</v>
      </c>
      <c r="B56">
        <v>15</v>
      </c>
      <c r="C56" t="s">
        <v>794</v>
      </c>
      <c r="D56">
        <v>55.3</v>
      </c>
      <c r="E56">
        <v>3.25</v>
      </c>
      <c r="F56">
        <v>6.2439961575408265E-2</v>
      </c>
    </row>
    <row r="57" spans="1:6" x14ac:dyDescent="0.2">
      <c r="A57" t="s">
        <v>682</v>
      </c>
      <c r="B57">
        <v>14</v>
      </c>
      <c r="C57" t="s">
        <v>406</v>
      </c>
      <c r="D57">
        <v>55</v>
      </c>
      <c r="E57">
        <v>2.9500000000000028</v>
      </c>
      <c r="F57">
        <v>5.66762728146014E-2</v>
      </c>
    </row>
    <row r="58" spans="1:6" x14ac:dyDescent="0.2">
      <c r="A58" t="s">
        <v>682</v>
      </c>
      <c r="B58">
        <v>12</v>
      </c>
      <c r="C58" t="s">
        <v>401</v>
      </c>
      <c r="D58">
        <v>54.56</v>
      </c>
      <c r="E58">
        <v>2.5100000000000051</v>
      </c>
      <c r="F58">
        <v>4.8222862632084633E-2</v>
      </c>
    </row>
    <row r="59" spans="1:6" x14ac:dyDescent="0.2">
      <c r="A59" t="s">
        <v>682</v>
      </c>
      <c r="B59">
        <v>11</v>
      </c>
      <c r="C59" t="s">
        <v>412</v>
      </c>
      <c r="D59">
        <v>54.22</v>
      </c>
      <c r="E59">
        <v>2.1700000000000017</v>
      </c>
      <c r="F59">
        <v>4.1690682036503397E-2</v>
      </c>
    </row>
    <row r="60" spans="1:6" x14ac:dyDescent="0.2">
      <c r="A60" t="s">
        <v>682</v>
      </c>
      <c r="B60">
        <v>10</v>
      </c>
      <c r="C60" t="s">
        <v>789</v>
      </c>
      <c r="D60">
        <v>53.41</v>
      </c>
      <c r="E60">
        <v>1.3599999999999994</v>
      </c>
      <c r="F60">
        <v>2.6128722382324679E-2</v>
      </c>
    </row>
    <row r="61" spans="1:6" x14ac:dyDescent="0.2">
      <c r="A61" t="s">
        <v>682</v>
      </c>
      <c r="B61">
        <v>9</v>
      </c>
      <c r="C61" t="s">
        <v>790</v>
      </c>
      <c r="D61">
        <v>53.4</v>
      </c>
      <c r="E61">
        <v>1.3500000000000014</v>
      </c>
      <c r="F61">
        <v>2.5936599423631152E-2</v>
      </c>
    </row>
    <row r="62" spans="1:6" x14ac:dyDescent="0.2">
      <c r="A62" t="s">
        <v>682</v>
      </c>
      <c r="B62">
        <v>7</v>
      </c>
      <c r="C62" t="s">
        <v>335</v>
      </c>
      <c r="D62">
        <v>53.21</v>
      </c>
      <c r="E62">
        <v>1.1600000000000037</v>
      </c>
      <c r="F62">
        <v>2.2286263208453481E-2</v>
      </c>
    </row>
    <row r="63" spans="1:6" x14ac:dyDescent="0.2">
      <c r="A63" t="s">
        <v>682</v>
      </c>
      <c r="B63">
        <v>6</v>
      </c>
      <c r="C63" t="s">
        <v>414</v>
      </c>
      <c r="D63">
        <v>53.2</v>
      </c>
      <c r="E63">
        <v>1.1500000000000057</v>
      </c>
      <c r="F63">
        <v>2.2094140249759957E-2</v>
      </c>
    </row>
    <row r="64" spans="1:6" x14ac:dyDescent="0.2">
      <c r="A64" t="s">
        <v>682</v>
      </c>
      <c r="B64">
        <v>5</v>
      </c>
      <c r="C64" t="s">
        <v>381</v>
      </c>
      <c r="D64">
        <v>52.95</v>
      </c>
      <c r="E64">
        <v>0.90000000000000568</v>
      </c>
      <c r="F64">
        <v>1.7291066282420858E-2</v>
      </c>
    </row>
    <row r="65" spans="1:6" x14ac:dyDescent="0.2">
      <c r="A65" t="s">
        <v>682</v>
      </c>
      <c r="B65">
        <v>2</v>
      </c>
      <c r="C65" t="s">
        <v>409</v>
      </c>
      <c r="D65">
        <v>52.5</v>
      </c>
      <c r="E65">
        <v>0.45000000000000284</v>
      </c>
      <c r="F65">
        <v>8.6455331412104292E-3</v>
      </c>
    </row>
    <row r="66" spans="1:6" x14ac:dyDescent="0.2">
      <c r="A66" t="s">
        <v>682</v>
      </c>
      <c r="B66">
        <v>1</v>
      </c>
      <c r="C66" t="s">
        <v>404</v>
      </c>
      <c r="D66">
        <v>52.24</v>
      </c>
      <c r="E66">
        <v>0.19000000000000483</v>
      </c>
      <c r="F66">
        <v>3.6503362151778067E-3</v>
      </c>
    </row>
    <row r="67" spans="1:6" x14ac:dyDescent="0.2">
      <c r="A67" t="s">
        <v>682</v>
      </c>
      <c r="B67">
        <v>3</v>
      </c>
      <c r="C67" t="s">
        <v>652</v>
      </c>
      <c r="D67">
        <v>51.49</v>
      </c>
      <c r="E67">
        <v>-0.55999999999999517</v>
      </c>
      <c r="F67">
        <v>1.0758885686839486E-2</v>
      </c>
    </row>
    <row r="68" spans="1:6" x14ac:dyDescent="0.2">
      <c r="A68" t="s">
        <v>682</v>
      </c>
      <c r="B68">
        <v>4</v>
      </c>
      <c r="C68" t="s">
        <v>336</v>
      </c>
      <c r="D68">
        <v>51.4</v>
      </c>
      <c r="E68">
        <v>-0.64999999999999858</v>
      </c>
      <c r="F68">
        <v>1.2487992315081626E-2</v>
      </c>
    </row>
    <row r="69" spans="1:6" x14ac:dyDescent="0.2">
      <c r="A69" t="s">
        <v>682</v>
      </c>
      <c r="B69">
        <v>8</v>
      </c>
      <c r="C69" t="s">
        <v>225</v>
      </c>
      <c r="D69">
        <v>50.8</v>
      </c>
      <c r="E69">
        <v>-1.25</v>
      </c>
      <c r="F69">
        <v>2.4015369836695485E-2</v>
      </c>
    </row>
    <row r="70" spans="1:6" x14ac:dyDescent="0.2">
      <c r="A70" t="s">
        <v>682</v>
      </c>
      <c r="B70">
        <v>13</v>
      </c>
      <c r="C70" t="s">
        <v>543</v>
      </c>
      <c r="D70">
        <v>49.29</v>
      </c>
      <c r="E70">
        <v>-2.759999999999998</v>
      </c>
      <c r="F70">
        <v>5.3025936599423597E-2</v>
      </c>
    </row>
    <row r="71" spans="1:6" x14ac:dyDescent="0.2">
      <c r="A71" t="s">
        <v>682</v>
      </c>
      <c r="B71">
        <v>19</v>
      </c>
      <c r="C71" t="s">
        <v>364</v>
      </c>
      <c r="D71">
        <v>48.01</v>
      </c>
      <c r="E71">
        <v>-4.0399999999999991</v>
      </c>
      <c r="F71">
        <v>7.7617675312199791E-2</v>
      </c>
    </row>
    <row r="72" spans="1:6" x14ac:dyDescent="0.2">
      <c r="A72" t="s">
        <v>682</v>
      </c>
      <c r="B72">
        <v>21</v>
      </c>
      <c r="C72" t="s">
        <v>222</v>
      </c>
      <c r="D72">
        <v>47.82</v>
      </c>
      <c r="E72">
        <v>-4.2299999999999969</v>
      </c>
      <c r="F72">
        <v>8.1268011527377462E-2</v>
      </c>
    </row>
    <row r="73" spans="1:6" x14ac:dyDescent="0.2">
      <c r="A73" t="s">
        <v>682</v>
      </c>
      <c r="B73">
        <v>23</v>
      </c>
      <c r="C73" t="s">
        <v>407</v>
      </c>
      <c r="D73">
        <v>46.66</v>
      </c>
      <c r="E73">
        <v>-5.3900000000000006</v>
      </c>
      <c r="F73">
        <v>0.10355427473583095</v>
      </c>
    </row>
    <row r="74" spans="1:6" x14ac:dyDescent="0.2">
      <c r="A74" t="s">
        <v>682</v>
      </c>
      <c r="B74">
        <v>24</v>
      </c>
      <c r="C74" t="s">
        <v>242</v>
      </c>
      <c r="D74">
        <v>46.5</v>
      </c>
      <c r="E74">
        <v>-5.5499999999999972</v>
      </c>
      <c r="F74">
        <v>0.10662824207492791</v>
      </c>
    </row>
    <row r="75" spans="1:6" x14ac:dyDescent="0.2">
      <c r="A75" t="s">
        <v>682</v>
      </c>
      <c r="B75">
        <v>27</v>
      </c>
      <c r="C75" t="s">
        <v>542</v>
      </c>
      <c r="D75">
        <v>44.45</v>
      </c>
      <c r="E75">
        <v>-7.5999999999999943</v>
      </c>
      <c r="F75">
        <v>0.14601344860710844</v>
      </c>
    </row>
    <row r="76" spans="1:6" x14ac:dyDescent="0.2">
      <c r="A76" t="s">
        <v>682</v>
      </c>
      <c r="B76">
        <v>28</v>
      </c>
      <c r="C76" t="s">
        <v>337</v>
      </c>
      <c r="D76">
        <v>44.44</v>
      </c>
      <c r="E76">
        <v>-7.6099999999999994</v>
      </c>
      <c r="F76">
        <v>0.14620557156580211</v>
      </c>
    </row>
    <row r="77" spans="1:6" x14ac:dyDescent="0.2">
      <c r="A77" t="s">
        <v>682</v>
      </c>
      <c r="B77">
        <v>30</v>
      </c>
      <c r="C77" t="s">
        <v>292</v>
      </c>
      <c r="D77">
        <v>43.83</v>
      </c>
      <c r="E77">
        <v>-8.2199999999999989</v>
      </c>
      <c r="F77">
        <v>0.1579250720461095</v>
      </c>
    </row>
    <row r="78" spans="1:6" x14ac:dyDescent="0.2">
      <c r="A78" t="s">
        <v>682</v>
      </c>
      <c r="B78">
        <v>32</v>
      </c>
      <c r="C78" t="s">
        <v>784</v>
      </c>
      <c r="D78">
        <v>43.73</v>
      </c>
      <c r="E78">
        <v>-8.32</v>
      </c>
      <c r="F78">
        <v>0.15984630163304517</v>
      </c>
    </row>
    <row r="79" spans="1:6" x14ac:dyDescent="0.2">
      <c r="A79" t="s">
        <v>682</v>
      </c>
      <c r="B79">
        <v>33</v>
      </c>
      <c r="C79" t="s">
        <v>645</v>
      </c>
      <c r="D79">
        <v>43.71</v>
      </c>
      <c r="E79">
        <v>-8.3399999999999963</v>
      </c>
      <c r="F79">
        <v>0.1602305475504322</v>
      </c>
    </row>
    <row r="80" spans="1:6" x14ac:dyDescent="0.2">
      <c r="A80" t="s">
        <v>682</v>
      </c>
      <c r="B80">
        <v>34</v>
      </c>
      <c r="C80" t="s">
        <v>780</v>
      </c>
      <c r="D80">
        <v>43.28</v>
      </c>
      <c r="E80">
        <v>-8.769999999999996</v>
      </c>
      <c r="F80">
        <v>0.16849183477425544</v>
      </c>
    </row>
    <row r="81" spans="1:6" x14ac:dyDescent="0.2">
      <c r="A81" t="s">
        <v>682</v>
      </c>
      <c r="B81">
        <v>35</v>
      </c>
      <c r="C81" t="s">
        <v>399</v>
      </c>
      <c r="D81">
        <v>43.2</v>
      </c>
      <c r="E81">
        <v>-8.8499999999999943</v>
      </c>
      <c r="F81">
        <v>0.17002881844380394</v>
      </c>
    </row>
    <row r="82" spans="1:6" x14ac:dyDescent="0.2">
      <c r="A82" t="s">
        <v>682</v>
      </c>
      <c r="B82">
        <v>36</v>
      </c>
      <c r="C82" t="s">
        <v>474</v>
      </c>
      <c r="D82">
        <v>42.25</v>
      </c>
      <c r="E82">
        <v>-9.7999999999999972</v>
      </c>
      <c r="F82">
        <v>0.18828049951969256</v>
      </c>
    </row>
    <row r="83" spans="1:6" x14ac:dyDescent="0.2">
      <c r="A83" t="s">
        <v>682</v>
      </c>
      <c r="B83">
        <v>37</v>
      </c>
      <c r="C83" t="s">
        <v>362</v>
      </c>
      <c r="D83">
        <v>42.11</v>
      </c>
      <c r="E83">
        <v>-9.9399999999999977</v>
      </c>
      <c r="F83">
        <v>0.19097022094140245</v>
      </c>
    </row>
    <row r="84" spans="1:6" x14ac:dyDescent="0.2">
      <c r="A84" t="s">
        <v>682</v>
      </c>
      <c r="B84">
        <v>38</v>
      </c>
      <c r="C84" t="s">
        <v>363</v>
      </c>
      <c r="D84">
        <v>42.1</v>
      </c>
      <c r="E84">
        <v>-9.9499999999999957</v>
      </c>
      <c r="F84">
        <v>0.19116234390009598</v>
      </c>
    </row>
    <row r="85" spans="1:6" x14ac:dyDescent="0.2">
      <c r="A85" t="s">
        <v>682</v>
      </c>
      <c r="B85">
        <v>39</v>
      </c>
      <c r="C85" t="s">
        <v>408</v>
      </c>
      <c r="D85">
        <v>41.91</v>
      </c>
      <c r="E85">
        <v>-10.14</v>
      </c>
      <c r="F85">
        <v>0.19481268011527381</v>
      </c>
    </row>
    <row r="86" spans="1:6" x14ac:dyDescent="0.2">
      <c r="A86" t="s">
        <v>682</v>
      </c>
      <c r="B86">
        <v>42</v>
      </c>
      <c r="C86" t="s">
        <v>217</v>
      </c>
      <c r="D86">
        <v>39.93</v>
      </c>
      <c r="E86">
        <v>-12.119999999999997</v>
      </c>
      <c r="F86">
        <v>0.2328530259365994</v>
      </c>
    </row>
    <row r="87" spans="1:6" x14ac:dyDescent="0.2">
      <c r="A87" t="s">
        <v>682</v>
      </c>
      <c r="B87">
        <v>43</v>
      </c>
      <c r="C87" t="s">
        <v>221</v>
      </c>
      <c r="D87">
        <v>39.590000000000003</v>
      </c>
      <c r="E87">
        <v>-12.459999999999994</v>
      </c>
      <c r="F87">
        <v>0.23938520653218048</v>
      </c>
    </row>
    <row r="88" spans="1:6" x14ac:dyDescent="0.2">
      <c r="A88" t="s">
        <v>682</v>
      </c>
      <c r="B88">
        <v>44</v>
      </c>
      <c r="C88" t="s">
        <v>651</v>
      </c>
      <c r="D88">
        <v>38.9</v>
      </c>
      <c r="E88">
        <v>-13.149999999999999</v>
      </c>
      <c r="F88">
        <v>0.25264169068203651</v>
      </c>
    </row>
    <row r="89" spans="1:6" x14ac:dyDescent="0.2">
      <c r="A89" t="s">
        <v>682</v>
      </c>
      <c r="B89">
        <v>45</v>
      </c>
      <c r="C89" t="s">
        <v>781</v>
      </c>
      <c r="D89">
        <v>38.5</v>
      </c>
      <c r="E89">
        <v>-13.549999999999997</v>
      </c>
      <c r="F89">
        <v>0.260326609029779</v>
      </c>
    </row>
    <row r="90" spans="1:6" x14ac:dyDescent="0.2">
      <c r="A90" t="s">
        <v>682</v>
      </c>
      <c r="B90">
        <v>46</v>
      </c>
      <c r="C90" t="s">
        <v>785</v>
      </c>
      <c r="D90">
        <v>35.880000000000003</v>
      </c>
      <c r="E90">
        <v>-16.169999999999995</v>
      </c>
      <c r="F90">
        <v>0.31066282420749269</v>
      </c>
    </row>
    <row r="91" spans="1:6" x14ac:dyDescent="0.2">
      <c r="A91" t="s">
        <v>682</v>
      </c>
      <c r="B91">
        <v>47</v>
      </c>
      <c r="C91" t="s">
        <v>541</v>
      </c>
      <c r="D91">
        <v>35.15</v>
      </c>
      <c r="E91">
        <v>-16.899999999999999</v>
      </c>
      <c r="F91">
        <v>0.32468780019212296</v>
      </c>
    </row>
    <row r="92" spans="1:6" x14ac:dyDescent="0.2">
      <c r="A92" t="s">
        <v>682</v>
      </c>
      <c r="B92">
        <v>49</v>
      </c>
      <c r="C92" t="s">
        <v>9</v>
      </c>
      <c r="D92">
        <v>35</v>
      </c>
      <c r="E92">
        <v>-17.049999999999997</v>
      </c>
      <c r="F92">
        <v>0.32756964457252635</v>
      </c>
    </row>
    <row r="93" spans="1:6" x14ac:dyDescent="0.2">
      <c r="A93" t="s">
        <v>682</v>
      </c>
      <c r="B93">
        <v>50</v>
      </c>
      <c r="C93" t="s">
        <v>783</v>
      </c>
      <c r="D93">
        <v>31.85</v>
      </c>
      <c r="E93">
        <v>-20.199999999999996</v>
      </c>
      <c r="F93">
        <v>0.38808837656099898</v>
      </c>
    </row>
    <row r="94" spans="1:6" x14ac:dyDescent="0.2">
      <c r="A94" t="s">
        <v>682</v>
      </c>
      <c r="B94">
        <v>51</v>
      </c>
      <c r="C94" t="s">
        <v>411</v>
      </c>
      <c r="D94">
        <v>29.45</v>
      </c>
      <c r="E94">
        <v>-22.599999999999998</v>
      </c>
      <c r="F94">
        <v>0.43419788664745435</v>
      </c>
    </row>
  </sheetData>
  <phoneticPr fontId="9" type="noConversion"/>
  <pageMargins left="0.7" right="0.7" top="0.75" bottom="0.75" header="0.3" footer="0.3"/>
  <tableParts count="6">
    <tablePart r:id="rId1"/>
    <tablePart r:id="rId2"/>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Y111"/>
  <sheetViews>
    <sheetView showGridLines="0" workbookViewId="0">
      <selection activeCell="A26" sqref="A26:XFD26"/>
    </sheetView>
  </sheetViews>
  <sheetFormatPr baseColWidth="10" defaultRowHeight="12" x14ac:dyDescent="0.2"/>
  <cols>
    <col min="1" max="1" width="28.5703125" bestFit="1" customWidth="1"/>
    <col min="2" max="2" width="12" bestFit="1" customWidth="1"/>
    <col min="3" max="3" width="10.42578125" bestFit="1" customWidth="1"/>
    <col min="4" max="9" width="12" bestFit="1" customWidth="1"/>
    <col min="10" max="10" width="10.5703125" style="4" bestFit="1" customWidth="1"/>
    <col min="11" max="11" width="12.85546875" style="4" bestFit="1" customWidth="1"/>
    <col min="12" max="12" width="31.140625" bestFit="1" customWidth="1"/>
  </cols>
  <sheetData>
    <row r="1" spans="1:25" x14ac:dyDescent="0.2">
      <c r="A1" t="s">
        <v>0</v>
      </c>
      <c r="B1" t="s">
        <v>99</v>
      </c>
      <c r="C1" t="s">
        <v>266</v>
      </c>
      <c r="D1" t="s">
        <v>417</v>
      </c>
      <c r="E1" t="s">
        <v>146</v>
      </c>
      <c r="F1" t="s">
        <v>563</v>
      </c>
      <c r="G1" t="s">
        <v>682</v>
      </c>
      <c r="H1" t="s">
        <v>820</v>
      </c>
      <c r="I1" t="s">
        <v>967</v>
      </c>
      <c r="J1" s="62" t="s">
        <v>558</v>
      </c>
      <c r="K1" s="62" t="s">
        <v>667</v>
      </c>
      <c r="L1" s="61" t="s">
        <v>560</v>
      </c>
    </row>
    <row r="2" spans="1:25" x14ac:dyDescent="0.2">
      <c r="A2" s="153" t="s">
        <v>336</v>
      </c>
      <c r="B2" s="153">
        <v>3.2388663967611225E-2</v>
      </c>
      <c r="C2" s="153">
        <v>0.73000000000000009</v>
      </c>
      <c r="D2" s="153">
        <v>0.16863905325443776</v>
      </c>
      <c r="E2" s="47">
        <v>0.49963423555230435</v>
      </c>
      <c r="F2" s="47">
        <v>1.2828947368420955E-2</v>
      </c>
      <c r="G2">
        <v>8.3452211126961481E-2</v>
      </c>
      <c r="H2">
        <v>2.0605725349190911E-2</v>
      </c>
      <c r="I2">
        <v>0.1762803234501347</v>
      </c>
      <c r="J2" s="85">
        <f>$Y$2- COUNTIF(acumulado_porcentaje[[#This Row],[Ene 2024]:[Ago 2024]],"")</f>
        <v>8</v>
      </c>
      <c r="K2"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0.49419492451675695</v>
      </c>
      <c r="L2" t="str">
        <f>acumulado_porcentaje[[#This Row],[Nombre ]]&amp;" ("&amp;acumulado_porcentaje[[#This Row],[contar]]&amp;")"</f>
        <v>Javier Revuelta Alonso (8)</v>
      </c>
      <c r="N2" s="72">
        <f>LARGE(B1:I2,1)</f>
        <v>0.73000000000000009</v>
      </c>
      <c r="O2" s="72">
        <f>LARGE(acumulado_porcentaje[[#This Row],[Ene 2024]:[Ago 2024]],2)</f>
        <v>0.49963423555230435</v>
      </c>
      <c r="P2" s="45"/>
      <c r="Q2" s="45"/>
      <c r="R2" s="45"/>
      <c r="T2" s="57" t="str">
        <f>Y3&amp;" mejores resultados hasta el "&amp;jul!H1&amp;" de julio incluído*"</f>
        <v>6 mejores resultados hasta el 31 de julio incluído*</v>
      </c>
      <c r="X2" t="s">
        <v>816</v>
      </c>
      <c r="Y2" s="65">
        <v>8</v>
      </c>
    </row>
    <row r="3" spans="1:25" x14ac:dyDescent="0.2">
      <c r="A3" s="153" t="s">
        <v>222</v>
      </c>
      <c r="B3" s="153">
        <v>8.7719298245612885E-3</v>
      </c>
      <c r="C3" s="153">
        <v>0.84699999999999986</v>
      </c>
      <c r="D3" s="153">
        <v>0.50394477317554232</v>
      </c>
      <c r="E3" s="47">
        <v>0.35332845647403072</v>
      </c>
      <c r="F3" s="47">
        <v>0.13980263157894737</v>
      </c>
      <c r="G3">
        <v>0.14728958630527814</v>
      </c>
      <c r="H3">
        <v>3.1945788964182022E-2</v>
      </c>
      <c r="I3">
        <v>0.12021563342318066</v>
      </c>
      <c r="J3" s="85">
        <f>$Y$2- COUNTIF(acumulado_porcentaje[[#This Row],[Ene 2024]:[Ago 2024]],"")</f>
        <v>8</v>
      </c>
      <c r="K3"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0.80135402657018018</v>
      </c>
      <c r="L3" t="str">
        <f>acumulado_porcentaje[[#This Row],[Nombre ]]&amp;" ("&amp;acumulado_porcentaje[[#This Row],[contar]]&amp;")"</f>
        <v>Jose F Vidal (8)</v>
      </c>
      <c r="N3" s="72"/>
      <c r="O3" s="72"/>
      <c r="P3" s="45"/>
      <c r="Q3" s="45"/>
      <c r="R3" s="45"/>
      <c r="X3" t="s">
        <v>829</v>
      </c>
      <c r="Y3" s="4">
        <f>Y2-2</f>
        <v>6</v>
      </c>
    </row>
    <row r="4" spans="1:25" x14ac:dyDescent="0.2">
      <c r="A4" s="153" t="s">
        <v>381</v>
      </c>
      <c r="B4" s="153">
        <v>3.2388663967611413E-2</v>
      </c>
      <c r="C4" s="153">
        <v>0.50050000000000006</v>
      </c>
      <c r="D4" s="153"/>
      <c r="E4" s="47"/>
      <c r="F4" s="47">
        <v>9.3092105263157837E-2</v>
      </c>
      <c r="G4">
        <v>5.5813124108416469E-2</v>
      </c>
      <c r="H4">
        <v>2.2541833771262555E-2</v>
      </c>
      <c r="I4">
        <v>0.19094339622641501</v>
      </c>
      <c r="J4" s="85">
        <f>$Y$2- COUNTIF(acumulado_porcentaje[[#This Row],[Ene 2024]:[Ago 2024]],"")</f>
        <v>6</v>
      </c>
      <c r="K4"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0.89527912333686333</v>
      </c>
      <c r="L4" t="str">
        <f>acumulado_porcentaje[[#This Row],[Nombre ]]&amp;" ("&amp;acumulado_porcentaje[[#This Row],[contar]]&amp;")"</f>
        <v>Roberto Cavero García (6)</v>
      </c>
      <c r="N4" s="72"/>
      <c r="O4" s="72"/>
      <c r="P4" s="45"/>
      <c r="Q4" s="45"/>
      <c r="R4" s="45"/>
    </row>
    <row r="5" spans="1:25" x14ac:dyDescent="0.2">
      <c r="A5" s="153" t="s">
        <v>406</v>
      </c>
      <c r="B5" s="153">
        <v>1.2145748987854329E-2</v>
      </c>
      <c r="C5" s="153">
        <v>0.625</v>
      </c>
      <c r="D5" s="153">
        <v>0.57790927021696248</v>
      </c>
      <c r="E5" s="47">
        <v>1.0848573518653988</v>
      </c>
      <c r="F5" s="47">
        <v>0.17763157894736839</v>
      </c>
      <c r="G5">
        <v>1.9258202567760313E-2</v>
      </c>
      <c r="H5">
        <v>5.9604480708062541E-2</v>
      </c>
      <c r="I5">
        <v>0.15902964959568733</v>
      </c>
      <c r="J5" s="85">
        <f>$Y$2- COUNTIF(acumulado_porcentaje[[#This Row],[Ene 2024]:[Ago 2024]],"")</f>
        <v>8</v>
      </c>
      <c r="K5"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1.0055789310236953</v>
      </c>
      <c r="L5" t="str">
        <f>acumulado_porcentaje[[#This Row],[Nombre ]]&amp;" ("&amp;acumulado_porcentaje[[#This Row],[contar]]&amp;")"</f>
        <v>Javier Pérez Salazar (8)</v>
      </c>
      <c r="N5" s="72"/>
      <c r="O5" s="72"/>
      <c r="P5" s="45"/>
      <c r="Q5" s="45"/>
      <c r="R5" s="45"/>
    </row>
    <row r="6" spans="1:25" x14ac:dyDescent="0.2">
      <c r="A6" s="153" t="s">
        <v>408</v>
      </c>
      <c r="B6" s="153">
        <v>3.8731443994601759E-2</v>
      </c>
      <c r="C6" s="153">
        <v>0.8932500000000001</v>
      </c>
      <c r="D6" s="153">
        <v>0.64250493096646943</v>
      </c>
      <c r="E6" s="47">
        <v>0.77249451353328458</v>
      </c>
      <c r="F6" s="47">
        <v>2.6315789473684119E-2</v>
      </c>
      <c r="G6">
        <v>0.25267475035663339</v>
      </c>
      <c r="H6">
        <v>2.9871387083390908E-2</v>
      </c>
      <c r="I6">
        <v>0.17778975741239886</v>
      </c>
      <c r="J6" s="85">
        <f>$Y$2- COUNTIF(acumulado_porcentaje[[#This Row],[Ene 2024]:[Ago 2024]],"")</f>
        <v>8</v>
      </c>
      <c r="K6"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1.1678880592871785</v>
      </c>
      <c r="L6" t="str">
        <f>acumulado_porcentaje[[#This Row],[Nombre ]]&amp;" ("&amp;acumulado_porcentaje[[#This Row],[contar]]&amp;")"</f>
        <v>Julián Mateo Muñoz (8)</v>
      </c>
      <c r="N6" s="72"/>
      <c r="O6" s="72"/>
      <c r="P6" s="45"/>
      <c r="Q6" s="45"/>
      <c r="R6" s="45"/>
    </row>
    <row r="7" spans="1:25" x14ac:dyDescent="0.2">
      <c r="A7" s="153" t="s">
        <v>409</v>
      </c>
      <c r="B7" s="153">
        <v>0.10242914979757091</v>
      </c>
      <c r="C7" s="153">
        <v>0.74050000000000016</v>
      </c>
      <c r="D7" s="153">
        <v>1.7460552268244574</v>
      </c>
      <c r="E7" s="47">
        <v>1.7468910021945863</v>
      </c>
      <c r="F7" s="47">
        <v>2.335526315789465E-2</v>
      </c>
      <c r="G7">
        <v>6.3837375178316669E-2</v>
      </c>
      <c r="H7">
        <v>3.8168994606555179E-2</v>
      </c>
      <c r="I7">
        <v>0.24539083557951488</v>
      </c>
      <c r="J7" s="85">
        <f>$Y$2- COUNTIF(acumulado_porcentaje[[#This Row],[Ene 2024]:[Ago 2024]],"")</f>
        <v>8</v>
      </c>
      <c r="K7"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1.2136816183198524</v>
      </c>
      <c r="L7" t="str">
        <f>acumulado_porcentaje[[#This Row],[Nombre ]]&amp;" ("&amp;acumulado_porcentaje[[#This Row],[contar]]&amp;")"</f>
        <v>Gladys Rocha Blanco (8)</v>
      </c>
      <c r="N7" s="72"/>
      <c r="O7" s="72"/>
      <c r="P7" s="45"/>
      <c r="Q7" s="45"/>
      <c r="R7" s="45"/>
    </row>
    <row r="8" spans="1:25" x14ac:dyDescent="0.2">
      <c r="A8" s="153" t="s">
        <v>219</v>
      </c>
      <c r="B8" s="153">
        <v>0.18866396761133611</v>
      </c>
      <c r="C8" s="153">
        <v>0.74224999999999997</v>
      </c>
      <c r="D8" s="153">
        <v>0.80769230769230738</v>
      </c>
      <c r="E8" s="47"/>
      <c r="F8" s="47">
        <v>9.703947368421062E-2</v>
      </c>
      <c r="G8">
        <v>4.992867332382319E-2</v>
      </c>
      <c r="H8">
        <v>7.7997510717743052E-2</v>
      </c>
      <c r="I8">
        <v>0.13757412398921839</v>
      </c>
      <c r="J8" s="85">
        <f>$Y$2- COUNTIF(acumulado_porcentaje[[#This Row],[Ene 2024]:[Ago 2024]],"")</f>
        <v>7</v>
      </c>
      <c r="K8"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1.2934537493263312</v>
      </c>
      <c r="L8" t="str">
        <f>acumulado_porcentaje[[#This Row],[Nombre ]]&amp;" ("&amp;acumulado_porcentaje[[#This Row],[contar]]&amp;")"</f>
        <v>Jaime Larrañaga Juez (7)</v>
      </c>
      <c r="N8" s="72"/>
      <c r="O8" s="72"/>
      <c r="P8" s="45"/>
      <c r="Q8" s="45"/>
      <c r="R8" s="45"/>
    </row>
    <row r="9" spans="1:25" x14ac:dyDescent="0.2">
      <c r="A9" s="153" t="s">
        <v>474</v>
      </c>
      <c r="B9" s="153"/>
      <c r="C9" s="153"/>
      <c r="D9" s="153">
        <v>5.9171597633134827E-3</v>
      </c>
      <c r="E9" s="47">
        <v>0.64594001463057793</v>
      </c>
      <c r="F9" s="47">
        <v>0.15460526315789483</v>
      </c>
      <c r="G9">
        <v>0.24661198288159769</v>
      </c>
      <c r="H9">
        <v>6.3061817176047599E-2</v>
      </c>
      <c r="I9">
        <v>0.19385444743935315</v>
      </c>
      <c r="J9" s="85">
        <f>$Y$2- COUNTIF(acumulado_porcentaje[[#This Row],[Ene 2024]:[Ago 2024]],"")</f>
        <v>6</v>
      </c>
      <c r="K9"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1.3099906850487848</v>
      </c>
      <c r="L9" t="str">
        <f>acumulado_porcentaje[[#This Row],[Nombre ]]&amp;" ("&amp;acumulado_porcentaje[[#This Row],[contar]]&amp;")"</f>
        <v>Javier Colón Cortegoso (6)</v>
      </c>
      <c r="N9" s="72"/>
      <c r="O9" s="72"/>
      <c r="P9" s="45"/>
      <c r="Q9" s="45"/>
      <c r="R9" s="45"/>
    </row>
    <row r="10" spans="1:25" x14ac:dyDescent="0.2">
      <c r="A10" s="153" t="s">
        <v>363</v>
      </c>
      <c r="B10" s="153">
        <v>4.4534412955465549E-2</v>
      </c>
      <c r="C10" s="153">
        <v>0.63500000000000012</v>
      </c>
      <c r="D10" s="153">
        <v>0.46942800788954631</v>
      </c>
      <c r="E10" s="47">
        <v>0.66788588149231898</v>
      </c>
      <c r="F10" s="47">
        <v>0.28947368421052622</v>
      </c>
      <c r="G10">
        <v>0.24928673323823106</v>
      </c>
      <c r="H10">
        <v>4.8541004010510369E-2</v>
      </c>
      <c r="I10">
        <v>0.23234501347708891</v>
      </c>
      <c r="J10" s="85">
        <f>$Y$2- COUNTIF(acumulado_porcentaje[[#This Row],[Ene 2024]:[Ago 2024]],"")</f>
        <v>8</v>
      </c>
      <c r="K10"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1.3336088557813683</v>
      </c>
      <c r="L10" t="str">
        <f>acumulado_porcentaje[[#This Row],[Nombre ]]&amp;" ("&amp;acumulado_porcentaje[[#This Row],[contar]]&amp;")"</f>
        <v>Roque Alonso Alonso (8)</v>
      </c>
      <c r="N10" s="72"/>
      <c r="O10" s="72"/>
      <c r="P10" s="45"/>
      <c r="Q10" s="45"/>
      <c r="R10" s="45"/>
    </row>
    <row r="11" spans="1:25" x14ac:dyDescent="0.2">
      <c r="A11" s="153" t="s">
        <v>362</v>
      </c>
      <c r="B11" s="153">
        <v>2.6990553306343165E-3</v>
      </c>
      <c r="C11" s="153">
        <v>0.74624999999999986</v>
      </c>
      <c r="D11" s="153">
        <v>0.75542406311637078</v>
      </c>
      <c r="E11" s="47">
        <v>0.77029992684711046</v>
      </c>
      <c r="F11" s="47">
        <v>6.907894736842099E-2</v>
      </c>
      <c r="G11">
        <v>0.24910841654778887</v>
      </c>
      <c r="H11">
        <v>9.7496888397178766E-2</v>
      </c>
      <c r="I11">
        <v>0.19342318059299188</v>
      </c>
      <c r="J11" s="85">
        <f>$Y$2- COUNTIF(acumulado_porcentaje[[#This Row],[Ene 2024]:[Ago 2024]],"")</f>
        <v>8</v>
      </c>
      <c r="K11"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1.3580564882370147</v>
      </c>
      <c r="L11" t="str">
        <f>acumulado_porcentaje[[#This Row],[Nombre ]]&amp;" ("&amp;acumulado_porcentaje[[#This Row],[contar]]&amp;")"</f>
        <v>Inés Monroy (8)</v>
      </c>
      <c r="N11" s="72"/>
      <c r="O11" s="72"/>
      <c r="P11" s="45"/>
      <c r="Q11" s="45"/>
      <c r="R11" s="45"/>
    </row>
    <row r="12" spans="1:25" x14ac:dyDescent="0.2">
      <c r="A12" s="153" t="s">
        <v>221</v>
      </c>
      <c r="B12" s="153">
        <v>5.6410256410256508E-2</v>
      </c>
      <c r="C12" s="153">
        <v>0.48249999999999993</v>
      </c>
      <c r="D12" s="153">
        <v>0.15828402366863892</v>
      </c>
      <c r="E12" s="47">
        <v>0.42648134601316751</v>
      </c>
      <c r="F12" s="47">
        <v>0.17993421052631575</v>
      </c>
      <c r="G12">
        <v>0.29404422253922957</v>
      </c>
      <c r="I12">
        <v>0.25498652291105128</v>
      </c>
      <c r="J12" s="85">
        <f>$Y$2- COUNTIF(acumulado_porcentaje[[#This Row],[Ene 2024]:[Ago 2024]],"")</f>
        <v>7</v>
      </c>
      <c r="K12"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1.3701405820686596</v>
      </c>
      <c r="L12" t="str">
        <f>acumulado_porcentaje[[#This Row],[Nombre ]]&amp;" ("&amp;acumulado_porcentaje[[#This Row],[contar]]&amp;")"</f>
        <v>Alfonso Lezcano (7)</v>
      </c>
      <c r="N12" s="72"/>
      <c r="O12" s="72"/>
      <c r="P12" s="45"/>
      <c r="Q12" s="45"/>
      <c r="R12" s="45"/>
    </row>
    <row r="13" spans="1:25" x14ac:dyDescent="0.2">
      <c r="A13" s="153" t="s">
        <v>218</v>
      </c>
      <c r="B13" s="153">
        <v>0.15249662618083687</v>
      </c>
      <c r="C13" s="153">
        <v>0.61149999999999982</v>
      </c>
      <c r="D13" s="153">
        <v>0.30670611439842199</v>
      </c>
      <c r="E13" s="47">
        <v>0.89465983906364288</v>
      </c>
      <c r="F13" s="47">
        <v>0.49013157894736842</v>
      </c>
      <c r="G13">
        <v>0.23038516405135526</v>
      </c>
      <c r="H13">
        <v>7.4540174249757993E-2</v>
      </c>
      <c r="I13">
        <v>0.16226415094339619</v>
      </c>
      <c r="J13" s="85">
        <f>$Y$2- COUNTIF(acumulado_porcentaje[[#This Row],[Ene 2024]:[Ago 2024]],"")</f>
        <v>8</v>
      </c>
      <c r="K13"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1.4165238087711367</v>
      </c>
      <c r="L13" t="str">
        <f>acumulado_porcentaje[[#This Row],[Nombre ]]&amp;" ("&amp;acumulado_porcentaje[[#This Row],[contar]]&amp;")"</f>
        <v>Jorge Antonio González Sánchez (8)</v>
      </c>
      <c r="N13" s="72"/>
      <c r="O13" s="72"/>
      <c r="P13" s="45"/>
      <c r="Q13" s="45"/>
      <c r="R13" s="45"/>
    </row>
    <row r="14" spans="1:25" x14ac:dyDescent="0.2">
      <c r="A14" s="153" t="s">
        <v>215</v>
      </c>
      <c r="B14" s="153">
        <v>4.8582995951417123E-2</v>
      </c>
      <c r="C14" s="153">
        <v>0.72375000000000012</v>
      </c>
      <c r="D14" s="153"/>
      <c r="E14" s="47">
        <v>2.2553035844915872</v>
      </c>
      <c r="F14" s="47">
        <v>0.35197368421052644</v>
      </c>
      <c r="G14">
        <v>9.4507845934379657E-3</v>
      </c>
      <c r="H14">
        <v>6.3753284469644581E-2</v>
      </c>
      <c r="I14">
        <v>0.23773584905660375</v>
      </c>
      <c r="J14" s="85">
        <f>$Y$2- COUNTIF(acumulado_porcentaje[[#This Row],[Ene 2024]:[Ago 2024]],"")</f>
        <v>7</v>
      </c>
      <c r="K14"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1.43524659828163</v>
      </c>
      <c r="L14" t="str">
        <f>acumulado_porcentaje[[#This Row],[Nombre ]]&amp;" ("&amp;acumulado_porcentaje[[#This Row],[contar]]&amp;")"</f>
        <v>Carles Estruch Puig (7)</v>
      </c>
      <c r="N14" s="72"/>
      <c r="O14" s="72"/>
      <c r="P14" s="45"/>
      <c r="Q14" s="45"/>
      <c r="R14" s="45"/>
    </row>
    <row r="15" spans="1:25" x14ac:dyDescent="0.2">
      <c r="A15" s="153" t="s">
        <v>414</v>
      </c>
      <c r="B15" s="153"/>
      <c r="C15" s="153">
        <v>0.6087499999999999</v>
      </c>
      <c r="D15" s="153">
        <v>0.74211045364891504</v>
      </c>
      <c r="E15" s="47">
        <v>0.71982443306510624</v>
      </c>
      <c r="F15" s="47">
        <v>7.5657894736842021E-2</v>
      </c>
      <c r="G15">
        <v>5.1355206847360835E-2</v>
      </c>
      <c r="H15">
        <v>1.3829345871947332E-4</v>
      </c>
      <c r="I15">
        <v>0.19892183288409707</v>
      </c>
      <c r="J15" s="85">
        <f>$Y$2- COUNTIF(acumulado_porcentaje[[#This Row],[Ene 2024]:[Ago 2024]],"")</f>
        <v>7</v>
      </c>
      <c r="K15"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1.6546476609921257</v>
      </c>
      <c r="L15" t="str">
        <f>acumulado_porcentaje[[#This Row],[Nombre ]]&amp;" ("&amp;acumulado_porcentaje[[#This Row],[contar]]&amp;")"</f>
        <v>Laura Gómez López (7)</v>
      </c>
      <c r="N15" s="72"/>
      <c r="O15" s="72"/>
      <c r="P15" s="45"/>
      <c r="Q15" s="45"/>
      <c r="R15" s="45"/>
    </row>
    <row r="16" spans="1:25" x14ac:dyDescent="0.2">
      <c r="A16" s="153" t="s">
        <v>543</v>
      </c>
      <c r="B16" s="153"/>
      <c r="C16" s="153">
        <v>0.68</v>
      </c>
      <c r="D16" s="153">
        <v>0.34319526627218921</v>
      </c>
      <c r="E16" s="47">
        <v>0.39502560351133875</v>
      </c>
      <c r="F16" s="47">
        <v>5.8552631578947294E-2</v>
      </c>
      <c r="G16">
        <v>0.12107703281027103</v>
      </c>
      <c r="H16">
        <v>7.8135804176462528E-2</v>
      </c>
      <c r="J16" s="85">
        <f>$Y$2- COUNTIF(acumulado_porcentaje[[#This Row],[Ene 2024]:[Ago 2024]],"")</f>
        <v>6</v>
      </c>
      <c r="K16"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1.6759863383492088</v>
      </c>
      <c r="L16" t="str">
        <f>acumulado_porcentaje[[#This Row],[Nombre ]]&amp;" ("&amp;acumulado_porcentaje[[#This Row],[contar]]&amp;")"</f>
        <v>Roberto Parro Cortés (6)</v>
      </c>
      <c r="N16" s="72"/>
      <c r="O16" s="72"/>
      <c r="P16" s="45"/>
      <c r="Q16" s="45"/>
      <c r="R16" s="45"/>
    </row>
    <row r="17" spans="1:18" x14ac:dyDescent="0.2">
      <c r="A17" s="153" t="s">
        <v>217</v>
      </c>
      <c r="B17" s="153">
        <v>0.19703103913630224</v>
      </c>
      <c r="C17" s="153">
        <v>0.74899999999999989</v>
      </c>
      <c r="D17" s="153">
        <v>1.2194280078895461</v>
      </c>
      <c r="E17" s="47">
        <v>1.4381858083394292</v>
      </c>
      <c r="F17" s="86">
        <v>9.6381578947368415E-2</v>
      </c>
      <c r="G17">
        <v>0.28798145506419398</v>
      </c>
      <c r="H17">
        <v>6.1125708753975959E-2</v>
      </c>
      <c r="I17">
        <v>0.29455525606468996</v>
      </c>
      <c r="J17" s="85">
        <f>$Y$2- COUNTIF(acumulado_porcentaje[[#This Row],[Ene 2024]:[Ago 2024]],"")</f>
        <v>8</v>
      </c>
      <c r="K17"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1.6860750379665306</v>
      </c>
      <c r="L17" t="str">
        <f>acumulado_porcentaje[[#This Row],[Nombre ]]&amp;" ("&amp;acumulado_porcentaje[[#This Row],[contar]]&amp;")"</f>
        <v>Fernando Sánchez-Rey Maeso (8)</v>
      </c>
      <c r="N17" s="72"/>
      <c r="O17" s="72"/>
      <c r="P17" s="45"/>
      <c r="Q17" s="45"/>
      <c r="R17" s="45"/>
    </row>
    <row r="18" spans="1:18" x14ac:dyDescent="0.2">
      <c r="A18" s="153" t="s">
        <v>225</v>
      </c>
      <c r="B18" s="153">
        <v>0.15141700404858299</v>
      </c>
      <c r="C18" s="153">
        <v>0.80625000000000002</v>
      </c>
      <c r="D18" s="153">
        <v>1.2795857988165678</v>
      </c>
      <c r="E18" s="47">
        <v>0.70592538405267014</v>
      </c>
      <c r="F18" s="47">
        <v>0.63453947368421049</v>
      </c>
      <c r="G18">
        <v>9.4151212553495026E-2</v>
      </c>
      <c r="H18">
        <v>7.0529663946896021E-3</v>
      </c>
      <c r="I18">
        <v>0.19353099730458223</v>
      </c>
      <c r="J18" s="85">
        <f>$Y$2- COUNTIF(acumulado_porcentaje[[#This Row],[Ene 2024]:[Ago 2024]],"")</f>
        <v>8</v>
      </c>
      <c r="K18"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1.7866170380382305</v>
      </c>
      <c r="L18" t="str">
        <f>acumulado_porcentaje[[#This Row],[Nombre ]]&amp;" ("&amp;acumulado_porcentaje[[#This Row],[contar]]&amp;")"</f>
        <v>Elena Muñoz Vioque (8)</v>
      </c>
      <c r="N18" s="72"/>
      <c r="O18" s="72"/>
      <c r="P18" s="45"/>
      <c r="Q18" s="45"/>
      <c r="R18" s="45"/>
    </row>
    <row r="19" spans="1:18" x14ac:dyDescent="0.2">
      <c r="A19" s="153" t="s">
        <v>9</v>
      </c>
      <c r="B19" s="153">
        <v>7.9622132253711286E-2</v>
      </c>
      <c r="C19" s="153">
        <v>0.7</v>
      </c>
      <c r="D19" s="153">
        <v>1.2189349112426033</v>
      </c>
      <c r="E19" s="47">
        <v>1.9261155815654718</v>
      </c>
      <c r="F19" s="47">
        <v>0.15131578947368426</v>
      </c>
      <c r="G19">
        <v>0.37589158345221113</v>
      </c>
      <c r="H19">
        <v>0.17023924768358459</v>
      </c>
      <c r="I19">
        <v>0.35309973045822102</v>
      </c>
      <c r="J19" s="85">
        <f>$Y$2- COUNTIF(acumulado_porcentaje[[#This Row],[Ene 2024]:[Ago 2024]],"")</f>
        <v>8</v>
      </c>
      <c r="K19"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1.8301684833214122</v>
      </c>
      <c r="L19" t="str">
        <f>acumulado_porcentaje[[#This Row],[Nombre ]]&amp;" ("&amp;acumulado_porcentaje[[#This Row],[contar]]&amp;")"</f>
        <v>Alfonso Zárate Conde (8)</v>
      </c>
      <c r="N19" s="72"/>
      <c r="O19" s="72"/>
      <c r="P19" s="45"/>
      <c r="Q19" s="45"/>
      <c r="R19" s="45"/>
    </row>
    <row r="20" spans="1:18" x14ac:dyDescent="0.2">
      <c r="A20" s="153" t="s">
        <v>412</v>
      </c>
      <c r="B20" s="153">
        <v>9.4197031039136361E-2</v>
      </c>
      <c r="C20" s="153">
        <v>0.99499999999999988</v>
      </c>
      <c r="D20" s="153">
        <v>2.0414201183431953</v>
      </c>
      <c r="E20" s="47">
        <v>5.5032918800292618</v>
      </c>
      <c r="F20" s="47">
        <v>0.59868421052631593</v>
      </c>
      <c r="G20">
        <v>3.3166904422253916E-2</v>
      </c>
      <c r="H20">
        <v>3.0839441294426829E-2</v>
      </c>
      <c r="I20">
        <v>0.16334231805929925</v>
      </c>
      <c r="J20" s="85">
        <f>$Y$2- COUNTIF(acumulado_porcentaje[[#This Row],[Ene 2024]:[Ago 2024]],"")</f>
        <v>8</v>
      </c>
      <c r="K20"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1.9152299053414321</v>
      </c>
      <c r="L20" t="str">
        <f>acumulado_porcentaje[[#This Row],[Nombre ]]&amp;" ("&amp;acumulado_porcentaje[[#This Row],[contar]]&amp;")"</f>
        <v>Jose Manuel Otero López (8)</v>
      </c>
      <c r="N20" s="72"/>
      <c r="O20" s="72"/>
      <c r="P20" s="45"/>
      <c r="Q20" s="45"/>
      <c r="R20" s="45"/>
    </row>
    <row r="21" spans="1:18" x14ac:dyDescent="0.2">
      <c r="A21" s="153" t="s">
        <v>242</v>
      </c>
      <c r="B21" s="153">
        <v>0.18353576248313083</v>
      </c>
      <c r="C21" s="153"/>
      <c r="D21" s="153"/>
      <c r="E21" s="47">
        <v>0.60936356986100948</v>
      </c>
      <c r="F21" s="47">
        <v>0.75328947368421051</v>
      </c>
      <c r="G21">
        <v>0.17082738944365189</v>
      </c>
      <c r="H21">
        <v>8.0348499515972921E-2</v>
      </c>
      <c r="I21">
        <v>0.17520215633423181</v>
      </c>
      <c r="J21" s="85">
        <f>$Y$2- COUNTIF(acumulado_porcentaje[[#This Row],[Ene 2024]:[Ago 2024]],"")</f>
        <v>6</v>
      </c>
      <c r="K21"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1.9725668513222074</v>
      </c>
      <c r="L21" t="str">
        <f>acumulado_porcentaje[[#This Row],[Nombre ]]&amp;" ("&amp;acumulado_porcentaje[[#This Row],[contar]]&amp;")"</f>
        <v>Javier Espelta (6)</v>
      </c>
      <c r="N21" s="72"/>
      <c r="O21" s="72"/>
      <c r="P21" s="45"/>
      <c r="Q21" s="45"/>
      <c r="R21" s="45"/>
    </row>
    <row r="22" spans="1:18" x14ac:dyDescent="0.2">
      <c r="A22" s="153" t="s">
        <v>401</v>
      </c>
      <c r="B22" s="153">
        <v>0.17543859649122809</v>
      </c>
      <c r="C22" s="153">
        <v>0.875</v>
      </c>
      <c r="D22" s="153">
        <v>1.7120315581854042</v>
      </c>
      <c r="E22" s="47">
        <v>2.4711046086320412</v>
      </c>
      <c r="F22" s="47">
        <v>0.70789473684210513</v>
      </c>
      <c r="G22">
        <v>2.710413694721819E-2</v>
      </c>
      <c r="H22">
        <v>5.7668372285990893E-2</v>
      </c>
      <c r="I22">
        <v>0.14835579514824804</v>
      </c>
      <c r="J22" s="85">
        <f>$Y$2- COUNTIF(acumulado_porcentaje[[#This Row],[Ene 2024]:[Ago 2024]],"")</f>
        <v>8</v>
      </c>
      <c r="K22"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1.9914616377147905</v>
      </c>
      <c r="L22" t="str">
        <f>acumulado_porcentaje[[#This Row],[Nombre ]]&amp;" ("&amp;acumulado_porcentaje[[#This Row],[contar]]&amp;")"</f>
        <v>Juan Pedro Conejo Sanchez (8)</v>
      </c>
      <c r="N22" s="72"/>
      <c r="O22" s="72"/>
      <c r="P22" s="45"/>
      <c r="Q22" s="45"/>
      <c r="R22" s="45"/>
    </row>
    <row r="23" spans="1:18" x14ac:dyDescent="0.2">
      <c r="A23" s="153" t="s">
        <v>328</v>
      </c>
      <c r="B23" s="153"/>
      <c r="C23" s="153">
        <v>0.63000000000000012</v>
      </c>
      <c r="D23" s="153"/>
      <c r="E23" s="47">
        <v>1.0190197512801757</v>
      </c>
      <c r="F23" s="47">
        <v>1.3157894736842059E-2</v>
      </c>
      <c r="G23">
        <v>5.2068473609129848E-2</v>
      </c>
      <c r="H23">
        <v>8.588023786474891E-2</v>
      </c>
      <c r="I23">
        <v>0.20916442048517525</v>
      </c>
      <c r="J23" s="85">
        <f>$Y$2- COUNTIF(acumulado_porcentaje[[#This Row],[Ene 2024]:[Ago 2024]],"")</f>
        <v>6</v>
      </c>
      <c r="K23"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2.009290777976072</v>
      </c>
      <c r="L23" t="str">
        <f>acumulado_porcentaje[[#This Row],[Nombre ]]&amp;" ("&amp;acumulado_porcentaje[[#This Row],[contar]]&amp;")"</f>
        <v>Aitor Folch (6)</v>
      </c>
      <c r="N23" s="72"/>
      <c r="O23" s="72"/>
      <c r="P23" s="45"/>
      <c r="Q23" s="45"/>
      <c r="R23" s="45"/>
    </row>
    <row r="24" spans="1:18" x14ac:dyDescent="0.2">
      <c r="A24" s="153" t="s">
        <v>292</v>
      </c>
      <c r="B24" s="153"/>
      <c r="C24" s="153">
        <v>0.50250000000000006</v>
      </c>
      <c r="D24" s="153">
        <v>0.44970414201183417</v>
      </c>
      <c r="E24" s="47">
        <v>0.7483540599853693</v>
      </c>
      <c r="F24" s="47"/>
      <c r="G24">
        <v>0.21843794579172612</v>
      </c>
      <c r="H24">
        <v>6.7210620937629639E-2</v>
      </c>
      <c r="I24">
        <v>0.28991913746630726</v>
      </c>
      <c r="J24" s="85">
        <f>$Y$2- COUNTIF(acumulado_porcentaje[[#This Row],[Ene 2024]:[Ago 2024]],"")</f>
        <v>6</v>
      </c>
      <c r="K24"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2.2761259061928669</v>
      </c>
      <c r="L24" t="str">
        <f>acumulado_porcentaje[[#This Row],[Nombre ]]&amp;" ("&amp;acumulado_porcentaje[[#This Row],[contar]]&amp;")"</f>
        <v>Oscar Mulas Crespo (6)</v>
      </c>
      <c r="N24" s="72"/>
      <c r="O24" s="72"/>
      <c r="P24" s="45"/>
      <c r="Q24" s="45"/>
      <c r="R24" s="45"/>
    </row>
    <row r="25" spans="1:18" x14ac:dyDescent="0.2">
      <c r="A25" s="153" t="s">
        <v>403</v>
      </c>
      <c r="B25" s="153">
        <v>0.1943319838056681</v>
      </c>
      <c r="C25" s="153"/>
      <c r="D25" s="153"/>
      <c r="E25" s="47">
        <v>1.944403803950256</v>
      </c>
      <c r="F25" s="47">
        <v>9.8684210526316027E-3</v>
      </c>
      <c r="G25">
        <v>7.168330955777466E-2</v>
      </c>
      <c r="H25">
        <v>9.7635181855898243E-2</v>
      </c>
      <c r="I25">
        <v>0.21725067385444749</v>
      </c>
      <c r="J25" s="85">
        <f>$Y$2- COUNTIF(acumulado_porcentaje[[#This Row],[Ene 2024]:[Ago 2024]],"")</f>
        <v>6</v>
      </c>
      <c r="K25"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2.5351733740766762</v>
      </c>
      <c r="L25" t="str">
        <f>acumulado_porcentaje[[#This Row],[Nombre ]]&amp;" ("&amp;acumulado_porcentaje[[#This Row],[contar]]&amp;")"</f>
        <v>Luis Angel Garzon Velasco (6)</v>
      </c>
      <c r="N25" s="72"/>
      <c r="O25" s="72"/>
      <c r="P25" s="45"/>
      <c r="Q25" s="45"/>
      <c r="R25" s="45"/>
    </row>
    <row r="26" spans="1:18" x14ac:dyDescent="0.2">
      <c r="A26" s="153" t="s">
        <v>364</v>
      </c>
      <c r="B26" s="153"/>
      <c r="C26" s="153">
        <v>0.77525000000000011</v>
      </c>
      <c r="D26" s="153">
        <v>1.3505917159763312</v>
      </c>
      <c r="E26" s="47">
        <v>0.80760790051207032</v>
      </c>
      <c r="F26" s="47">
        <v>4.8684210526315809E-2</v>
      </c>
      <c r="G26">
        <v>0.14390156918687591</v>
      </c>
      <c r="I26">
        <v>0.21164420485175198</v>
      </c>
      <c r="J26" s="85">
        <f>$Y$2- COUNTIF(acumulado_porcentaje[[#This Row],[Ene 2024]:[Ago 2024]],"")</f>
        <v>6</v>
      </c>
      <c r="K26"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3.3376796010533454</v>
      </c>
      <c r="L26" t="str">
        <f>acumulado_porcentaje[[#This Row],[Nombre ]]&amp;" ("&amp;acumulado_porcentaje[[#This Row],[contar]]&amp;")"</f>
        <v>Marcos Fortea Escolano (6)</v>
      </c>
      <c r="N26" s="72"/>
      <c r="O26" s="72"/>
      <c r="P26" s="45"/>
      <c r="Q26" s="45"/>
      <c r="R26" s="45"/>
    </row>
    <row r="27" spans="1:18" x14ac:dyDescent="0.2">
      <c r="A27" s="153" t="s">
        <v>226</v>
      </c>
      <c r="B27" s="153">
        <v>1.6869095816464237E-2</v>
      </c>
      <c r="C27" s="153">
        <v>0.5625</v>
      </c>
      <c r="D27" s="153">
        <v>0.22287968441814593</v>
      </c>
      <c r="E27" s="47">
        <v>0.64667154352596945</v>
      </c>
      <c r="F27" s="47">
        <v>0.19769736842105257</v>
      </c>
      <c r="J27" s="85">
        <f>$Y$2- COUNTIF(acumulado_porcentaje[[#This Row],[Ene 2024]:[Ago 2024]],"")</f>
        <v>5</v>
      </c>
      <c r="K2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27" t="str">
        <f>acumulado_porcentaje[[#This Row],[Nombre ]]&amp;" ("&amp;acumulado_porcentaje[[#This Row],[contar]]&amp;")"</f>
        <v>Alejandro A. Díaz González (5)</v>
      </c>
      <c r="N27" s="72"/>
      <c r="O27" s="72"/>
      <c r="P27" s="45"/>
      <c r="Q27" s="45"/>
      <c r="R27" s="45"/>
    </row>
    <row r="28" spans="1:18" x14ac:dyDescent="0.2">
      <c r="A28" s="153" t="s">
        <v>335</v>
      </c>
      <c r="B28" s="153">
        <v>7.0175438596491266E-2</v>
      </c>
      <c r="C28" s="153">
        <v>0.7024999999999999</v>
      </c>
      <c r="D28" s="153"/>
      <c r="E28" s="47"/>
      <c r="F28" s="47">
        <v>0.12532894736842112</v>
      </c>
      <c r="G28">
        <v>5.117689015691864E-2</v>
      </c>
      <c r="H28">
        <v>0.10510302862674607</v>
      </c>
      <c r="J28" s="85">
        <f>$Y$2- COUNTIF(acumulado_porcentaje[[#This Row],[Ene 2024]:[Ago 2024]],"")</f>
        <v>5</v>
      </c>
      <c r="K2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28" t="str">
        <f>acumulado_porcentaje[[#This Row],[Nombre ]]&amp;" ("&amp;acumulado_porcentaje[[#This Row],[contar]]&amp;")"</f>
        <v>Carlos Callejón (5)</v>
      </c>
      <c r="N28" s="72"/>
      <c r="O28" s="72"/>
      <c r="P28" s="45"/>
      <c r="Q28" s="45"/>
      <c r="R28" s="45"/>
    </row>
    <row r="29" spans="1:18" x14ac:dyDescent="0.2">
      <c r="A29" s="153" t="s">
        <v>542</v>
      </c>
      <c r="B29" s="153"/>
      <c r="C29" s="153"/>
      <c r="D29" s="153"/>
      <c r="E29" s="47">
        <v>0.45647403072421361</v>
      </c>
      <c r="F29" s="47">
        <v>0.12434210526315782</v>
      </c>
      <c r="G29">
        <v>0.20738231098430807</v>
      </c>
      <c r="H29">
        <v>1.4659106624256703E-2</v>
      </c>
      <c r="I29">
        <v>0.11288409703504042</v>
      </c>
      <c r="J29" s="85">
        <f>$Y$2- COUNTIF(acumulado_porcentaje[[#This Row],[Ene 2024]:[Ago 2024]],"")</f>
        <v>5</v>
      </c>
      <c r="K2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29" t="str">
        <f>acumulado_porcentaje[[#This Row],[Nombre ]]&amp;" ("&amp;acumulado_porcentaje[[#This Row],[contar]]&amp;")"</f>
        <v>Sergio Alfonso (5)</v>
      </c>
      <c r="N29" s="72"/>
      <c r="O29" s="72"/>
      <c r="P29" s="45"/>
      <c r="Q29" s="45"/>
      <c r="R29" s="45"/>
    </row>
    <row r="30" spans="1:18" x14ac:dyDescent="0.2">
      <c r="A30" s="153" t="s">
        <v>407</v>
      </c>
      <c r="B30" s="153">
        <v>2.091767881241581E-2</v>
      </c>
      <c r="C30" s="153">
        <v>0.75549999999999995</v>
      </c>
      <c r="D30" s="153">
        <v>1.3530571992110452</v>
      </c>
      <c r="E30" s="47"/>
      <c r="F30" s="47"/>
      <c r="G30">
        <v>0.16797432239657636</v>
      </c>
      <c r="H30">
        <v>0.33204259438528566</v>
      </c>
      <c r="J30" s="85">
        <f>$Y$2- COUNTIF(acumulado_porcentaje[[#This Row],[Ene 2024]:[Ago 2024]],"")</f>
        <v>5</v>
      </c>
      <c r="K3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0" t="str">
        <f>acumulado_porcentaje[[#This Row],[Nombre ]]&amp;" ("&amp;acumulado_porcentaje[[#This Row],[contar]]&amp;")"</f>
        <v>Vicente Fayos Gavila (5)</v>
      </c>
      <c r="N30" s="72"/>
      <c r="O30" s="72"/>
      <c r="P30" s="45"/>
      <c r="Q30" s="45"/>
      <c r="R30" s="45"/>
    </row>
    <row r="31" spans="1:18" x14ac:dyDescent="0.2">
      <c r="A31" s="153" t="s">
        <v>413</v>
      </c>
      <c r="B31" s="153"/>
      <c r="C31" s="153">
        <v>0.80500000000000005</v>
      </c>
      <c r="D31" s="153"/>
      <c r="E31" s="47"/>
      <c r="F31" s="47">
        <v>9.6710526315789636E-2</v>
      </c>
      <c r="H31">
        <v>7.5508228460793719E-2</v>
      </c>
      <c r="I31">
        <v>0.20938005390835582</v>
      </c>
      <c r="J31" s="85">
        <f>$Y$2- COUNTIF(acumulado_porcentaje[[#This Row],[Ene 2024]:[Ago 2024]],"")</f>
        <v>4</v>
      </c>
      <c r="K3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1" t="str">
        <f>acumulado_porcentaje[[#This Row],[Nombre ]]&amp;" ("&amp;acumulado_porcentaje[[#This Row],[contar]]&amp;")"</f>
        <v>Beatriz Muñoz Rioboo (4)</v>
      </c>
      <c r="N31" s="72"/>
      <c r="O31" s="72"/>
      <c r="P31" s="45"/>
      <c r="Q31" s="45"/>
      <c r="R31" s="45"/>
    </row>
    <row r="32" spans="1:18" x14ac:dyDescent="0.2">
      <c r="A32" s="153" t="s">
        <v>652</v>
      </c>
      <c r="B32" s="153"/>
      <c r="C32" s="153"/>
      <c r="D32" s="153"/>
      <c r="E32" s="47"/>
      <c r="F32" s="47">
        <v>0.13388157894736843</v>
      </c>
      <c r="G32">
        <v>8.1847360912981393E-2</v>
      </c>
      <c r="H32">
        <v>5.033881897386254E-2</v>
      </c>
      <c r="I32">
        <v>0.30285714285714288</v>
      </c>
      <c r="J32" s="85">
        <f>$Y$2- COUNTIF(acumulado_porcentaje[[#This Row],[Ene 2024]:[Ago 2024]],"")</f>
        <v>4</v>
      </c>
      <c r="K3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2" t="str">
        <f>acumulado_porcentaje[[#This Row],[Nombre ]]&amp;" ("&amp;acumulado_porcentaje[[#This Row],[contar]]&amp;")"</f>
        <v>Carlos Martin (4)</v>
      </c>
      <c r="N32" s="72"/>
      <c r="O32" s="72"/>
      <c r="P32" s="45"/>
      <c r="Q32" s="45"/>
      <c r="R32" s="45"/>
    </row>
    <row r="33" spans="1:18" x14ac:dyDescent="0.2">
      <c r="A33" s="153" t="s">
        <v>337</v>
      </c>
      <c r="B33" s="153"/>
      <c r="C33" s="153">
        <v>0.50150000000000006</v>
      </c>
      <c r="D33" s="153"/>
      <c r="E33" s="47">
        <v>1.438917337234821</v>
      </c>
      <c r="F33" s="47">
        <v>0.16875000000000009</v>
      </c>
      <c r="G33">
        <v>0.20756062767475036</v>
      </c>
      <c r="J33" s="85">
        <f>$Y$2- COUNTIF(acumulado_porcentaje[[#This Row],[Ene 2024]:[Ago 2024]],"")</f>
        <v>4</v>
      </c>
      <c r="K3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3" t="str">
        <f>acumulado_porcentaje[[#This Row],[Nombre ]]&amp;" ("&amp;acumulado_porcentaje[[#This Row],[contar]]&amp;")"</f>
        <v>Francisco Valverde Sánchez (4)</v>
      </c>
      <c r="N33" s="72"/>
      <c r="O33" s="72"/>
      <c r="P33" s="45"/>
      <c r="Q33" s="45"/>
      <c r="R33" s="45"/>
    </row>
    <row r="34" spans="1:18" x14ac:dyDescent="0.2">
      <c r="A34" s="153" t="s">
        <v>411</v>
      </c>
      <c r="B34" s="153">
        <v>0.38704453441295561</v>
      </c>
      <c r="C34" s="153"/>
      <c r="D34" s="153"/>
      <c r="E34" s="47">
        <v>0.74762253108997812</v>
      </c>
      <c r="F34" s="47">
        <v>0.2756578947368421</v>
      </c>
      <c r="G34">
        <v>0.47485734664764623</v>
      </c>
      <c r="J34" s="85">
        <f>$Y$2- COUNTIF(acumulado_porcentaje[[#This Row],[Ene 2024]:[Ago 2024]],"")</f>
        <v>4</v>
      </c>
      <c r="K3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4" t="str">
        <f>acumulado_porcentaje[[#This Row],[Nombre ]]&amp;" ("&amp;acumulado_porcentaje[[#This Row],[contar]]&amp;")"</f>
        <v>Jonathan Pazmiño Espinoza (4)</v>
      </c>
    </row>
    <row r="35" spans="1:18" x14ac:dyDescent="0.2">
      <c r="A35" s="153" t="s">
        <v>404</v>
      </c>
      <c r="B35" s="153">
        <v>2.4291497975709423E-3</v>
      </c>
      <c r="C35" s="153">
        <v>0.33849999999999997</v>
      </c>
      <c r="D35" s="153"/>
      <c r="E35" s="47"/>
      <c r="F35" s="47">
        <v>3.2894736842105734E-3</v>
      </c>
      <c r="G35">
        <v>6.8473609129814483E-2</v>
      </c>
      <c r="J35" s="85">
        <f>$Y$2- COUNTIF(acumulado_porcentaje[[#This Row],[Ene 2024]:[Ago 2024]],"")</f>
        <v>4</v>
      </c>
      <c r="K3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5" t="str">
        <f>acumulado_porcentaje[[#This Row],[Nombre ]]&amp;" ("&amp;acumulado_porcentaje[[#This Row],[contar]]&amp;")"</f>
        <v>Juan Luis Jarillo Gómez (4)</v>
      </c>
    </row>
    <row r="36" spans="1:18" x14ac:dyDescent="0.2">
      <c r="A36" s="153" t="s">
        <v>399</v>
      </c>
      <c r="B36" s="153">
        <v>6.2078272604589469E-3</v>
      </c>
      <c r="C36" s="153">
        <v>0.64649999999999996</v>
      </c>
      <c r="D36" s="153"/>
      <c r="E36" s="47"/>
      <c r="F36" s="47">
        <v>0.15888157894736837</v>
      </c>
      <c r="G36">
        <v>0.22967189728958623</v>
      </c>
      <c r="J36" s="85">
        <f>$Y$2- COUNTIF(acumulado_porcentaje[[#This Row],[Ene 2024]:[Ago 2024]],"")</f>
        <v>4</v>
      </c>
      <c r="K3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6" t="str">
        <f>acumulado_porcentaje[[#This Row],[Nombre ]]&amp;" ("&amp;acumulado_porcentaje[[#This Row],[contar]]&amp;")"</f>
        <v>Sergio Lopez Oliver (4)</v>
      </c>
    </row>
    <row r="37" spans="1:18" x14ac:dyDescent="0.2">
      <c r="A37" s="153" t="s">
        <v>651</v>
      </c>
      <c r="B37" s="153"/>
      <c r="C37" s="153"/>
      <c r="D37" s="153"/>
      <c r="E37" s="47"/>
      <c r="F37" s="47">
        <v>0.56907894736842102</v>
      </c>
      <c r="G37">
        <v>0.30634807417974325</v>
      </c>
      <c r="H37">
        <v>3.6371179643202814E-2</v>
      </c>
      <c r="J37" s="85">
        <f>$Y$2- COUNTIF(acumulado_porcentaje[[#This Row],[Ene 2024]:[Ago 2024]],"")</f>
        <v>3</v>
      </c>
      <c r="K3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7" t="str">
        <f>acumulado_porcentaje[[#This Row],[Nombre ]]&amp;" ("&amp;acumulado_porcentaje[[#This Row],[contar]]&amp;")"</f>
        <v>Carlos Martínez García (3)</v>
      </c>
    </row>
    <row r="38" spans="1:18" x14ac:dyDescent="0.2">
      <c r="A38" s="153" t="s">
        <v>541</v>
      </c>
      <c r="B38" s="153"/>
      <c r="C38" s="153"/>
      <c r="D38" s="153"/>
      <c r="E38" s="47">
        <v>0.26773957571324053</v>
      </c>
      <c r="F38" s="47">
        <v>0.16217105263157894</v>
      </c>
      <c r="G38">
        <v>0.37321683309557774</v>
      </c>
      <c r="J38" s="85">
        <f>$Y$2- COUNTIF(acumulado_porcentaje[[#This Row],[Ene 2024]:[Ago 2024]],"")</f>
        <v>3</v>
      </c>
      <c r="K3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8" t="str">
        <f>acumulado_porcentaje[[#This Row],[Nombre ]]&amp;" ("&amp;acumulado_porcentaje[[#This Row],[contar]]&amp;")"</f>
        <v>Daniel Reganon (3)</v>
      </c>
    </row>
    <row r="39" spans="1:18" x14ac:dyDescent="0.2">
      <c r="A39" s="153" t="s">
        <v>794</v>
      </c>
      <c r="B39" s="153"/>
      <c r="C39" s="153"/>
      <c r="D39" s="153"/>
      <c r="E39" s="47"/>
      <c r="F39" s="47"/>
      <c r="G39">
        <v>1.3908701854493602E-2</v>
      </c>
      <c r="H39">
        <v>3.7339233854238145E-3</v>
      </c>
      <c r="I39">
        <v>0.23989218328840969</v>
      </c>
      <c r="J39" s="85">
        <f>$Y$2- COUNTIF(acumulado_porcentaje[[#This Row],[Ene 2024]:[Ago 2024]],"")</f>
        <v>3</v>
      </c>
      <c r="K3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9" t="str">
        <f>acumulado_porcentaje[[#This Row],[Nombre ]]&amp;" ("&amp;acumulado_porcentaje[[#This Row],[contar]]&amp;")"</f>
        <v>Gorka Arratibel Pastor (3)</v>
      </c>
    </row>
    <row r="40" spans="1:18" x14ac:dyDescent="0.2">
      <c r="A40" s="153" t="s">
        <v>650</v>
      </c>
      <c r="B40" s="153"/>
      <c r="C40" s="153"/>
      <c r="D40" s="153"/>
      <c r="E40" s="47"/>
      <c r="F40" s="47">
        <v>0.17105263157894746</v>
      </c>
      <c r="G40">
        <v>0.54172610556348066</v>
      </c>
      <c r="H40">
        <v>0.3458719402572259</v>
      </c>
      <c r="J40" s="85">
        <f>$Y$2- COUNTIF(acumulado_porcentaje[[#This Row],[Ene 2024]:[Ago 2024]],"")</f>
        <v>3</v>
      </c>
      <c r="K4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0" t="str">
        <f>acumulado_porcentaje[[#This Row],[Nombre ]]&amp;" ("&amp;acumulado_porcentaje[[#This Row],[contar]]&amp;")"</f>
        <v>Iñaki Moriana García (3)</v>
      </c>
    </row>
    <row r="41" spans="1:18" x14ac:dyDescent="0.2">
      <c r="A41" s="153" t="s">
        <v>788</v>
      </c>
      <c r="B41" s="153"/>
      <c r="C41" s="153"/>
      <c r="D41" s="153"/>
      <c r="E41" s="47"/>
      <c r="F41" s="47"/>
      <c r="G41">
        <v>0.78227532097004293</v>
      </c>
      <c r="H41">
        <v>9.8188355690775747E-2</v>
      </c>
      <c r="I41">
        <v>0.15245283018867925</v>
      </c>
      <c r="J41" s="85">
        <f>$Y$2- COUNTIF(acumulado_porcentaje[[#This Row],[Ene 2024]:[Ago 2024]],"")</f>
        <v>3</v>
      </c>
      <c r="K4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1" t="str">
        <f>acumulado_porcentaje[[#This Row],[Nombre ]]&amp;" ("&amp;acumulado_porcentaje[[#This Row],[contar]]&amp;")"</f>
        <v>Jesús Aceituno López (3)</v>
      </c>
    </row>
    <row r="42" spans="1:18" x14ac:dyDescent="0.2">
      <c r="A42" s="153" t="s">
        <v>806</v>
      </c>
      <c r="B42" s="153"/>
      <c r="C42" s="153"/>
      <c r="D42" s="153"/>
      <c r="E42" s="47"/>
      <c r="F42" s="47"/>
      <c r="G42">
        <v>0.12660485021398005</v>
      </c>
      <c r="H42">
        <v>9.3209791176877457E-2</v>
      </c>
      <c r="I42">
        <v>0.24991913746630734</v>
      </c>
      <c r="J42" s="85">
        <f>$Y$2- COUNTIF(acumulado_porcentaje[[#This Row],[Ene 2024]:[Ago 2024]],"")</f>
        <v>3</v>
      </c>
      <c r="K4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2" t="str">
        <f>acumulado_porcentaje[[#This Row],[Nombre ]]&amp;" ("&amp;acumulado_porcentaje[[#This Row],[contar]]&amp;")"</f>
        <v>Jorge González Arconada (3)</v>
      </c>
    </row>
    <row r="43" spans="1:18" x14ac:dyDescent="0.2">
      <c r="A43" s="153" t="s">
        <v>645</v>
      </c>
      <c r="B43" s="153"/>
      <c r="C43" s="153"/>
      <c r="D43" s="153"/>
      <c r="E43" s="47"/>
      <c r="F43" s="47">
        <v>0.25460526315789483</v>
      </c>
      <c r="G43">
        <v>0.22057774607703276</v>
      </c>
      <c r="I43">
        <v>5.3584905660377345E-2</v>
      </c>
      <c r="J43" s="85">
        <f>$Y$2- COUNTIF(acumulado_porcentaje[[#This Row],[Ene 2024]:[Ago 2024]],"")</f>
        <v>3</v>
      </c>
      <c r="K4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3" t="str">
        <f>acumulado_porcentaje[[#This Row],[Nombre ]]&amp;" ("&amp;acumulado_porcentaje[[#This Row],[contar]]&amp;")"</f>
        <v>Jose Antonio Quidiello Antuña (3)</v>
      </c>
    </row>
    <row r="44" spans="1:18" x14ac:dyDescent="0.2">
      <c r="A44" s="153" t="s">
        <v>400</v>
      </c>
      <c r="B44" s="153">
        <v>0.21052631578947381</v>
      </c>
      <c r="C44" s="153"/>
      <c r="D44" s="153"/>
      <c r="E44" s="47"/>
      <c r="F44" s="47">
        <v>0.2434210526315789</v>
      </c>
      <c r="H44">
        <v>3.2360669340340251E-2</v>
      </c>
      <c r="J44" s="85">
        <f>$Y$2- COUNTIF(acumulado_porcentaje[[#This Row],[Ene 2024]:[Ago 2024]],"")</f>
        <v>3</v>
      </c>
      <c r="K4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4" t="str">
        <f>acumulado_porcentaje[[#This Row],[Nombre ]]&amp;" ("&amp;acumulado_porcentaje[[#This Row],[contar]]&amp;")"</f>
        <v>Manuel Nogales Guillén (3)</v>
      </c>
    </row>
    <row r="45" spans="1:18" x14ac:dyDescent="0.2">
      <c r="A45" s="153" t="s">
        <v>786</v>
      </c>
      <c r="B45" s="153"/>
      <c r="C45" s="153"/>
      <c r="D45" s="153"/>
      <c r="E45" s="47"/>
      <c r="F45" s="47"/>
      <c r="G45">
        <v>7.5427960057061413E-2</v>
      </c>
      <c r="H45">
        <v>9.4177845387913184E-2</v>
      </c>
      <c r="I45">
        <v>0.24571428571428577</v>
      </c>
      <c r="J45" s="85">
        <f>$Y$2- COUNTIF(acumulado_porcentaje[[#This Row],[Ene 2024]:[Ago 2024]],"")</f>
        <v>3</v>
      </c>
      <c r="K4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5" t="str">
        <f>acumulado_porcentaje[[#This Row],[Nombre ]]&amp;" ("&amp;acumulado_porcentaje[[#This Row],[contar]]&amp;")"</f>
        <v>Paco Cuadrado (3)</v>
      </c>
    </row>
    <row r="46" spans="1:18" x14ac:dyDescent="0.2">
      <c r="A46" s="153" t="s">
        <v>1039</v>
      </c>
      <c r="B46" s="153"/>
      <c r="C46" s="153"/>
      <c r="D46" s="153"/>
      <c r="E46" s="47"/>
      <c r="F46" s="47"/>
      <c r="G46">
        <v>1.3552068473609095E-2</v>
      </c>
      <c r="H46">
        <v>5.6976904992393919E-2</v>
      </c>
      <c r="I46">
        <v>0.17714285714285721</v>
      </c>
      <c r="J46" s="85">
        <f>$Y$2- COUNTIF(acumulado_porcentaje[[#This Row],[Ene 2024]:[Ago 2024]],"")</f>
        <v>3</v>
      </c>
      <c r="K4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6" t="str">
        <f>acumulado_porcentaje[[#This Row],[Nombre ]]&amp;" ("&amp;acumulado_porcentaje[[#This Row],[contar]]&amp;")"</f>
        <v>Ricardo Estévez Solís (3)</v>
      </c>
    </row>
    <row r="47" spans="1:18" x14ac:dyDescent="0.2">
      <c r="A47" s="153" t="s">
        <v>787</v>
      </c>
      <c r="B47" s="153"/>
      <c r="C47" s="153"/>
      <c r="D47" s="153"/>
      <c r="E47" s="47"/>
      <c r="F47" s="47"/>
      <c r="G47">
        <v>0.13355920114122685</v>
      </c>
      <c r="H47">
        <v>8.7678052828101274E-2</v>
      </c>
      <c r="I47">
        <v>0.13045822102425869</v>
      </c>
      <c r="J47" s="85">
        <f>$Y$2- COUNTIF(acumulado_porcentaje[[#This Row],[Ene 2024]:[Ago 2024]],"")</f>
        <v>3</v>
      </c>
      <c r="K4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7" t="str">
        <f>acumulado_porcentaje[[#This Row],[Nombre ]]&amp;" ("&amp;acumulado_porcentaje[[#This Row],[contar]]&amp;")"</f>
        <v>Víctor Baeschlin Sánchez (3)</v>
      </c>
    </row>
    <row r="48" spans="1:18" x14ac:dyDescent="0.2">
      <c r="A48" s="153" t="s">
        <v>949</v>
      </c>
      <c r="B48" s="153"/>
      <c r="C48" s="153"/>
      <c r="D48" s="153"/>
      <c r="E48" s="47"/>
      <c r="F48" s="47"/>
      <c r="H48">
        <v>6.9146729359697353E-4</v>
      </c>
      <c r="I48">
        <v>0.17822102425876013</v>
      </c>
      <c r="J48" s="85">
        <f>$Y$2- COUNTIF(acumulado_porcentaje[[#This Row],[Ene 2024]:[Ago 2024]],"")</f>
        <v>2</v>
      </c>
      <c r="K4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8" t="str">
        <f>acumulado_porcentaje[[#This Row],[Nombre ]]&amp;" ("&amp;acumulado_porcentaje[[#This Row],[contar]]&amp;")"</f>
        <v>Andrea Zarbano (2)</v>
      </c>
    </row>
    <row r="49" spans="1:12" x14ac:dyDescent="0.2">
      <c r="A49" s="153" t="s">
        <v>781</v>
      </c>
      <c r="B49" s="153"/>
      <c r="C49" s="153"/>
      <c r="D49" s="153"/>
      <c r="E49" s="47"/>
      <c r="F49" s="47"/>
      <c r="G49">
        <v>0.31348074179743224</v>
      </c>
      <c r="I49">
        <v>0.22911051212938005</v>
      </c>
      <c r="J49" s="85">
        <f>$Y$2- COUNTIF(acumulado_porcentaje[[#This Row],[Ene 2024]:[Ago 2024]],"")</f>
        <v>2</v>
      </c>
      <c r="K4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9" t="str">
        <f>acumulado_porcentaje[[#This Row],[Nombre ]]&amp;" ("&amp;acumulado_porcentaje[[#This Row],[contar]]&amp;")"</f>
        <v>Daniel Pérez Carrasco (2)</v>
      </c>
    </row>
    <row r="50" spans="1:12" x14ac:dyDescent="0.2">
      <c r="A50" s="153" t="s">
        <v>790</v>
      </c>
      <c r="B50" s="153"/>
      <c r="C50" s="153"/>
      <c r="D50" s="153"/>
      <c r="E50" s="47"/>
      <c r="F50" s="47">
        <v>0.22039473684210525</v>
      </c>
      <c r="G50">
        <v>4.7788873038516401E-2</v>
      </c>
      <c r="J50" s="85">
        <f>$Y$2- COUNTIF(acumulado_porcentaje[[#This Row],[Ene 2024]:[Ago 2024]],"")</f>
        <v>2</v>
      </c>
      <c r="K5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0" t="str">
        <f>acumulado_porcentaje[[#This Row],[Nombre ]]&amp;" ("&amp;acumulado_porcentaje[[#This Row],[contar]]&amp;")"</f>
        <v>Gabino Jiménez-Castillo (2)</v>
      </c>
    </row>
    <row r="51" spans="1:12" x14ac:dyDescent="0.2">
      <c r="A51" s="153" t="s">
        <v>224</v>
      </c>
      <c r="B51" s="153">
        <v>0.10175438596491218</v>
      </c>
      <c r="C51" s="153">
        <v>0.80899999999999994</v>
      </c>
      <c r="D51" s="153"/>
      <c r="E51" s="47"/>
      <c r="F51" s="47"/>
      <c r="J51" s="85">
        <f>$Y$2- COUNTIF(acumulado_porcentaje[[#This Row],[Ene 2024]:[Ago 2024]],"")</f>
        <v>2</v>
      </c>
      <c r="K5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1" t="str">
        <f>acumulado_porcentaje[[#This Row],[Nombre ]]&amp;" ("&amp;acumulado_porcentaje[[#This Row],[contar]]&amp;")"</f>
        <v>Jesús López (2)</v>
      </c>
    </row>
    <row r="52" spans="1:12" x14ac:dyDescent="0.2">
      <c r="A52" s="153" t="s">
        <v>954</v>
      </c>
      <c r="B52" s="153"/>
      <c r="C52" s="153"/>
      <c r="D52" s="153"/>
      <c r="E52" s="47"/>
      <c r="F52" s="87"/>
      <c r="H52">
        <v>0.19278108145484724</v>
      </c>
      <c r="I52">
        <v>0.25207547169811317</v>
      </c>
      <c r="J52" s="85">
        <f>$Y$2- COUNTIF(acumulado_porcentaje[[#This Row],[Ene 2024]:[Ago 2024]],"")</f>
        <v>2</v>
      </c>
      <c r="K5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2" t="str">
        <f>acumulado_porcentaje[[#This Row],[Nombre ]]&amp;" ("&amp;acumulado_porcentaje[[#This Row],[contar]]&amp;")"</f>
        <v>Juan José Cuervo Arias (2)</v>
      </c>
    </row>
    <row r="53" spans="1:12" x14ac:dyDescent="0.2">
      <c r="A53" s="153" t="s">
        <v>405</v>
      </c>
      <c r="B53" s="153">
        <v>0.11106612685560041</v>
      </c>
      <c r="C53" s="153"/>
      <c r="D53" s="153"/>
      <c r="E53" s="47"/>
      <c r="F53" s="47"/>
      <c r="H53">
        <v>0.16083529249066522</v>
      </c>
      <c r="J53" s="85">
        <f>$Y$2- COUNTIF(acumulado_porcentaje[[#This Row],[Ene 2024]:[Ago 2024]],"")</f>
        <v>2</v>
      </c>
      <c r="K5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3" t="str">
        <f>acumulado_porcentaje[[#This Row],[Nombre ]]&amp;" ("&amp;acumulado_porcentaje[[#This Row],[contar]]&amp;")"</f>
        <v>Marc Soler Collell (2)</v>
      </c>
    </row>
    <row r="54" spans="1:12" x14ac:dyDescent="0.2">
      <c r="A54" s="153" t="s">
        <v>793</v>
      </c>
      <c r="B54" s="153"/>
      <c r="C54" s="153"/>
      <c r="D54" s="153"/>
      <c r="E54" s="47"/>
      <c r="F54" s="47"/>
      <c r="G54">
        <v>2.1398002853067859E-3</v>
      </c>
      <c r="H54">
        <v>0.23800304245609183</v>
      </c>
      <c r="J54" s="85">
        <f>$Y$2- COUNTIF(acumulado_porcentaje[[#This Row],[Ene 2024]:[Ago 2024]],"")</f>
        <v>2</v>
      </c>
      <c r="K5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4" t="str">
        <f>acumulado_porcentaje[[#This Row],[Nombre ]]&amp;" ("&amp;acumulado_porcentaje[[#This Row],[contar]]&amp;")"</f>
        <v>Paco Luis Pérez Zarco (2)</v>
      </c>
    </row>
    <row r="55" spans="1:12" x14ac:dyDescent="0.2">
      <c r="A55" s="153" t="s">
        <v>1037</v>
      </c>
      <c r="B55" s="153"/>
      <c r="C55" s="153"/>
      <c r="D55" s="153"/>
      <c r="E55" s="47"/>
      <c r="F55" s="47"/>
      <c r="H55">
        <v>5.6008850781357998E-2</v>
      </c>
      <c r="I55">
        <v>6.2964959568733186E-2</v>
      </c>
      <c r="J55" s="85">
        <f>$Y$2- COUNTIF(acumulado_porcentaje[[#This Row],[Ene 2024]:[Ago 2024]],"")</f>
        <v>2</v>
      </c>
      <c r="K5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5" t="str">
        <f>acumulado_porcentaje[[#This Row],[Nombre ]]&amp;" ("&amp;acumulado_porcentaje[[#This Row],[contar]]&amp;")"</f>
        <v>Rafael Leiva (2)</v>
      </c>
    </row>
    <row r="56" spans="1:12" x14ac:dyDescent="0.2">
      <c r="A56" s="153" t="s">
        <v>947</v>
      </c>
      <c r="B56" s="153"/>
      <c r="C56" s="153"/>
      <c r="D56" s="153"/>
      <c r="E56" s="47"/>
      <c r="F56" s="47"/>
      <c r="H56">
        <v>9.099709583736687E-2</v>
      </c>
      <c r="I56">
        <v>0.24851752021563339</v>
      </c>
      <c r="J56" s="85">
        <f>$Y$2- COUNTIF(acumulado_porcentaje[[#This Row],[Ene 2024]:[Ago 2024]],"")</f>
        <v>2</v>
      </c>
      <c r="K5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6" t="str">
        <f>acumulado_porcentaje[[#This Row],[Nombre ]]&amp;" ("&amp;acumulado_porcentaje[[#This Row],[contar]]&amp;")"</f>
        <v>Rafael Tejada Bonilla (2)</v>
      </c>
    </row>
    <row r="57" spans="1:12" x14ac:dyDescent="0.2">
      <c r="A57" s="153" t="s">
        <v>653</v>
      </c>
      <c r="B57" s="153"/>
      <c r="C57" s="153"/>
      <c r="D57" s="153"/>
      <c r="E57" s="47"/>
      <c r="F57" s="47">
        <v>0.38289473684210518</v>
      </c>
      <c r="G57">
        <v>1.3373751783166904E-2</v>
      </c>
      <c r="J57" s="85">
        <f>$Y$2- COUNTIF(acumulado_porcentaje[[#This Row],[Ene 2024]:[Ago 2024]],"")</f>
        <v>2</v>
      </c>
      <c r="K5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7" t="str">
        <f>acumulado_porcentaje[[#This Row],[Nombre ]]&amp;" ("&amp;acumulado_porcentaje[[#This Row],[contar]]&amp;")"</f>
        <v>Sergio Gallego Bolaños (2)</v>
      </c>
    </row>
    <row r="58" spans="1:12" x14ac:dyDescent="0.2">
      <c r="A58" s="153" t="s">
        <v>338</v>
      </c>
      <c r="B58" s="153"/>
      <c r="C58" s="153">
        <v>1.2309999999999999</v>
      </c>
      <c r="D58" s="153"/>
      <c r="E58" s="47"/>
      <c r="F58" s="47"/>
      <c r="J58" s="85">
        <f>$Y$2- COUNTIF(acumulado_porcentaje[[#This Row],[Ene 2024]:[Ago 2024]],"")</f>
        <v>1</v>
      </c>
      <c r="K5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8" t="str">
        <f>acumulado_porcentaje[[#This Row],[Nombre ]]&amp;" ("&amp;acumulado_porcentaje[[#This Row],[contar]]&amp;")"</f>
        <v>Alejandro Ld (1)</v>
      </c>
    </row>
    <row r="59" spans="1:12" x14ac:dyDescent="0.2">
      <c r="A59" s="153" t="s">
        <v>789</v>
      </c>
      <c r="B59" s="153"/>
      <c r="C59" s="153"/>
      <c r="D59" s="153"/>
      <c r="E59" s="47"/>
      <c r="F59" s="47"/>
      <c r="G59">
        <v>4.7610556348074214E-2</v>
      </c>
      <c r="J59" s="85">
        <f>$Y$2- COUNTIF(acumulado_porcentaje[[#This Row],[Ene 2024]:[Ago 2024]],"")</f>
        <v>1</v>
      </c>
      <c r="K5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9" t="str">
        <f>acumulado_porcentaje[[#This Row],[Nombre ]]&amp;" ("&amp;acumulado_porcentaje[[#This Row],[contar]]&amp;")"</f>
        <v>Alejandro Lopez Fernandez (1)</v>
      </c>
    </row>
    <row r="60" spans="1:12" x14ac:dyDescent="0.2">
      <c r="A60" s="153" t="s">
        <v>402</v>
      </c>
      <c r="B60" s="153">
        <v>2.6180836707152658E-2</v>
      </c>
      <c r="C60" s="153"/>
      <c r="D60" s="153"/>
      <c r="E60" s="47"/>
      <c r="F60" s="47"/>
      <c r="J60" s="85">
        <f>$Y$2- COUNTIF(acumulado_porcentaje[[#This Row],[Ene 2024]:[Ago 2024]],"")</f>
        <v>1</v>
      </c>
      <c r="K6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0" t="str">
        <f>acumulado_porcentaje[[#This Row],[Nombre ]]&amp;" ("&amp;acumulado_porcentaje[[#This Row],[contar]]&amp;")"</f>
        <v>Alfredo Cotrina Martínez (1)</v>
      </c>
    </row>
    <row r="61" spans="1:12" x14ac:dyDescent="0.2">
      <c r="A61" s="153" t="s">
        <v>544</v>
      </c>
      <c r="B61" s="153"/>
      <c r="C61" s="153"/>
      <c r="D61" s="153"/>
      <c r="E61" s="47">
        <v>0.71909290416971472</v>
      </c>
      <c r="F61" s="47"/>
      <c r="J61" s="85">
        <f>$Y$2- COUNTIF(acumulado_porcentaje[[#This Row],[Ene 2024]:[Ago 2024]],"")</f>
        <v>1</v>
      </c>
      <c r="K6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1" t="str">
        <f>acumulado_porcentaje[[#This Row],[Nombre ]]&amp;" ("&amp;acumulado_porcentaje[[#This Row],[contar]]&amp;")"</f>
        <v>Álvaro Barahona San Marcos (1)</v>
      </c>
    </row>
    <row r="62" spans="1:12" x14ac:dyDescent="0.2">
      <c r="A62" s="153" t="s">
        <v>1040</v>
      </c>
      <c r="B62" s="153"/>
      <c r="C62" s="153"/>
      <c r="D62" s="153"/>
      <c r="E62" s="47"/>
      <c r="F62" s="47"/>
      <c r="I62">
        <v>0.24043126684636115</v>
      </c>
      <c r="J62" s="85">
        <f>$Y$2- COUNTIF(acumulado_porcentaje[[#This Row],[Ene 2024]:[Ago 2024]],"")</f>
        <v>1</v>
      </c>
      <c r="K6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2" t="str">
        <f>acumulado_porcentaje[[#This Row],[Nombre ]]&amp;" ("&amp;acumulado_porcentaje[[#This Row],[contar]]&amp;")"</f>
        <v>Andres Canal (1)</v>
      </c>
    </row>
    <row r="63" spans="1:12" x14ac:dyDescent="0.2">
      <c r="A63" s="153" t="s">
        <v>415</v>
      </c>
      <c r="B63" s="153"/>
      <c r="C63" s="153">
        <v>0.75249999999999984</v>
      </c>
      <c r="D63" s="153"/>
      <c r="E63" s="47"/>
      <c r="F63" s="47"/>
      <c r="J63" s="85">
        <f>$Y$2- COUNTIF(acumulado_porcentaje[[#This Row],[Ene 2024]:[Ago 2024]],"")</f>
        <v>1</v>
      </c>
      <c r="K6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3" t="str">
        <f>acumulado_porcentaje[[#This Row],[Nombre ]]&amp;" ("&amp;acumulado_porcentaje[[#This Row],[contar]]&amp;")"</f>
        <v>Antonio López Gómez-Millán (1)</v>
      </c>
    </row>
    <row r="64" spans="1:12" x14ac:dyDescent="0.2">
      <c r="A64" s="153" t="s">
        <v>216</v>
      </c>
      <c r="B64" s="153">
        <v>1.4170040485830114E-2</v>
      </c>
      <c r="C64" s="153"/>
      <c r="D64" s="153"/>
      <c r="E64" s="47"/>
      <c r="F64" s="47"/>
      <c r="J64" s="85">
        <f>$Y$2- COUNTIF(acumulado_porcentaje[[#This Row],[Ene 2024]:[Ago 2024]],"")</f>
        <v>1</v>
      </c>
      <c r="K6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4" t="str">
        <f>acumulado_porcentaje[[#This Row],[Nombre ]]&amp;" ("&amp;acumulado_porcentaje[[#This Row],[contar]]&amp;")"</f>
        <v>Brais García (1)</v>
      </c>
    </row>
    <row r="65" spans="1:12" x14ac:dyDescent="0.2">
      <c r="A65" s="153" t="s">
        <v>475</v>
      </c>
      <c r="B65" s="153"/>
      <c r="C65" s="153"/>
      <c r="D65" s="153">
        <v>0.7435897435897435</v>
      </c>
      <c r="E65" s="47"/>
      <c r="F65" s="47"/>
      <c r="J65" s="85">
        <f>$Y$2- COUNTIF(acumulado_porcentaje[[#This Row],[Ene 2024]:[Ago 2024]],"")</f>
        <v>1</v>
      </c>
      <c r="K6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5" t="str">
        <f>acumulado_porcentaje[[#This Row],[Nombre ]]&amp;" ("&amp;acumulado_porcentaje[[#This Row],[contar]]&amp;")"</f>
        <v>Carlos Alcaide Méndez (1)</v>
      </c>
    </row>
    <row r="66" spans="1:12" x14ac:dyDescent="0.2">
      <c r="A66" s="153" t="s">
        <v>340</v>
      </c>
      <c r="B66" s="153"/>
      <c r="C66" s="153">
        <v>0.53825000000000001</v>
      </c>
      <c r="D66" s="153"/>
      <c r="E66" s="47"/>
      <c r="F66" s="47"/>
      <c r="J66" s="85">
        <f>$Y$2- COUNTIF(acumulado_porcentaje[[#This Row],[Ene 2024]:[Ago 2024]],"")</f>
        <v>1</v>
      </c>
      <c r="K6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6" t="str">
        <f>acumulado_porcentaje[[#This Row],[Nombre ]]&amp;" ("&amp;acumulado_porcentaje[[#This Row],[contar]]&amp;")"</f>
        <v>Cristian Trapero (1)</v>
      </c>
    </row>
    <row r="67" spans="1:12" x14ac:dyDescent="0.2">
      <c r="A67" s="153" t="s">
        <v>472</v>
      </c>
      <c r="B67" s="153"/>
      <c r="C67" s="153"/>
      <c r="D67" s="153">
        <v>0.6060157790927021</v>
      </c>
      <c r="E67" s="47"/>
      <c r="F67" s="47"/>
      <c r="J67" s="85">
        <f>$Y$2- COUNTIF(acumulado_porcentaje[[#This Row],[Ene 2024]:[Ago 2024]],"")</f>
        <v>1</v>
      </c>
      <c r="K6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7" t="str">
        <f>acumulado_porcentaje[[#This Row],[Nombre ]]&amp;" ("&amp;acumulado_porcentaje[[#This Row],[contar]]&amp;")"</f>
        <v>Eduardo Caro Eduardo Caro (1)</v>
      </c>
    </row>
    <row r="68" spans="1:12" x14ac:dyDescent="0.2">
      <c r="A68" s="153" t="s">
        <v>957</v>
      </c>
      <c r="B68" s="153"/>
      <c r="C68" s="153"/>
      <c r="D68" s="153"/>
      <c r="E68" s="47"/>
      <c r="F68" s="47"/>
      <c r="H68">
        <v>0.47946342138016873</v>
      </c>
      <c r="J68" s="85">
        <f>$Y$2- COUNTIF(acumulado_porcentaje[[#This Row],[Ene 2024]:[Ago 2024]],"")</f>
        <v>1</v>
      </c>
      <c r="K6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8" t="str">
        <f>acumulado_porcentaje[[#This Row],[Nombre ]]&amp;" ("&amp;acumulado_porcentaje[[#This Row],[contar]]&amp;")"</f>
        <v>Gonzalo Cruz Ortega (1)</v>
      </c>
    </row>
    <row r="69" spans="1:12" x14ac:dyDescent="0.2">
      <c r="A69" s="153" t="s">
        <v>956</v>
      </c>
      <c r="B69" s="153"/>
      <c r="C69" s="153"/>
      <c r="D69" s="153"/>
      <c r="E69" s="47"/>
      <c r="F69" s="47"/>
      <c r="H69">
        <v>0.39980638915779287</v>
      </c>
      <c r="J69" s="85">
        <f>$Y$2- COUNTIF(acumulado_porcentaje[[#This Row],[Ene 2024]:[Ago 2024]],"")</f>
        <v>1</v>
      </c>
      <c r="K6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9" t="str">
        <f>acumulado_porcentaje[[#This Row],[Nombre ]]&amp;" ("&amp;acumulado_porcentaje[[#This Row],[contar]]&amp;")"</f>
        <v>Hugo Pimiento (1)</v>
      </c>
    </row>
    <row r="70" spans="1:12" x14ac:dyDescent="0.2">
      <c r="A70" s="153" t="s">
        <v>785</v>
      </c>
      <c r="B70" s="153"/>
      <c r="C70" s="153"/>
      <c r="D70" s="153"/>
      <c r="E70" s="47"/>
      <c r="F70" s="47"/>
      <c r="G70">
        <v>0.3601997146932952</v>
      </c>
      <c r="J70" s="85">
        <f>$Y$2- COUNTIF(acumulado_porcentaje[[#This Row],[Ene 2024]:[Ago 2024]],"")</f>
        <v>1</v>
      </c>
      <c r="K7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0" t="str">
        <f>acumulado_porcentaje[[#This Row],[Nombre ]]&amp;" ("&amp;acumulado_porcentaje[[#This Row],[contar]]&amp;")"</f>
        <v>Ignacio Irigoyen (1)</v>
      </c>
    </row>
    <row r="71" spans="1:12" x14ac:dyDescent="0.2">
      <c r="A71" s="153" t="s">
        <v>223</v>
      </c>
      <c r="B71" s="153">
        <v>1.0796221322537075E-2</v>
      </c>
      <c r="C71" s="153"/>
      <c r="D71" s="153"/>
      <c r="E71" s="47"/>
      <c r="F71" s="47"/>
      <c r="J71" s="85">
        <f>$Y$2- COUNTIF(acumulado_porcentaje[[#This Row],[Ene 2024]:[Ago 2024]],"")</f>
        <v>1</v>
      </c>
      <c r="K7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1" t="str">
        <f>acumulado_porcentaje[[#This Row],[Nombre ]]&amp;" ("&amp;acumulado_porcentaje[[#This Row],[contar]]&amp;")"</f>
        <v>Javier Cervera (1)</v>
      </c>
    </row>
    <row r="72" spans="1:12" x14ac:dyDescent="0.2">
      <c r="A72" s="153" t="s">
        <v>780</v>
      </c>
      <c r="B72" s="153"/>
      <c r="C72" s="153"/>
      <c r="D72" s="153"/>
      <c r="E72" s="47"/>
      <c r="F72" s="47"/>
      <c r="G72">
        <v>0.22824536376604845</v>
      </c>
      <c r="J72" s="85">
        <f>$Y$2- COUNTIF(acumulado_porcentaje[[#This Row],[Ene 2024]:[Ago 2024]],"")</f>
        <v>1</v>
      </c>
      <c r="K7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2" t="str">
        <f>acumulado_porcentaje[[#This Row],[Nombre ]]&amp;" ("&amp;acumulado_porcentaje[[#This Row],[contar]]&amp;")"</f>
        <v>Javier Fernandez Maza (1)</v>
      </c>
    </row>
    <row r="73" spans="1:12" x14ac:dyDescent="0.2">
      <c r="A73" s="153" t="s">
        <v>791</v>
      </c>
      <c r="B73" s="153"/>
      <c r="C73" s="153"/>
      <c r="D73" s="153"/>
      <c r="E73" s="47"/>
      <c r="F73" s="47"/>
      <c r="G73">
        <v>3.9229671897289386E-3</v>
      </c>
      <c r="J73" s="85">
        <f>$Y$2- COUNTIF(acumulado_porcentaje[[#This Row],[Ene 2024]:[Ago 2024]],"")</f>
        <v>1</v>
      </c>
      <c r="K7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3" t="str">
        <f>acumulado_porcentaje[[#This Row],[Nombre ]]&amp;" ("&amp;acumulado_porcentaje[[#This Row],[contar]]&amp;")"</f>
        <v>Javier Lazaro (1)</v>
      </c>
    </row>
    <row r="74" spans="1:12" x14ac:dyDescent="0.2">
      <c r="A74" s="153" t="s">
        <v>952</v>
      </c>
      <c r="B74" s="153"/>
      <c r="C74" s="153"/>
      <c r="D74" s="153"/>
      <c r="E74" s="47"/>
      <c r="F74" s="47"/>
      <c r="H74">
        <v>0.10565620246162356</v>
      </c>
      <c r="J74" s="85">
        <f>$Y$2- COUNTIF(acumulado_porcentaje[[#This Row],[Ene 2024]:[Ago 2024]],"")</f>
        <v>1</v>
      </c>
      <c r="K7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4" s="47" t="str">
        <f>acumulado_porcentaje[[#This Row],[Nombre ]]&amp;" ("&amp;acumulado_porcentaje[[#This Row],[contar]]&amp;")"</f>
        <v>Javier Perez De Eulate (1)</v>
      </c>
    </row>
    <row r="75" spans="1:12" x14ac:dyDescent="0.2">
      <c r="A75" s="153" t="s">
        <v>783</v>
      </c>
      <c r="B75" s="153"/>
      <c r="C75" s="153"/>
      <c r="D75" s="153"/>
      <c r="E75" s="47"/>
      <c r="F75" s="47"/>
      <c r="G75">
        <v>0.43206134094151211</v>
      </c>
      <c r="J75" s="85">
        <f>$Y$2- COUNTIF(acumulado_porcentaje[[#This Row],[Ene 2024]:[Ago 2024]],"")</f>
        <v>1</v>
      </c>
      <c r="K7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5" t="str">
        <f>acumulado_porcentaje[[#This Row],[Nombre ]]&amp;" ("&amp;acumulado_porcentaje[[#This Row],[contar]]&amp;")"</f>
        <v>Jorge Gonzalez Onieva Johansson (1)</v>
      </c>
    </row>
    <row r="76" spans="1:12" x14ac:dyDescent="0.2">
      <c r="A76" s="153" t="s">
        <v>953</v>
      </c>
      <c r="B76" s="153"/>
      <c r="C76" s="153"/>
      <c r="D76" s="153"/>
      <c r="E76" s="47"/>
      <c r="F76" s="47"/>
      <c r="H76">
        <v>0.11160282118655797</v>
      </c>
      <c r="J76" s="85">
        <f>$Y$2- COUNTIF(acumulado_porcentaje[[#This Row],[Ene 2024]:[Ago 2024]],"")</f>
        <v>1</v>
      </c>
      <c r="K7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6" t="str">
        <f>acumulado_porcentaje[[#This Row],[Nombre ]]&amp;" ("&amp;acumulado_porcentaje[[#This Row],[contar]]&amp;")"</f>
        <v>Jose Carlos Perez (1)</v>
      </c>
    </row>
    <row r="77" spans="1:12" x14ac:dyDescent="0.2">
      <c r="A77" s="153" t="s">
        <v>937</v>
      </c>
      <c r="B77" s="153"/>
      <c r="C77" s="153"/>
      <c r="D77" s="153"/>
      <c r="E77" s="47"/>
      <c r="F77" s="47"/>
      <c r="H77">
        <v>0.11616650532429823</v>
      </c>
      <c r="J77" s="85">
        <f>$Y$2- COUNTIF(acumulado_porcentaje[[#This Row],[Ene 2024]:[Ago 2024]],"")</f>
        <v>1</v>
      </c>
      <c r="K7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7" t="str">
        <f>acumulado_porcentaje[[#This Row],[Nombre ]]&amp;" ("&amp;acumulado_porcentaje[[#This Row],[contar]]&amp;")"</f>
        <v>José Valle (1)</v>
      </c>
    </row>
    <row r="78" spans="1:12" x14ac:dyDescent="0.2">
      <c r="A78" s="153" t="s">
        <v>951</v>
      </c>
      <c r="B78" s="153"/>
      <c r="C78" s="153"/>
      <c r="D78" s="153"/>
      <c r="E78" s="47"/>
      <c r="F78" s="47"/>
      <c r="H78">
        <v>5.7253491909832671E-2</v>
      </c>
      <c r="J78" s="85">
        <f>$Y$2- COUNTIF(acumulado_porcentaje[[#This Row],[Ene 2024]:[Ago 2024]],"")</f>
        <v>1</v>
      </c>
      <c r="K7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8" t="str">
        <f>acumulado_porcentaje[[#This Row],[Nombre ]]&amp;" ("&amp;acumulado_porcentaje[[#This Row],[contar]]&amp;")"</f>
        <v>Juan Redondo Ferrara (1)</v>
      </c>
    </row>
    <row r="79" spans="1:12" x14ac:dyDescent="0.2">
      <c r="A79" s="153" t="s">
        <v>220</v>
      </c>
      <c r="B79" s="153">
        <v>0.14979757085020257</v>
      </c>
      <c r="C79" s="153"/>
      <c r="D79" s="153"/>
      <c r="E79" s="47"/>
      <c r="F79" s="47"/>
      <c r="J79" s="85">
        <f>$Y$2- COUNTIF(acumulado_porcentaje[[#This Row],[Ene 2024]:[Ago 2024]],"")</f>
        <v>1</v>
      </c>
      <c r="K7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9" t="str">
        <f>acumulado_porcentaje[[#This Row],[Nombre ]]&amp;" ("&amp;acumulado_porcentaje[[#This Row],[contar]]&amp;")"</f>
        <v>Juan Sanjorge Sanjorge Grandal (1)</v>
      </c>
    </row>
    <row r="80" spans="1:12" x14ac:dyDescent="0.2">
      <c r="A80" s="153" t="s">
        <v>955</v>
      </c>
      <c r="B80" s="153"/>
      <c r="C80" s="153"/>
      <c r="D80" s="153"/>
      <c r="E80" s="47"/>
      <c r="F80" s="47"/>
      <c r="H80">
        <v>0.30811782602682891</v>
      </c>
      <c r="J80" s="85">
        <f>$Y$2- COUNTIF(acumulado_porcentaje[[#This Row],[Ene 2024]:[Ago 2024]],"")</f>
        <v>1</v>
      </c>
      <c r="K8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0" t="str">
        <f>acumulado_porcentaje[[#This Row],[Nombre ]]&amp;" ("&amp;acumulado_porcentaje[[#This Row],[contar]]&amp;")"</f>
        <v>Lucia Garin (1)</v>
      </c>
    </row>
    <row r="81" spans="1:12" x14ac:dyDescent="0.2">
      <c r="A81" s="153" t="s">
        <v>410</v>
      </c>
      <c r="B81" s="153">
        <v>0.23076923076923089</v>
      </c>
      <c r="C81" s="153"/>
      <c r="D81" s="153"/>
      <c r="E81" s="47"/>
      <c r="F81" s="47"/>
      <c r="J81" s="85">
        <f>$Y$2- COUNTIF(acumulado_porcentaje[[#This Row],[Ene 2024]:[Ago 2024]],"")</f>
        <v>1</v>
      </c>
      <c r="K8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1" t="str">
        <f>acumulado_porcentaje[[#This Row],[Nombre ]]&amp;" ("&amp;acumulado_porcentaje[[#This Row],[contar]]&amp;")"</f>
        <v>Manuel Bueno Pérez (1)</v>
      </c>
    </row>
    <row r="82" spans="1:12" x14ac:dyDescent="0.2">
      <c r="A82" s="153" t="s">
        <v>647</v>
      </c>
      <c r="B82" s="153"/>
      <c r="C82" s="153"/>
      <c r="D82" s="153"/>
      <c r="E82" s="47"/>
      <c r="F82" s="47">
        <v>9.7368421052631618E-2</v>
      </c>
      <c r="J82" s="85">
        <f>$Y$2- COUNTIF(acumulado_porcentaje[[#This Row],[Ene 2024]:[Ago 2024]],"")</f>
        <v>1</v>
      </c>
      <c r="K8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2" t="str">
        <f>acumulado_porcentaje[[#This Row],[Nombre ]]&amp;" ("&amp;acumulado_porcentaje[[#This Row],[contar]]&amp;")"</f>
        <v>Miguel Roa Prieto (1)</v>
      </c>
    </row>
    <row r="83" spans="1:12" x14ac:dyDescent="0.2">
      <c r="A83" s="153" t="s">
        <v>958</v>
      </c>
      <c r="B83" s="153"/>
      <c r="C83" s="153"/>
      <c r="D83" s="153"/>
      <c r="E83" s="47"/>
      <c r="F83" s="47"/>
      <c r="H83">
        <v>0.5353339787028073</v>
      </c>
      <c r="J83" s="85">
        <f>$Y$2- COUNTIF(acumulado_porcentaje[[#This Row],[Ene 2024]:[Ago 2024]],"")</f>
        <v>1</v>
      </c>
      <c r="K8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3" t="str">
        <f>acumulado_porcentaje[[#This Row],[Nombre ]]&amp;" ("&amp;acumulado_porcentaje[[#This Row],[contar]]&amp;")"</f>
        <v>Moisés Labarquilla (1)</v>
      </c>
    </row>
    <row r="84" spans="1:12" x14ac:dyDescent="0.2">
      <c r="A84" s="153" t="s">
        <v>646</v>
      </c>
      <c r="B84" s="153"/>
      <c r="C84" s="153"/>
      <c r="D84" s="153"/>
      <c r="E84" s="47"/>
      <c r="F84" s="47">
        <v>0.10361842105263154</v>
      </c>
      <c r="J84" s="85">
        <f>$Y$2- COUNTIF(acumulado_porcentaje[[#This Row],[Ene 2024]:[Ago 2024]],"")</f>
        <v>1</v>
      </c>
      <c r="K8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4" t="str">
        <f>acumulado_porcentaje[[#This Row],[Nombre ]]&amp;" ("&amp;acumulado_porcentaje[[#This Row],[contar]]&amp;")"</f>
        <v>Nelson Hernandez Hernandez (1)</v>
      </c>
    </row>
    <row r="85" spans="1:12" x14ac:dyDescent="0.2">
      <c r="A85" s="153" t="s">
        <v>227</v>
      </c>
      <c r="B85" s="153">
        <v>0.18016194331983817</v>
      </c>
      <c r="C85" s="153"/>
      <c r="D85" s="153"/>
      <c r="E85" s="47"/>
      <c r="F85" s="47"/>
      <c r="J85" s="85">
        <f>$Y$2- COUNTIF(acumulado_porcentaje[[#This Row],[Ene 2024]:[Ago 2024]],"")</f>
        <v>1</v>
      </c>
      <c r="K8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5" t="str">
        <f>acumulado_porcentaje[[#This Row],[Nombre ]]&amp;" ("&amp;acumulado_porcentaje[[#This Row],[contar]]&amp;")"</f>
        <v>Olivia Infantes (1)</v>
      </c>
    </row>
    <row r="86" spans="1:12" x14ac:dyDescent="0.2">
      <c r="A86" s="153" t="s">
        <v>948</v>
      </c>
      <c r="B86" s="153"/>
      <c r="C86" s="153"/>
      <c r="D86" s="153"/>
      <c r="E86" s="47"/>
      <c r="F86" s="47"/>
      <c r="H86">
        <v>5.7944959203429645E-2</v>
      </c>
      <c r="J86" s="85">
        <f>$Y$2- COUNTIF(acumulado_porcentaje[[#This Row],[Ene 2024]:[Ago 2024]],"")</f>
        <v>1</v>
      </c>
      <c r="K8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6" t="str">
        <f>acumulado_porcentaje[[#This Row],[Nombre ]]&amp;" ("&amp;acumulado_porcentaje[[#This Row],[contar]]&amp;")"</f>
        <v>Omip 28-06-2024 (1)</v>
      </c>
    </row>
    <row r="87" spans="1:12" x14ac:dyDescent="0.2">
      <c r="A87" s="153" t="s">
        <v>473</v>
      </c>
      <c r="B87" s="153"/>
      <c r="C87" s="153"/>
      <c r="D87" s="153">
        <v>2.2199211045364886</v>
      </c>
      <c r="E87" s="47"/>
      <c r="F87" s="47"/>
      <c r="J87" s="85">
        <f>$Y$2- COUNTIF(acumulado_porcentaje[[#This Row],[Ene 2024]:[Ago 2024]],"")</f>
        <v>1</v>
      </c>
      <c r="K8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7" t="str">
        <f>acumulado_porcentaje[[#This Row],[Nombre ]]&amp;" ("&amp;acumulado_porcentaje[[#This Row],[contar]]&amp;")"</f>
        <v>Pablo Baigorria Kobylinski (1)</v>
      </c>
    </row>
    <row r="88" spans="1:12" x14ac:dyDescent="0.2">
      <c r="A88" s="153" t="s">
        <v>1036</v>
      </c>
      <c r="B88" s="153"/>
      <c r="C88" s="153"/>
      <c r="D88" s="153"/>
      <c r="E88" s="47"/>
      <c r="F88" s="47"/>
      <c r="I88">
        <v>5.2830188679245348E-2</v>
      </c>
      <c r="J88" s="85">
        <f>$Y$2- COUNTIF(acumulado_porcentaje[[#This Row],[Ene 2024]:[Ago 2024]],"")</f>
        <v>1</v>
      </c>
      <c r="K8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8" t="str">
        <f>acumulado_porcentaje[[#This Row],[Nombre ]]&amp;" ("&amp;acumulado_porcentaje[[#This Row],[contar]]&amp;")"</f>
        <v>Pablo Herrero Del Barrio (1)</v>
      </c>
    </row>
    <row r="89" spans="1:12" x14ac:dyDescent="0.2">
      <c r="A89" s="153" t="s">
        <v>416</v>
      </c>
      <c r="B89" s="153"/>
      <c r="C89" s="153">
        <v>1.18875</v>
      </c>
      <c r="D89" s="153"/>
      <c r="E89" s="47"/>
      <c r="F89" s="47"/>
      <c r="J89" s="85">
        <f>$Y$2- COUNTIF(acumulado_porcentaje[[#This Row],[Ene 2024]:[Ago 2024]],"")</f>
        <v>1</v>
      </c>
      <c r="K8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9" t="str">
        <f>acumulado_porcentaje[[#This Row],[Nombre ]]&amp;" ("&amp;acumulado_porcentaje[[#This Row],[contar]]&amp;")"</f>
        <v>Roberto De Dios García (1)</v>
      </c>
    </row>
    <row r="90" spans="1:12" x14ac:dyDescent="0.2">
      <c r="A90" s="153" t="s">
        <v>784</v>
      </c>
      <c r="B90" s="153"/>
      <c r="C90" s="153"/>
      <c r="D90" s="153"/>
      <c r="E90" s="47"/>
      <c r="F90" s="47"/>
      <c r="G90">
        <v>0.22022111269614839</v>
      </c>
      <c r="J90" s="85">
        <f>$Y$2- COUNTIF(acumulado_porcentaje[[#This Row],[Ene 2024]:[Ago 2024]],"")</f>
        <v>1</v>
      </c>
      <c r="K9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0" t="str">
        <f>acumulado_porcentaje[[#This Row],[Nombre ]]&amp;" ("&amp;acumulado_porcentaje[[#This Row],[contar]]&amp;")"</f>
        <v>Sergio García Sanz (1)</v>
      </c>
    </row>
    <row r="91" spans="1:12" x14ac:dyDescent="0.2">
      <c r="A91" s="153" t="s">
        <v>648</v>
      </c>
      <c r="B91" s="153"/>
      <c r="C91" s="153"/>
      <c r="D91" s="153"/>
      <c r="E91" s="47"/>
      <c r="F91" s="47">
        <v>0.40394736842105256</v>
      </c>
      <c r="J91" s="85">
        <f>$Y$2- COUNTIF(acumulado_porcentaje[[#This Row],[Ene 2024]:[Ago 2024]],"")</f>
        <v>1</v>
      </c>
      <c r="K9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1" t="str">
        <f>acumulado_porcentaje[[#This Row],[Nombre ]]&amp;" ("&amp;acumulado_porcentaje[[#This Row],[contar]]&amp;")"</f>
        <v>Sergio Nistal Prieto (1)</v>
      </c>
    </row>
    <row r="92" spans="1:12" x14ac:dyDescent="0.2">
      <c r="A92" s="153" t="s">
        <v>339</v>
      </c>
      <c r="B92" s="153"/>
      <c r="C92" s="153">
        <v>1.155</v>
      </c>
      <c r="D92" s="153"/>
      <c r="E92" s="47"/>
      <c r="F92" s="47"/>
      <c r="J92" s="85">
        <f>$Y$2- COUNTIF(acumulado_porcentaje[[#This Row],[Ene 2024]:[Ago 2024]],"")</f>
        <v>1</v>
      </c>
      <c r="K9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2" t="str">
        <f>acumulado_porcentaje[[#This Row],[Nombre ]]&amp;" ("&amp;acumulado_porcentaje[[#This Row],[contar]]&amp;")"</f>
        <v>Sergio Ortega Celares (1)</v>
      </c>
    </row>
    <row r="93" spans="1:12" x14ac:dyDescent="0.2">
      <c r="A93" s="153" t="s">
        <v>239</v>
      </c>
      <c r="B93" s="153">
        <v>0.21592442645074225</v>
      </c>
      <c r="C93" s="153"/>
      <c r="D93" s="153"/>
      <c r="E93" s="47"/>
      <c r="F93" s="47"/>
      <c r="J93" s="85">
        <f>$Y$2- COUNTIF(acumulado_porcentaje[[#This Row],[Ene 2024]:[Ago 2024]],"")</f>
        <v>1</v>
      </c>
      <c r="K9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3" t="str">
        <f>acumulado_porcentaje[[#This Row],[Nombre ]]&amp;" ("&amp;acumulado_porcentaje[[#This Row],[contar]]&amp;")"</f>
        <v>Vitor Costa Costa (1)</v>
      </c>
    </row>
    <row r="104" spans="2:3" x14ac:dyDescent="0.2"/>
    <row r="105" spans="2:3" x14ac:dyDescent="0.2">
      <c r="B105" s="45"/>
      <c r="C105" s="45"/>
    </row>
    <row r="106" spans="2:3" x14ac:dyDescent="0.2">
      <c r="B106" s="45"/>
      <c r="C106" s="73" t="s">
        <v>146</v>
      </c>
    </row>
    <row r="107" spans="2:3" x14ac:dyDescent="0.2">
      <c r="B107" s="45" t="s">
        <v>661</v>
      </c>
      <c r="C107" s="72">
        <f>MATCH(C106,1:1,0)</f>
        <v>5</v>
      </c>
    </row>
    <row r="108" spans="2:3" x14ac:dyDescent="0.2">
      <c r="B108" s="45" t="s">
        <v>662</v>
      </c>
      <c r="C108" s="72">
        <f>C107-1</f>
        <v>4</v>
      </c>
    </row>
    <row r="109" spans="2:3" x14ac:dyDescent="0.2">
      <c r="B109" s="45"/>
      <c r="C109" s="72" t="str">
        <f>ADDRESS(1,C107)</f>
        <v>$E$1</v>
      </c>
    </row>
    <row r="110" spans="2:3" x14ac:dyDescent="0.2">
      <c r="B110" s="45"/>
      <c r="C110" s="72" t="str">
        <f>MID(C109,2,1)</f>
        <v>E</v>
      </c>
    </row>
    <row r="111" spans="2:3" x14ac:dyDescent="0.2">
      <c r="B111" s="45"/>
      <c r="C111" s="45"/>
    </row>
  </sheetData>
  <phoneticPr fontId="9" type="noConversion"/>
  <conditionalFormatting sqref="A2:A93">
    <cfRule type="duplicateValues" dxfId="12" priority="94"/>
  </conditionalFormatting>
  <dataValidations disablePrompts="1" count="1">
    <dataValidation type="list" allowBlank="1" showInputMessage="1" showErrorMessage="1" sqref="C106" xr:uid="{E842F2BA-4DC3-4A5E-A318-57237D096379}">
      <formula1>$B$1:$F$1</formula1>
    </dataValidation>
  </dataValidations>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J92"/>
  <sheetViews>
    <sheetView showGridLines="0" workbookViewId="0">
      <selection activeCell="F7" sqref="F7"/>
    </sheetView>
  </sheetViews>
  <sheetFormatPr baseColWidth="10" defaultRowHeight="12" x14ac:dyDescent="0.2"/>
  <cols>
    <col min="1" max="1" width="31.28515625" bestFit="1" customWidth="1"/>
    <col min="2" max="2" width="13.7109375" style="4" bestFit="1" customWidth="1"/>
    <col min="3" max="3" width="13.5703125" style="4" bestFit="1" customWidth="1"/>
    <col min="4" max="4" width="13.85546875" style="4" bestFit="1" customWidth="1"/>
    <col min="5" max="5" width="13.5703125" style="4" bestFit="1" customWidth="1"/>
    <col min="6" max="6" width="11.7109375" style="4" bestFit="1" customWidth="1"/>
    <col min="7" max="7" width="11.42578125" style="4" bestFit="1" customWidth="1"/>
    <col min="8" max="8" width="10.7109375" style="4" bestFit="1" customWidth="1"/>
    <col min="9" max="9" width="11.42578125" style="4" bestFit="1" customWidth="1"/>
    <col min="10" max="10" width="8.85546875" style="4" bestFit="1" customWidth="1"/>
  </cols>
  <sheetData>
    <row r="1" spans="1:10" x14ac:dyDescent="0.2">
      <c r="A1" t="s">
        <v>0</v>
      </c>
      <c r="B1" s="4" t="s">
        <v>99</v>
      </c>
      <c r="C1" s="4" t="s">
        <v>266</v>
      </c>
      <c r="D1" s="4" t="s">
        <v>417</v>
      </c>
      <c r="E1" s="4" t="s">
        <v>146</v>
      </c>
      <c r="F1" t="s">
        <v>563</v>
      </c>
      <c r="G1" t="s">
        <v>682</v>
      </c>
      <c r="H1" t="s">
        <v>820</v>
      </c>
      <c r="I1" s="70" t="s">
        <v>558</v>
      </c>
      <c r="J1" s="70" t="s">
        <v>553</v>
      </c>
    </row>
    <row r="2" spans="1:10" x14ac:dyDescent="0.2">
      <c r="A2" t="s">
        <v>336</v>
      </c>
      <c r="B2" s="4">
        <v>2.3999999999999915</v>
      </c>
      <c r="C2" s="4">
        <v>29.200000000000003</v>
      </c>
      <c r="D2" s="4">
        <v>3.4199999999999982</v>
      </c>
      <c r="E2" s="4">
        <v>6.83</v>
      </c>
      <c r="F2">
        <v>0.38999999999999702</v>
      </c>
      <c r="G2">
        <v>4.68</v>
      </c>
      <c r="H2">
        <v>1.4899999999999949</v>
      </c>
      <c r="I2" s="4">
        <f>acum_porc!$Y$2- COUNTIF(acumulado_absoluto[[#This Row],[Ene 2024]:[Jul 2024]],"")</f>
        <v>8</v>
      </c>
      <c r="J2"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12.379999999999981</v>
      </c>
    </row>
    <row r="3" spans="1:10" x14ac:dyDescent="0.2">
      <c r="A3" t="s">
        <v>222</v>
      </c>
      <c r="B3" s="4">
        <v>0.64999999999999147</v>
      </c>
      <c r="C3" s="4">
        <v>33.879999999999995</v>
      </c>
      <c r="D3" s="4">
        <v>10.219999999999999</v>
      </c>
      <c r="E3" s="4">
        <v>4.83</v>
      </c>
      <c r="F3">
        <v>4.25</v>
      </c>
      <c r="G3">
        <v>8.259999999999998</v>
      </c>
      <c r="H3">
        <v>2.3100000000000023</v>
      </c>
      <c r="I3" s="4">
        <f>acum_porc!$Y$2- COUNTIF(acumulado_absoluto[[#This Row],[Ene 2024]:[Jul 2024]],"")</f>
        <v>8</v>
      </c>
      <c r="J3"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20.29999999999999</v>
      </c>
    </row>
    <row r="4" spans="1:10" x14ac:dyDescent="0.2">
      <c r="A4" t="s">
        <v>406</v>
      </c>
      <c r="B4" s="4">
        <v>0.90000000000000568</v>
      </c>
      <c r="C4" s="4">
        <v>25</v>
      </c>
      <c r="D4" s="4">
        <v>11.719999999999999</v>
      </c>
      <c r="E4" s="4">
        <v>14.83</v>
      </c>
      <c r="F4">
        <v>5.3999999999999986</v>
      </c>
      <c r="G4">
        <v>1.0799999999999983</v>
      </c>
      <c r="H4">
        <v>4.3100000000000023</v>
      </c>
      <c r="I4" s="4">
        <f>acum_porc!$Y$2- COUNTIF(acumulado_absoluto[[#This Row],[Ene 2024]:[Jul 2024]],"")</f>
        <v>8</v>
      </c>
      <c r="J4"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23.410000000000004</v>
      </c>
    </row>
    <row r="5" spans="1:10" x14ac:dyDescent="0.2">
      <c r="A5" t="s">
        <v>543</v>
      </c>
      <c r="C5" s="4">
        <v>27.200000000000003</v>
      </c>
      <c r="D5" s="4">
        <v>6.9599999999999973</v>
      </c>
      <c r="E5" s="4">
        <v>5.4</v>
      </c>
      <c r="F5">
        <v>1.7799999999999976</v>
      </c>
      <c r="G5">
        <v>6.7899999999999991</v>
      </c>
      <c r="H5">
        <v>5.6500000000000057</v>
      </c>
      <c r="I5" s="4">
        <f>acum_porc!$Y$2- COUNTIF(acumulado_absoluto[[#This Row],[Ene 2024]:[Jul 2024]],"")</f>
        <v>7</v>
      </c>
      <c r="J5"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26.580000000000002</v>
      </c>
    </row>
    <row r="6" spans="1:10" x14ac:dyDescent="0.2">
      <c r="A6" t="s">
        <v>408</v>
      </c>
      <c r="B6" s="4">
        <v>2.8699999999999903</v>
      </c>
      <c r="C6" s="4">
        <v>35.730000000000004</v>
      </c>
      <c r="D6" s="4">
        <v>13.030000000000001</v>
      </c>
      <c r="E6" s="4">
        <v>10.56</v>
      </c>
      <c r="F6">
        <v>0.79999999999999716</v>
      </c>
      <c r="G6">
        <v>14.170000000000002</v>
      </c>
      <c r="H6">
        <v>2.1599999999999966</v>
      </c>
      <c r="I6" s="4">
        <f>acum_porc!$Y$2- COUNTIF(acumulado_absoluto[[#This Row],[Ene 2024]:[Jul 2024]],"")</f>
        <v>8</v>
      </c>
      <c r="J6"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29.419999999999987</v>
      </c>
    </row>
    <row r="7" spans="1:10" x14ac:dyDescent="0.2">
      <c r="A7" t="s">
        <v>381</v>
      </c>
      <c r="B7" s="4">
        <v>2.4000000000000057</v>
      </c>
      <c r="C7" s="4">
        <v>20.020000000000003</v>
      </c>
      <c r="F7">
        <v>2.8299999999999983</v>
      </c>
      <c r="G7">
        <v>3.1299999999999955</v>
      </c>
      <c r="H7">
        <v>1.6299999999999955</v>
      </c>
      <c r="I7" s="4">
        <f>acum_porc!$Y$2- COUNTIF(acumulado_absoluto[[#This Row],[Ene 2024]:[Jul 2024]],"")</f>
        <v>6</v>
      </c>
      <c r="J7"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30.009999999999998</v>
      </c>
    </row>
    <row r="8" spans="1:10" x14ac:dyDescent="0.2">
      <c r="A8" t="s">
        <v>414</v>
      </c>
      <c r="C8" s="4">
        <v>24.349999999999994</v>
      </c>
      <c r="D8" s="4">
        <v>15.049999999999997</v>
      </c>
      <c r="E8" s="4">
        <v>9.8400000000000016</v>
      </c>
      <c r="F8">
        <v>2.2999999999999972</v>
      </c>
      <c r="G8">
        <v>2.8799999999999955</v>
      </c>
      <c r="H8">
        <v>1.0000000000005116E-2</v>
      </c>
      <c r="I8" s="4">
        <f>acum_porc!$Y$2- COUNTIF(acumulado_absoluto[[#This Row],[Ene 2024]:[Jul 2024]],"")</f>
        <v>7</v>
      </c>
      <c r="J8"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30.08</v>
      </c>
    </row>
    <row r="9" spans="1:10" x14ac:dyDescent="0.2">
      <c r="A9" t="s">
        <v>474</v>
      </c>
      <c r="D9" s="4">
        <v>0.11999999999999744</v>
      </c>
      <c r="E9" s="4">
        <v>8.83</v>
      </c>
      <c r="F9">
        <v>4.7000000000000028</v>
      </c>
      <c r="G9">
        <v>13.829999999999998</v>
      </c>
      <c r="H9">
        <v>4.5600000000000023</v>
      </c>
      <c r="I9" s="4">
        <f>acum_porc!$Y$2- COUNTIF(acumulado_absoluto[[#This Row],[Ene 2024]:[Jul 2024]],"")</f>
        <v>6</v>
      </c>
      <c r="J9"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32.04</v>
      </c>
    </row>
    <row r="10" spans="1:10" x14ac:dyDescent="0.2">
      <c r="A10" t="s">
        <v>362</v>
      </c>
      <c r="B10" s="4">
        <v>0.20000000000000284</v>
      </c>
      <c r="C10" s="4">
        <v>29.849999999999994</v>
      </c>
      <c r="D10" s="4">
        <v>15.32</v>
      </c>
      <c r="E10" s="4">
        <v>10.53</v>
      </c>
      <c r="F10">
        <v>2.0999999999999979</v>
      </c>
      <c r="G10">
        <v>13.969999999999999</v>
      </c>
      <c r="H10">
        <v>7.0499999999999972</v>
      </c>
      <c r="I10" s="4">
        <f>acum_porc!$Y$2- COUNTIF(acumulado_absoluto[[#This Row],[Ene 2024]:[Jul 2024]],"")</f>
        <v>8</v>
      </c>
      <c r="J10"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33.849999999999994</v>
      </c>
    </row>
    <row r="11" spans="1:10" x14ac:dyDescent="0.2">
      <c r="A11" t="s">
        <v>363</v>
      </c>
      <c r="B11" s="4">
        <v>3.2999999999999972</v>
      </c>
      <c r="C11" s="4">
        <v>25.400000000000006</v>
      </c>
      <c r="D11" s="4">
        <v>9.52</v>
      </c>
      <c r="E11" s="4">
        <v>9.1300000000000008</v>
      </c>
      <c r="F11">
        <v>8.7999999999999972</v>
      </c>
      <c r="G11">
        <v>13.979999999999997</v>
      </c>
      <c r="H11">
        <v>3.5100000000000051</v>
      </c>
      <c r="I11" s="4">
        <f>acum_porc!$Y$2- COUNTIF(acumulado_absoluto[[#This Row],[Ene 2024]:[Jul 2024]],"")</f>
        <v>8</v>
      </c>
      <c r="J11"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34.260000000000005</v>
      </c>
    </row>
    <row r="12" spans="1:10" x14ac:dyDescent="0.2">
      <c r="A12" t="s">
        <v>221</v>
      </c>
      <c r="B12" s="4">
        <v>4.1800000000000068</v>
      </c>
      <c r="C12" s="4">
        <v>19.299999999999997</v>
      </c>
      <c r="D12" s="4">
        <v>3.2099999999999973</v>
      </c>
      <c r="E12" s="4">
        <v>5.83</v>
      </c>
      <c r="F12">
        <v>5.4699999999999989</v>
      </c>
      <c r="G12">
        <v>16.489999999999995</v>
      </c>
      <c r="H12"/>
      <c r="I12" s="4">
        <f>acum_porc!$Y$2- COUNTIF(acumulado_absoluto[[#This Row],[Ene 2024]:[Jul 2024]],"")</f>
        <v>7</v>
      </c>
      <c r="J12"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35.18</v>
      </c>
    </row>
    <row r="13" spans="1:10" x14ac:dyDescent="0.2">
      <c r="A13" t="s">
        <v>409</v>
      </c>
      <c r="B13" s="4">
        <v>7.5900000000000034</v>
      </c>
      <c r="C13" s="4">
        <v>29.620000000000005</v>
      </c>
      <c r="D13" s="4">
        <v>35.409999999999997</v>
      </c>
      <c r="E13" s="4">
        <v>23.879999999999995</v>
      </c>
      <c r="F13">
        <v>0.7099999999999973</v>
      </c>
      <c r="G13">
        <v>3.5799999999999983</v>
      </c>
      <c r="H13">
        <v>2.7600000000000051</v>
      </c>
      <c r="I13" s="4">
        <f>acum_porc!$Y$2- COUNTIF(acumulado_absoluto[[#This Row],[Ene 2024]:[Jul 2024]],"")</f>
        <v>8</v>
      </c>
      <c r="J13"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38.519999999999996</v>
      </c>
    </row>
    <row r="14" spans="1:10" x14ac:dyDescent="0.2">
      <c r="A14" t="s">
        <v>219</v>
      </c>
      <c r="B14" s="4">
        <v>13.980000000000004</v>
      </c>
      <c r="C14" s="4">
        <v>29.689999999999998</v>
      </c>
      <c r="D14" s="4">
        <v>16.379999999999995</v>
      </c>
      <c r="F14">
        <v>2.9500000000000028</v>
      </c>
      <c r="G14">
        <v>2.8000000000000043</v>
      </c>
      <c r="H14">
        <v>5.6400000000000006</v>
      </c>
      <c r="I14" s="4">
        <f>acum_porc!$Y$2- COUNTIF(acumulado_absoluto[[#This Row],[Ene 2024]:[Jul 2024]],"")</f>
        <v>7</v>
      </c>
      <c r="J14"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41.750000000000007</v>
      </c>
    </row>
    <row r="15" spans="1:10" x14ac:dyDescent="0.2">
      <c r="A15" t="s">
        <v>226</v>
      </c>
      <c r="B15" s="4">
        <v>1.25</v>
      </c>
      <c r="C15" s="4">
        <v>22.5</v>
      </c>
      <c r="D15" s="4">
        <v>4.5199999999999996</v>
      </c>
      <c r="E15" s="4">
        <v>8.8400000000000016</v>
      </c>
      <c r="F15">
        <v>6.009999999999998</v>
      </c>
      <c r="G15"/>
      <c r="H15"/>
      <c r="I15" s="4">
        <f>acum_porc!$Y$2- COUNTIF(acumulado_absoluto[[#This Row],[Ene 2024]:[Jul 2024]],"")</f>
        <v>6</v>
      </c>
      <c r="J15"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43.12</v>
      </c>
    </row>
    <row r="16" spans="1:10" x14ac:dyDescent="0.2">
      <c r="A16" t="s">
        <v>225</v>
      </c>
      <c r="B16" s="4">
        <v>11.219999999999999</v>
      </c>
      <c r="C16" s="4">
        <v>32.25</v>
      </c>
      <c r="D16" s="4">
        <v>25.949999999999996</v>
      </c>
      <c r="E16" s="4">
        <v>9.65</v>
      </c>
      <c r="F16">
        <v>19.29</v>
      </c>
      <c r="G16">
        <v>5.2800000000000011</v>
      </c>
      <c r="H16">
        <v>0.51000000000000512</v>
      </c>
      <c r="I16" s="4">
        <f>acum_porc!$Y$2- COUNTIF(acumulado_absoluto[[#This Row],[Ene 2024]:[Jul 2024]],"")</f>
        <v>8</v>
      </c>
      <c r="J16"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45.95</v>
      </c>
    </row>
    <row r="17" spans="1:10" x14ac:dyDescent="0.2">
      <c r="A17" t="s">
        <v>335</v>
      </c>
      <c r="B17" s="4">
        <v>5.2000000000000028</v>
      </c>
      <c r="C17" s="4">
        <v>28.099999999999994</v>
      </c>
      <c r="F17">
        <v>3.8100000000000023</v>
      </c>
      <c r="G17">
        <v>2.8699999999999974</v>
      </c>
      <c r="H17">
        <v>7.6000000000000085</v>
      </c>
      <c r="I17" s="4">
        <f>acum_porc!$Y$2- COUNTIF(acumulado_absoluto[[#This Row],[Ene 2024]:[Jul 2024]],"")</f>
        <v>6</v>
      </c>
      <c r="J17"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47.580000000000005</v>
      </c>
    </row>
    <row r="18" spans="1:10" x14ac:dyDescent="0.2">
      <c r="A18" t="s">
        <v>218</v>
      </c>
      <c r="B18" s="4">
        <v>11.300000000000011</v>
      </c>
      <c r="C18" s="4">
        <v>24.459999999999994</v>
      </c>
      <c r="D18" s="4">
        <v>6.2199999999999989</v>
      </c>
      <c r="E18" s="4">
        <v>12.229999999999999</v>
      </c>
      <c r="F18">
        <v>14.899999999999999</v>
      </c>
      <c r="G18">
        <v>12.920000000000002</v>
      </c>
      <c r="H18">
        <v>5.3900000000000006</v>
      </c>
      <c r="I18" s="4">
        <f>acum_porc!$Y$2- COUNTIF(acumulado_absoluto[[#This Row],[Ene 2024]:[Jul 2024]],"")</f>
        <v>8</v>
      </c>
      <c r="J18"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48.060000000000009</v>
      </c>
    </row>
    <row r="19" spans="1:10" x14ac:dyDescent="0.2">
      <c r="A19" t="s">
        <v>215</v>
      </c>
      <c r="B19" s="4">
        <v>3.6000000000000085</v>
      </c>
      <c r="C19" s="4">
        <v>28.950000000000003</v>
      </c>
      <c r="E19" s="4">
        <v>30.83</v>
      </c>
      <c r="F19">
        <v>10.700000000000003</v>
      </c>
      <c r="G19">
        <v>0.53000000000000114</v>
      </c>
      <c r="H19">
        <v>4.6099999999999994</v>
      </c>
      <c r="I19" s="4">
        <f>acum_porc!$Y$2- COUNTIF(acumulado_absoluto[[#This Row],[Ene 2024]:[Jul 2024]],"")</f>
        <v>7</v>
      </c>
      <c r="J19"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48.390000000000015</v>
      </c>
    </row>
    <row r="20" spans="1:10" x14ac:dyDescent="0.2">
      <c r="A20" t="s">
        <v>328</v>
      </c>
      <c r="C20" s="4">
        <v>25.200000000000003</v>
      </c>
      <c r="E20" s="4">
        <v>13.930000000000001</v>
      </c>
      <c r="F20">
        <v>0.39999999999999858</v>
      </c>
      <c r="G20">
        <v>2.9200000000000017</v>
      </c>
      <c r="H20">
        <v>6.2099999999999937</v>
      </c>
      <c r="I20" s="4">
        <f>acum_porc!$Y$2- COUNTIF(acumulado_absoluto[[#This Row],[Ene 2024]:[Jul 2024]],"")</f>
        <v>6</v>
      </c>
      <c r="J20"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48.66</v>
      </c>
    </row>
    <row r="21" spans="1:10" x14ac:dyDescent="0.2">
      <c r="A21" t="s">
        <v>403</v>
      </c>
      <c r="B21" s="4">
        <v>14.400000000000006</v>
      </c>
      <c r="E21" s="4">
        <v>26.58</v>
      </c>
      <c r="F21">
        <v>0.30000000000000071</v>
      </c>
      <c r="G21">
        <v>4.0200000000000031</v>
      </c>
      <c r="H21">
        <v>7.0600000000000023</v>
      </c>
      <c r="I21" s="4">
        <f>acum_porc!$Y$2- COUNTIF(acumulado_absoluto[[#This Row],[Ene 2024]:[Jul 2024]],"")</f>
        <v>6</v>
      </c>
      <c r="J21"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52.360000000000014</v>
      </c>
    </row>
    <row r="22" spans="1:10" x14ac:dyDescent="0.2">
      <c r="A22" t="s">
        <v>292</v>
      </c>
      <c r="C22" s="4">
        <v>20.100000000000001</v>
      </c>
      <c r="D22" s="4">
        <v>9.1199999999999974</v>
      </c>
      <c r="E22" s="4">
        <v>10.229999999999999</v>
      </c>
      <c r="F22"/>
      <c r="G22">
        <v>12.25</v>
      </c>
      <c r="H22">
        <v>4.8599999999999994</v>
      </c>
      <c r="I22" s="4">
        <f>acum_porc!$Y$2- COUNTIF(acumulado_absoluto[[#This Row],[Ene 2024]:[Jul 2024]],"")</f>
        <v>6</v>
      </c>
      <c r="J22"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56.559999999999995</v>
      </c>
    </row>
    <row r="23" spans="1:10" x14ac:dyDescent="0.2">
      <c r="A23" t="s">
        <v>217</v>
      </c>
      <c r="B23" s="4">
        <v>14.599999999999994</v>
      </c>
      <c r="C23" s="4">
        <v>29.959999999999994</v>
      </c>
      <c r="D23" s="4">
        <v>24.729999999999997</v>
      </c>
      <c r="E23" s="4">
        <v>19.659999999999997</v>
      </c>
      <c r="F23">
        <v>2.9299999999999997</v>
      </c>
      <c r="G23">
        <v>16.149999999999999</v>
      </c>
      <c r="H23">
        <v>4.4200000000000017</v>
      </c>
      <c r="I23" s="4">
        <f>acum_porc!$Y$2- COUNTIF(acumulado_absoluto[[#This Row],[Ene 2024]:[Jul 2024]],"")</f>
        <v>8</v>
      </c>
      <c r="J23"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57.759999999999991</v>
      </c>
    </row>
    <row r="24" spans="1:10" x14ac:dyDescent="0.2">
      <c r="A24" t="s">
        <v>242</v>
      </c>
      <c r="B24" s="4">
        <v>13.599999999999994</v>
      </c>
      <c r="E24" s="4">
        <v>8.33</v>
      </c>
      <c r="F24">
        <v>22.9</v>
      </c>
      <c r="G24">
        <v>9.5799999999999983</v>
      </c>
      <c r="H24">
        <v>5.8100000000000023</v>
      </c>
      <c r="I24" s="4">
        <f>acum_porc!$Y$2- COUNTIF(acumulado_absoluto[[#This Row],[Ene 2024]:[Jul 2024]],"")</f>
        <v>6</v>
      </c>
      <c r="J24"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60.219999999999992</v>
      </c>
    </row>
    <row r="25" spans="1:10" x14ac:dyDescent="0.2">
      <c r="A25" t="s">
        <v>9</v>
      </c>
      <c r="B25" s="4">
        <v>5.9000000000000057</v>
      </c>
      <c r="C25" s="4">
        <v>28</v>
      </c>
      <c r="D25" s="4">
        <v>24.72</v>
      </c>
      <c r="E25" s="4">
        <v>26.33</v>
      </c>
      <c r="F25">
        <v>4.6000000000000014</v>
      </c>
      <c r="G25">
        <v>21.08</v>
      </c>
      <c r="H25">
        <v>12.310000000000002</v>
      </c>
      <c r="I25" s="4">
        <f>acum_porc!$Y$2- COUNTIF(acumulado_absoluto[[#This Row],[Ene 2024]:[Jul 2024]],"")</f>
        <v>8</v>
      </c>
      <c r="J25"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68.610000000000014</v>
      </c>
    </row>
    <row r="26" spans="1:10" x14ac:dyDescent="0.2">
      <c r="A26" t="s">
        <v>412</v>
      </c>
      <c r="B26" s="4">
        <v>6.980000000000004</v>
      </c>
      <c r="C26" s="4">
        <v>39.799999999999997</v>
      </c>
      <c r="D26" s="4">
        <v>41.4</v>
      </c>
      <c r="E26" s="4">
        <v>75.23</v>
      </c>
      <c r="F26">
        <v>18.200000000000003</v>
      </c>
      <c r="G26">
        <v>1.8599999999999994</v>
      </c>
      <c r="H26">
        <v>2.230000000000004</v>
      </c>
      <c r="I26" s="4">
        <f>acum_porc!$Y$2- COUNTIF(acumulado_absoluto[[#This Row],[Ene 2024]:[Jul 2024]],"")</f>
        <v>8</v>
      </c>
      <c r="J26"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69.070000000000007</v>
      </c>
    </row>
    <row r="27" spans="1:10" x14ac:dyDescent="0.2">
      <c r="A27" t="s">
        <v>401</v>
      </c>
      <c r="B27" s="4">
        <v>13</v>
      </c>
      <c r="C27" s="4">
        <v>35</v>
      </c>
      <c r="D27" s="4">
        <v>34.72</v>
      </c>
      <c r="E27" s="4">
        <v>33.78</v>
      </c>
      <c r="F27">
        <v>21.519999999999996</v>
      </c>
      <c r="G27">
        <v>1.519999999999996</v>
      </c>
      <c r="H27">
        <v>4.1700000000000017</v>
      </c>
      <c r="I27" s="4">
        <f>acum_porc!$Y$2- COUNTIF(acumulado_absoluto[[#This Row],[Ene 2024]:[Jul 2024]],"")</f>
        <v>8</v>
      </c>
      <c r="J27"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73.989999999999995</v>
      </c>
    </row>
    <row r="28" spans="1:10" x14ac:dyDescent="0.2">
      <c r="A28" t="s">
        <v>364</v>
      </c>
      <c r="C28" s="4">
        <v>31.010000000000005</v>
      </c>
      <c r="D28" s="4">
        <v>27.39</v>
      </c>
      <c r="E28" s="4">
        <v>11.040000000000001</v>
      </c>
      <c r="F28">
        <v>1.4800000000000004</v>
      </c>
      <c r="G28">
        <v>8.07</v>
      </c>
      <c r="H28"/>
      <c r="I28" s="4">
        <f>acum_porc!$Y$2- COUNTIF(acumulado_absoluto[[#This Row],[Ene 2024]:[Jul 2024]],"")</f>
        <v>6</v>
      </c>
      <c r="J28"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78.990000000000009</v>
      </c>
    </row>
    <row r="29" spans="1:10" x14ac:dyDescent="0.2">
      <c r="A29" t="s">
        <v>407</v>
      </c>
      <c r="B29" s="4">
        <v>1.5500000000000114</v>
      </c>
      <c r="C29" s="4">
        <v>30.22</v>
      </c>
      <c r="D29" s="4">
        <v>27.439999999999998</v>
      </c>
      <c r="F29"/>
      <c r="G29">
        <v>9.4200000000000017</v>
      </c>
      <c r="H29">
        <v>24.010000000000005</v>
      </c>
      <c r="I29" s="4">
        <f>acum_porc!$Y$2- COUNTIF(acumulado_absoluto[[#This Row],[Ene 2024]:[Jul 2024]],"")</f>
        <v>6</v>
      </c>
      <c r="J29"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92.640000000000015</v>
      </c>
    </row>
    <row r="30" spans="1:10" x14ac:dyDescent="0.2">
      <c r="A30" t="s">
        <v>338</v>
      </c>
      <c r="C30" s="4">
        <v>49.239999999999995</v>
      </c>
      <c r="F30"/>
      <c r="G30"/>
      <c r="H30"/>
      <c r="I30" s="4">
        <f>acum_porc!$Y$2- COUNTIF(acumulado_absoluto[[#This Row],[Ene 2024]:[Jul 2024]],"")</f>
        <v>2</v>
      </c>
      <c r="J3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1" spans="1:10" x14ac:dyDescent="0.2">
      <c r="A31" t="s">
        <v>789</v>
      </c>
      <c r="F31"/>
      <c r="G31">
        <v>2.6700000000000017</v>
      </c>
      <c r="H31"/>
      <c r="I31" s="4">
        <f>acum_porc!$Y$2- COUNTIF(acumulado_absoluto[[#This Row],[Ene 2024]:[Jul 2024]],"")</f>
        <v>2</v>
      </c>
      <c r="J3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2" spans="1:10" x14ac:dyDescent="0.2">
      <c r="A32" t="s">
        <v>402</v>
      </c>
      <c r="B32" s="4">
        <v>1.9400000000000119</v>
      </c>
      <c r="F32"/>
      <c r="G32"/>
      <c r="H32"/>
      <c r="I32" s="4">
        <f>acum_porc!$Y$2- COUNTIF(acumulado_absoluto[[#This Row],[Ene 2024]:[Jul 2024]],"")</f>
        <v>2</v>
      </c>
      <c r="J3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3" spans="1:10" x14ac:dyDescent="0.2">
      <c r="A33" t="s">
        <v>949</v>
      </c>
      <c r="F33"/>
      <c r="G33"/>
      <c r="H33">
        <v>4.9999999999997158E-2</v>
      </c>
      <c r="I33" s="4">
        <f>acum_porc!$Y$2- COUNTIF(acumulado_absoluto[[#This Row],[Ene 2024]:[Jul 2024]],"")</f>
        <v>2</v>
      </c>
      <c r="J3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4" spans="1:10" x14ac:dyDescent="0.2">
      <c r="A34" t="s">
        <v>415</v>
      </c>
      <c r="C34" s="4">
        <v>30.099999999999994</v>
      </c>
      <c r="F34"/>
      <c r="G34"/>
      <c r="H34"/>
      <c r="I34" s="4">
        <f>acum_porc!$Y$2- COUNTIF(acumulado_absoluto[[#This Row],[Ene 2024]:[Jul 2024]],"")</f>
        <v>2</v>
      </c>
      <c r="J3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5" spans="1:10" x14ac:dyDescent="0.2">
      <c r="A35" t="s">
        <v>413</v>
      </c>
      <c r="C35" s="4">
        <v>32.200000000000003</v>
      </c>
      <c r="F35">
        <v>2.9400000000000048</v>
      </c>
      <c r="G35"/>
      <c r="H35">
        <v>5.4599999999999937</v>
      </c>
      <c r="I35" s="4">
        <f>acum_porc!$Y$2- COUNTIF(acumulado_absoluto[[#This Row],[Ene 2024]:[Jul 2024]],"")</f>
        <v>4</v>
      </c>
      <c r="J3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6" spans="1:10" x14ac:dyDescent="0.2">
      <c r="A36" t="s">
        <v>216</v>
      </c>
      <c r="B36" s="4">
        <v>1.0500000000000114</v>
      </c>
      <c r="F36"/>
      <c r="G36"/>
      <c r="H36"/>
      <c r="I36" s="4">
        <f>acum_porc!$Y$2- COUNTIF(acumulado_absoluto[[#This Row],[Ene 2024]:[Jul 2024]],"")</f>
        <v>2</v>
      </c>
      <c r="J3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7" spans="1:10" x14ac:dyDescent="0.2">
      <c r="A37" t="s">
        <v>475</v>
      </c>
      <c r="D37" s="4">
        <v>15.079999999999998</v>
      </c>
      <c r="F37"/>
      <c r="G37"/>
      <c r="H37"/>
      <c r="I37" s="4">
        <f>acum_porc!$Y$2- COUNTIF(acumulado_absoluto[[#This Row],[Ene 2024]:[Jul 2024]],"")</f>
        <v>2</v>
      </c>
      <c r="J3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8" spans="1:10" x14ac:dyDescent="0.2">
      <c r="A38" t="s">
        <v>652</v>
      </c>
      <c r="F38">
        <v>4.07</v>
      </c>
      <c r="G38">
        <v>4.5899999999999963</v>
      </c>
      <c r="H38">
        <v>3.6400000000000006</v>
      </c>
      <c r="I38" s="4">
        <f>acum_porc!$Y$2- COUNTIF(acumulado_absoluto[[#This Row],[Ene 2024]:[Jul 2024]],"")</f>
        <v>4</v>
      </c>
      <c r="J3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9" spans="1:10" x14ac:dyDescent="0.2">
      <c r="A39" t="s">
        <v>651</v>
      </c>
      <c r="F39">
        <v>17.299999999999997</v>
      </c>
      <c r="G39">
        <v>17.18</v>
      </c>
      <c r="H39">
        <v>2.6299999999999955</v>
      </c>
      <c r="I39" s="4">
        <f>acum_porc!$Y$2- COUNTIF(acumulado_absoluto[[#This Row],[Ene 2024]:[Jul 2024]],"")</f>
        <v>4</v>
      </c>
      <c r="J3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0" spans="1:10" x14ac:dyDescent="0.2">
      <c r="A40" t="s">
        <v>340</v>
      </c>
      <c r="C40" s="4">
        <v>21.53</v>
      </c>
      <c r="F40"/>
      <c r="G40"/>
      <c r="H40"/>
      <c r="I40" s="4">
        <f>acum_porc!$Y$2- COUNTIF(acumulado_absoluto[[#This Row],[Ene 2024]:[Jul 2024]],"")</f>
        <v>2</v>
      </c>
      <c r="J4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1" spans="1:10" x14ac:dyDescent="0.2">
      <c r="A41" t="s">
        <v>781</v>
      </c>
      <c r="F41"/>
      <c r="G41">
        <v>17.579999999999998</v>
      </c>
      <c r="H41"/>
      <c r="I41" s="4">
        <f>acum_porc!$Y$2- COUNTIF(acumulado_absoluto[[#This Row],[Ene 2024]:[Jul 2024]],"")</f>
        <v>2</v>
      </c>
      <c r="J4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2" spans="1:10" x14ac:dyDescent="0.2">
      <c r="A42" t="s">
        <v>541</v>
      </c>
      <c r="E42" s="4">
        <v>3.6599999999999984</v>
      </c>
      <c r="F42">
        <v>4.93</v>
      </c>
      <c r="G42">
        <v>20.93</v>
      </c>
      <c r="H42"/>
      <c r="I42" s="4">
        <f>acum_porc!$Y$2- COUNTIF(acumulado_absoluto[[#This Row],[Ene 2024]:[Jul 2024]],"")</f>
        <v>4</v>
      </c>
      <c r="J4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3" spans="1:10" x14ac:dyDescent="0.2">
      <c r="A43" t="s">
        <v>472</v>
      </c>
      <c r="D43" s="4">
        <v>12.29</v>
      </c>
      <c r="F43"/>
      <c r="G43"/>
      <c r="H43"/>
      <c r="I43" s="4">
        <f>acum_porc!$Y$2- COUNTIF(acumulado_absoluto[[#This Row],[Ene 2024]:[Jul 2024]],"")</f>
        <v>2</v>
      </c>
      <c r="J4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4" spans="1:10" x14ac:dyDescent="0.2">
      <c r="A44" t="s">
        <v>337</v>
      </c>
      <c r="C44" s="4">
        <v>20.060000000000002</v>
      </c>
      <c r="E44" s="4">
        <v>19.670000000000002</v>
      </c>
      <c r="F44">
        <v>5.1300000000000026</v>
      </c>
      <c r="G44">
        <v>11.64</v>
      </c>
      <c r="H44"/>
      <c r="I44" s="4">
        <f>acum_porc!$Y$2- COUNTIF(acumulado_absoluto[[#This Row],[Ene 2024]:[Jul 2024]],"")</f>
        <v>5</v>
      </c>
      <c r="J4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5" spans="1:10" x14ac:dyDescent="0.2">
      <c r="A45" t="s">
        <v>790</v>
      </c>
      <c r="F45">
        <v>6.6999999999999993</v>
      </c>
      <c r="G45">
        <v>2.6799999999999997</v>
      </c>
      <c r="H45"/>
      <c r="I45" s="4">
        <f>acum_porc!$Y$2- COUNTIF(acumulado_absoluto[[#This Row],[Ene 2024]:[Jul 2024]],"")</f>
        <v>3</v>
      </c>
      <c r="J4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6" spans="1:10" x14ac:dyDescent="0.2">
      <c r="A46" t="s">
        <v>957</v>
      </c>
      <c r="F46"/>
      <c r="G46"/>
      <c r="H46">
        <v>34.67</v>
      </c>
      <c r="I46" s="4">
        <f>acum_porc!$Y$2- COUNTIF(acumulado_absoluto[[#This Row],[Ene 2024]:[Jul 2024]],"")</f>
        <v>2</v>
      </c>
      <c r="J4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7" spans="1:10" x14ac:dyDescent="0.2">
      <c r="A47" t="s">
        <v>794</v>
      </c>
      <c r="F47"/>
      <c r="G47">
        <v>0.78000000000000114</v>
      </c>
      <c r="H47">
        <v>0.26999999999999602</v>
      </c>
      <c r="I47" s="4">
        <f>acum_porc!$Y$2- COUNTIF(acumulado_absoluto[[#This Row],[Ene 2024]:[Jul 2024]],"")</f>
        <v>3</v>
      </c>
      <c r="J4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8" spans="1:10" x14ac:dyDescent="0.2">
      <c r="A48" t="s">
        <v>956</v>
      </c>
      <c r="F48"/>
      <c r="G48"/>
      <c r="H48">
        <v>28.910000000000004</v>
      </c>
      <c r="I48" s="4">
        <f>acum_porc!$Y$2- COUNTIF(acumulado_absoluto[[#This Row],[Ene 2024]:[Jul 2024]],"")</f>
        <v>2</v>
      </c>
      <c r="J4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9" spans="1:10" x14ac:dyDescent="0.2">
      <c r="A49" t="s">
        <v>785</v>
      </c>
      <c r="F49"/>
      <c r="G49">
        <v>20.199999999999996</v>
      </c>
      <c r="H49"/>
      <c r="I49" s="4">
        <f>acum_porc!$Y$2- COUNTIF(acumulado_absoluto[[#This Row],[Ene 2024]:[Jul 2024]],"")</f>
        <v>2</v>
      </c>
      <c r="J4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0" spans="1:10" x14ac:dyDescent="0.2">
      <c r="A50" t="s">
        <v>650</v>
      </c>
      <c r="F50">
        <v>5.2000000000000028</v>
      </c>
      <c r="G50">
        <v>30.379999999999995</v>
      </c>
      <c r="H50">
        <v>25.010000000000005</v>
      </c>
      <c r="I50" s="4">
        <f>acum_porc!$Y$2- COUNTIF(acumulado_absoluto[[#This Row],[Ene 2024]:[Jul 2024]],"")</f>
        <v>4</v>
      </c>
      <c r="J5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1" spans="1:10" x14ac:dyDescent="0.2">
      <c r="A51" t="s">
        <v>223</v>
      </c>
      <c r="B51" s="4">
        <v>0.79999999999999716</v>
      </c>
      <c r="F51"/>
      <c r="G51"/>
      <c r="H51"/>
      <c r="I51" s="4">
        <f>acum_porc!$Y$2- COUNTIF(acumulado_absoluto[[#This Row],[Ene 2024]:[Jul 2024]],"")</f>
        <v>2</v>
      </c>
      <c r="J5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2" spans="1:10" x14ac:dyDescent="0.2">
      <c r="A52" t="s">
        <v>780</v>
      </c>
      <c r="F52"/>
      <c r="G52">
        <v>12.799999999999997</v>
      </c>
      <c r="H52"/>
      <c r="I52" s="4">
        <f>acum_porc!$Y$2- COUNTIF(acumulado_absoluto[[#This Row],[Ene 2024]:[Jul 2024]],"")</f>
        <v>2</v>
      </c>
      <c r="J5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3" spans="1:10" x14ac:dyDescent="0.2">
      <c r="A53" t="s">
        <v>791</v>
      </c>
      <c r="F53"/>
      <c r="G53">
        <v>0.21999999999999886</v>
      </c>
      <c r="H53"/>
      <c r="I53" s="4">
        <f>acum_porc!$Y$2- COUNTIF(acumulado_absoluto[[#This Row],[Ene 2024]:[Jul 2024]],"")</f>
        <v>2</v>
      </c>
      <c r="J5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4" spans="1:10" x14ac:dyDescent="0.2">
      <c r="A54" t="s">
        <v>952</v>
      </c>
      <c r="F54"/>
      <c r="G54"/>
      <c r="H54">
        <v>7.6400000000000006</v>
      </c>
      <c r="I54" s="4">
        <f>acum_porc!$Y$2- COUNTIF(acumulado_absoluto[[#This Row],[Ene 2024]:[Jul 2024]],"")</f>
        <v>2</v>
      </c>
      <c r="J5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5" spans="1:10" x14ac:dyDescent="0.2">
      <c r="A55" t="s">
        <v>788</v>
      </c>
      <c r="F55"/>
      <c r="G55">
        <v>43.870000000000005</v>
      </c>
      <c r="H55">
        <v>7.0999999999999943</v>
      </c>
      <c r="I55" s="4">
        <f>acum_porc!$Y$2- COUNTIF(acumulado_absoluto[[#This Row],[Ene 2024]:[Jul 2024]],"")</f>
        <v>3</v>
      </c>
      <c r="J5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6" spans="1:10" x14ac:dyDescent="0.2">
      <c r="A56" t="s">
        <v>224</v>
      </c>
      <c r="B56" s="4">
        <v>7.539999999999992</v>
      </c>
      <c r="C56" s="4">
        <v>32.36</v>
      </c>
      <c r="F56"/>
      <c r="G56"/>
      <c r="H56"/>
      <c r="I56" s="4">
        <f>acum_porc!$Y$2- COUNTIF(acumulado_absoluto[[#This Row],[Ene 2024]:[Jul 2024]],"")</f>
        <v>3</v>
      </c>
      <c r="J5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7" spans="1:10" x14ac:dyDescent="0.2">
      <c r="A57" t="s">
        <v>411</v>
      </c>
      <c r="B57" s="4">
        <v>28.680000000000007</v>
      </c>
      <c r="E57" s="4">
        <v>10.220000000000001</v>
      </c>
      <c r="F57">
        <v>8.379999999999999</v>
      </c>
      <c r="G57">
        <v>26.63</v>
      </c>
      <c r="H57"/>
      <c r="I57" s="4">
        <f>acum_porc!$Y$2- COUNTIF(acumulado_absoluto[[#This Row],[Ene 2024]:[Jul 2024]],"")</f>
        <v>5</v>
      </c>
      <c r="J5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8" spans="1:10" x14ac:dyDescent="0.2">
      <c r="A58" t="s">
        <v>783</v>
      </c>
      <c r="F58"/>
      <c r="G58">
        <v>24.229999999999997</v>
      </c>
      <c r="H58"/>
      <c r="I58" s="4">
        <f>acum_porc!$Y$2- COUNTIF(acumulado_absoluto[[#This Row],[Ene 2024]:[Jul 2024]],"")</f>
        <v>2</v>
      </c>
      <c r="J5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9" spans="1:10" x14ac:dyDescent="0.2">
      <c r="A59" t="s">
        <v>806</v>
      </c>
      <c r="F59"/>
      <c r="G59">
        <v>7.1000000000000014</v>
      </c>
      <c r="H59">
        <v>6.7400000000000091</v>
      </c>
      <c r="I59" s="4">
        <f>acum_porc!$Y$2- COUNTIF(acumulado_absoluto[[#This Row],[Ene 2024]:[Jul 2024]],"")</f>
        <v>3</v>
      </c>
      <c r="J5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0" spans="1:10" x14ac:dyDescent="0.2">
      <c r="A60" t="s">
        <v>645</v>
      </c>
      <c r="F60">
        <v>7.740000000000002</v>
      </c>
      <c r="G60">
        <v>12.369999999999997</v>
      </c>
      <c r="H60"/>
      <c r="I60" s="4">
        <f>acum_porc!$Y$2- COUNTIF(acumulado_absoluto[[#This Row],[Ene 2024]:[Jul 2024]],"")</f>
        <v>3</v>
      </c>
      <c r="J6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1" spans="1:10" x14ac:dyDescent="0.2">
      <c r="A61" t="s">
        <v>953</v>
      </c>
      <c r="F61"/>
      <c r="G61"/>
      <c r="H61">
        <v>8.0700000000000074</v>
      </c>
      <c r="I61" s="4">
        <f>acum_porc!$Y$2- COUNTIF(acumulado_absoluto[[#This Row],[Ene 2024]:[Jul 2024]],"")</f>
        <v>2</v>
      </c>
      <c r="J6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2" spans="1:10" x14ac:dyDescent="0.2">
      <c r="A62" t="s">
        <v>937</v>
      </c>
      <c r="F62"/>
      <c r="G62"/>
      <c r="H62">
        <v>8.4000000000000057</v>
      </c>
      <c r="I62" s="4">
        <f>acum_porc!$Y$2- COUNTIF(acumulado_absoluto[[#This Row],[Ene 2024]:[Jul 2024]],"")</f>
        <v>2</v>
      </c>
      <c r="J6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3" spans="1:10" x14ac:dyDescent="0.2">
      <c r="A63" t="s">
        <v>954</v>
      </c>
      <c r="F63"/>
      <c r="G63"/>
      <c r="H63">
        <v>13.940000000000005</v>
      </c>
      <c r="I63" s="4">
        <f>acum_porc!$Y$2- COUNTIF(acumulado_absoluto[[#This Row],[Ene 2024]:[Jul 2024]],"")</f>
        <v>2</v>
      </c>
      <c r="J6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4" spans="1:10" x14ac:dyDescent="0.2">
      <c r="A64" t="s">
        <v>404</v>
      </c>
      <c r="B64" s="4">
        <v>0.18000000000000682</v>
      </c>
      <c r="C64" s="4">
        <v>13.54</v>
      </c>
      <c r="F64">
        <v>0.10000000000000142</v>
      </c>
      <c r="G64">
        <v>3.8399999999999963</v>
      </c>
      <c r="H64"/>
      <c r="I64" s="4">
        <f>acum_porc!$Y$2- COUNTIF(acumulado_absoluto[[#This Row],[Ene 2024]:[Jul 2024]],"")</f>
        <v>5</v>
      </c>
      <c r="J6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5" spans="1:10" x14ac:dyDescent="0.2">
      <c r="A65" t="s">
        <v>951</v>
      </c>
      <c r="F65"/>
      <c r="G65"/>
      <c r="H65">
        <v>4.1400000000000006</v>
      </c>
      <c r="I65" s="4">
        <f>acum_porc!$Y$2- COUNTIF(acumulado_absoluto[[#This Row],[Ene 2024]:[Jul 2024]],"")</f>
        <v>2</v>
      </c>
      <c r="J6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6" spans="1:10" x14ac:dyDescent="0.2">
      <c r="A66" t="s">
        <v>220</v>
      </c>
      <c r="B66" s="4">
        <v>11.100000000000009</v>
      </c>
      <c r="F66"/>
      <c r="G66"/>
      <c r="H66"/>
      <c r="I66" s="4">
        <f>acum_porc!$Y$2- COUNTIF(acumulado_absoluto[[#This Row],[Ene 2024]:[Jul 2024]],"")</f>
        <v>2</v>
      </c>
      <c r="J6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7" spans="1:10" x14ac:dyDescent="0.2">
      <c r="A67" t="s">
        <v>955</v>
      </c>
      <c r="F67"/>
      <c r="G67"/>
      <c r="H67">
        <v>22.28</v>
      </c>
      <c r="I67" s="4">
        <f>acum_porc!$Y$2- COUNTIF(acumulado_absoluto[[#This Row],[Ene 2024]:[Jul 2024]],"")</f>
        <v>2</v>
      </c>
      <c r="J6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8" spans="1:10" x14ac:dyDescent="0.2">
      <c r="A68" t="s">
        <v>410</v>
      </c>
      <c r="B68" s="4">
        <v>17.100000000000009</v>
      </c>
      <c r="F68"/>
      <c r="G68"/>
      <c r="H68"/>
      <c r="I68" s="4">
        <f>acum_porc!$Y$2- COUNTIF(acumulado_absoluto[[#This Row],[Ene 2024]:[Jul 2024]],"")</f>
        <v>2</v>
      </c>
      <c r="J6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9" spans="1:10" x14ac:dyDescent="0.2">
      <c r="A69" t="s">
        <v>400</v>
      </c>
      <c r="B69" s="4">
        <v>15.600000000000009</v>
      </c>
      <c r="F69">
        <v>7.3999999999999986</v>
      </c>
      <c r="G69"/>
      <c r="H69">
        <v>2.3400000000000034</v>
      </c>
      <c r="I69" s="4">
        <f>acum_porc!$Y$2- COUNTIF(acumulado_absoluto[[#This Row],[Ene 2024]:[Jul 2024]],"")</f>
        <v>4</v>
      </c>
      <c r="J6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0" spans="1:10" x14ac:dyDescent="0.2">
      <c r="A70" t="s">
        <v>159</v>
      </c>
      <c r="F70"/>
      <c r="G70"/>
      <c r="H70">
        <v>11.630000000000003</v>
      </c>
      <c r="I70" s="4">
        <f>acum_porc!$Y$2- COUNTIF(acumulado_absoluto[[#This Row],[Ene 2024]:[Jul 2024]],"")</f>
        <v>2</v>
      </c>
      <c r="J7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1" spans="1:10" x14ac:dyDescent="0.2">
      <c r="A71" t="s">
        <v>405</v>
      </c>
      <c r="B71" s="4">
        <v>8.2299999999999898</v>
      </c>
      <c r="F71"/>
      <c r="G71"/>
      <c r="H71"/>
      <c r="I71" s="4">
        <f>acum_porc!$Y$2- COUNTIF(acumulado_absoluto[[#This Row],[Ene 2024]:[Jul 2024]],"")</f>
        <v>2</v>
      </c>
      <c r="J7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2" spans="1:10" x14ac:dyDescent="0.2">
      <c r="A72" t="s">
        <v>647</v>
      </c>
      <c r="F72">
        <v>2.9600000000000009</v>
      </c>
      <c r="G72"/>
      <c r="H72"/>
      <c r="I72" s="4">
        <f>acum_porc!$Y$2- COUNTIF(acumulado_absoluto[[#This Row],[Ene 2024]:[Jul 2024]],"")</f>
        <v>2</v>
      </c>
      <c r="J7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3" spans="1:10" x14ac:dyDescent="0.2">
      <c r="A73" t="s">
        <v>958</v>
      </c>
      <c r="F73"/>
      <c r="G73"/>
      <c r="H73">
        <v>38.71</v>
      </c>
      <c r="I73" s="4">
        <f>acum_porc!$Y$2- COUNTIF(acumulado_absoluto[[#This Row],[Ene 2024]:[Jul 2024]],"")</f>
        <v>2</v>
      </c>
      <c r="J7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4" spans="1:10" x14ac:dyDescent="0.2">
      <c r="A74" t="s">
        <v>646</v>
      </c>
      <c r="F74">
        <v>3.1499999999999986</v>
      </c>
      <c r="G74"/>
      <c r="H74"/>
      <c r="I74" s="4">
        <f>acum_porc!$Y$2- COUNTIF(acumulado_absoluto[[#This Row],[Ene 2024]:[Jul 2024]],"")</f>
        <v>2</v>
      </c>
      <c r="J7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5" spans="1:10" x14ac:dyDescent="0.2">
      <c r="A75" t="s">
        <v>227</v>
      </c>
      <c r="B75" s="4">
        <v>13.350000000000009</v>
      </c>
      <c r="F75"/>
      <c r="G75"/>
      <c r="H75"/>
      <c r="I75" s="4">
        <f>acum_porc!$Y$2- COUNTIF(acumulado_absoluto[[#This Row],[Ene 2024]:[Jul 2024]],"")</f>
        <v>2</v>
      </c>
      <c r="J7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6" spans="1:10" x14ac:dyDescent="0.2">
      <c r="A76" t="s">
        <v>948</v>
      </c>
      <c r="F76"/>
      <c r="G76"/>
      <c r="H76">
        <v>4.1899999999999977</v>
      </c>
      <c r="I76" s="4">
        <f>acum_porc!$Y$2- COUNTIF(acumulado_absoluto[[#This Row],[Ene 2024]:[Jul 2024]],"")</f>
        <v>2</v>
      </c>
      <c r="J7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7" spans="1:10" x14ac:dyDescent="0.2">
      <c r="A77" t="s">
        <v>473</v>
      </c>
      <c r="D77" s="4">
        <v>45.019999999999996</v>
      </c>
      <c r="F77"/>
      <c r="G77"/>
      <c r="H77"/>
      <c r="I77" s="4">
        <f>acum_porc!$Y$2- COUNTIF(acumulado_absoluto[[#This Row],[Ene 2024]:[Jul 2024]],"")</f>
        <v>2</v>
      </c>
      <c r="J7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8" spans="1:10" x14ac:dyDescent="0.2">
      <c r="A78" t="s">
        <v>786</v>
      </c>
      <c r="F78"/>
      <c r="G78">
        <v>4.230000000000004</v>
      </c>
      <c r="H78">
        <v>6.8100000000000023</v>
      </c>
      <c r="I78" s="4">
        <f>acum_porc!$Y$2- COUNTIF(acumulado_absoluto[[#This Row],[Ene 2024]:[Jul 2024]],"")</f>
        <v>3</v>
      </c>
      <c r="J7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9" spans="1:10" x14ac:dyDescent="0.2">
      <c r="A79" t="s">
        <v>793</v>
      </c>
      <c r="F79"/>
      <c r="G79">
        <v>0.12000000000000455</v>
      </c>
      <c r="H79">
        <v>17.21</v>
      </c>
      <c r="I79" s="4">
        <f>acum_porc!$Y$2- COUNTIF(acumulado_absoluto[[#This Row],[Ene 2024]:[Jul 2024]],"")</f>
        <v>3</v>
      </c>
      <c r="J7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0" spans="1:10" x14ac:dyDescent="0.2">
      <c r="A80" t="s">
        <v>950</v>
      </c>
      <c r="F80"/>
      <c r="G80"/>
      <c r="H80">
        <v>4.0499999999999972</v>
      </c>
      <c r="I80" s="4">
        <f>acum_porc!$Y$2- COUNTIF(acumulado_absoluto[[#This Row],[Ene 2024]:[Jul 2024]],"")</f>
        <v>2</v>
      </c>
      <c r="J8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1" spans="1:10" x14ac:dyDescent="0.2">
      <c r="A81" t="s">
        <v>947</v>
      </c>
      <c r="F81"/>
      <c r="G81"/>
      <c r="H81">
        <v>6.5799999999999983</v>
      </c>
      <c r="I81" s="4">
        <f>acum_porc!$Y$2- COUNTIF(acumulado_absoluto[[#This Row],[Ene 2024]:[Jul 2024]],"")</f>
        <v>2</v>
      </c>
      <c r="J8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2" spans="1:10" x14ac:dyDescent="0.2">
      <c r="A82" t="s">
        <v>792</v>
      </c>
      <c r="F82"/>
      <c r="G82">
        <v>0.75999999999999801</v>
      </c>
      <c r="H82">
        <v>4.1200000000000045</v>
      </c>
      <c r="I82" s="4">
        <f>acum_porc!$Y$2- COUNTIF(acumulado_absoluto[[#This Row],[Ene 2024]:[Jul 2024]],"")</f>
        <v>3</v>
      </c>
      <c r="J8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3" spans="1:10" x14ac:dyDescent="0.2">
      <c r="A83" t="s">
        <v>416</v>
      </c>
      <c r="C83" s="4">
        <v>47.55</v>
      </c>
      <c r="F83"/>
      <c r="G83"/>
      <c r="H83"/>
      <c r="I83" s="4">
        <f>acum_porc!$Y$2- COUNTIF(acumulado_absoluto[[#This Row],[Ene 2024]:[Jul 2024]],"")</f>
        <v>2</v>
      </c>
      <c r="J8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4" spans="1:10" x14ac:dyDescent="0.2">
      <c r="A84" t="s">
        <v>542</v>
      </c>
      <c r="E84" s="4">
        <v>6.24</v>
      </c>
      <c r="F84">
        <v>3.7799999999999976</v>
      </c>
      <c r="G84">
        <v>11.629999999999995</v>
      </c>
      <c r="H84">
        <v>1.0600000000000023</v>
      </c>
      <c r="I84" s="4">
        <f>acum_porc!$Y$2- COUNTIF(acumulado_absoluto[[#This Row],[Ene 2024]:[Jul 2024]],"")</f>
        <v>5</v>
      </c>
      <c r="J8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5" spans="1:10" x14ac:dyDescent="0.2">
      <c r="A85" t="s">
        <v>653</v>
      </c>
      <c r="F85">
        <v>11.639999999999997</v>
      </c>
      <c r="G85">
        <v>0.75</v>
      </c>
      <c r="H85"/>
      <c r="I85" s="4">
        <f>acum_porc!$Y$2- COUNTIF(acumulado_absoluto[[#This Row],[Ene 2024]:[Jul 2024]],"")</f>
        <v>3</v>
      </c>
      <c r="J8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6" spans="1:10" x14ac:dyDescent="0.2">
      <c r="A86" t="s">
        <v>784</v>
      </c>
      <c r="F86"/>
      <c r="G86">
        <v>12.350000000000001</v>
      </c>
      <c r="H86"/>
      <c r="I86" s="4">
        <f>acum_porc!$Y$2- COUNTIF(acumulado_absoluto[[#This Row],[Ene 2024]:[Jul 2024]],"")</f>
        <v>2</v>
      </c>
      <c r="J8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7" spans="1:10" x14ac:dyDescent="0.2">
      <c r="A87" t="s">
        <v>399</v>
      </c>
      <c r="B87" s="4">
        <v>0.46000000000000796</v>
      </c>
      <c r="C87" s="4">
        <v>25.86</v>
      </c>
      <c r="F87">
        <v>4.8299999999999983</v>
      </c>
      <c r="G87">
        <v>12.879999999999995</v>
      </c>
      <c r="H87"/>
      <c r="I87" s="4">
        <f>acum_porc!$Y$2- COUNTIF(acumulado_absoluto[[#This Row],[Ene 2024]:[Jul 2024]],"")</f>
        <v>5</v>
      </c>
      <c r="J8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8" spans="1:10" x14ac:dyDescent="0.2">
      <c r="A88" t="s">
        <v>648</v>
      </c>
      <c r="F88">
        <v>12.279999999999998</v>
      </c>
      <c r="G88"/>
      <c r="H88"/>
      <c r="I88" s="4">
        <f>acum_porc!$Y$2- COUNTIF(acumulado_absoluto[[#This Row],[Ene 2024]:[Jul 2024]],"")</f>
        <v>2</v>
      </c>
      <c r="J8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9" spans="1:10" x14ac:dyDescent="0.2">
      <c r="A89" t="s">
        <v>339</v>
      </c>
      <c r="C89" s="4">
        <v>46.2</v>
      </c>
      <c r="F89"/>
      <c r="G89"/>
      <c r="H89"/>
      <c r="I89" s="4">
        <f>acum_porc!$Y$2- COUNTIF(acumulado_absoluto[[#This Row],[Ene 2024]:[Jul 2024]],"")</f>
        <v>2</v>
      </c>
      <c r="J8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90" spans="1:10" x14ac:dyDescent="0.2">
      <c r="A90" t="s">
        <v>239</v>
      </c>
      <c r="B90" s="4">
        <v>16</v>
      </c>
      <c r="F90"/>
      <c r="G90"/>
      <c r="H90"/>
      <c r="I90" s="4">
        <f>acum_porc!$Y$2- COUNTIF(acumulado_absoluto[[#This Row],[Ene 2024]:[Jul 2024]],"")</f>
        <v>2</v>
      </c>
      <c r="J9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91" spans="1:10" x14ac:dyDescent="0.2">
      <c r="A91" t="s">
        <v>787</v>
      </c>
      <c r="F91"/>
      <c r="G91">
        <v>7.490000000000002</v>
      </c>
      <c r="H91">
        <v>6.3400000000000034</v>
      </c>
      <c r="I91" s="4">
        <f>acum_porc!$Y$2- COUNTIF(acumulado_absoluto[[#This Row],[Ene 2024]:[Jul 2024]],"")</f>
        <v>3</v>
      </c>
      <c r="J9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92" spans="1:10" x14ac:dyDescent="0.2">
      <c r="A92" t="s">
        <v>544</v>
      </c>
      <c r="E92" s="4">
        <v>9.83</v>
      </c>
      <c r="F92"/>
      <c r="G92"/>
      <c r="H92"/>
      <c r="I92" s="4">
        <f>acum_porc!$Y$2- COUNTIF(acumulado_absoluto[[#This Row],[Ene 2024]:[Jul 2024]],"")</f>
        <v>2</v>
      </c>
      <c r="J9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sheetData>
  <phoneticPr fontId="9" type="noConversion"/>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652</v>
      </c>
      <c r="F14">
        <f>COUNTA(acumulado_porcentaje_SIN_MAYO[[#This Row],[Ene 2024]:[Abr 2024]])</f>
        <v>0</v>
      </c>
      <c r="K14" s="55" t="s">
        <v>555</v>
      </c>
    </row>
    <row r="15" spans="1:15" x14ac:dyDescent="0.2">
      <c r="A15" t="s">
        <v>651</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649</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09" t="s">
        <v>556</v>
      </c>
      <c r="L23" s="109"/>
      <c r="M23" s="109"/>
      <c r="N23" s="109"/>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650</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ht="11.4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645</v>
      </c>
      <c r="F35">
        <f>COUNTA(acumulado_porcentaje_SIN_MAYO[[#This Row],[Ene 2024]:[Abr 2024]])</f>
        <v>0</v>
      </c>
    </row>
    <row r="36" spans="1:6" ht="11.45"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ht="11.45" x14ac:dyDescent="0.2">
      <c r="A39" t="s">
        <v>401</v>
      </c>
      <c r="B39">
        <v>0.17543859649122809</v>
      </c>
      <c r="C39">
        <v>0.875</v>
      </c>
      <c r="D39">
        <v>1.7120315581854042</v>
      </c>
      <c r="E39">
        <v>2.4711046086320412</v>
      </c>
      <c r="F39">
        <f>COUNTA(acumulado_porcentaje_SIN_MAYO[[#This Row],[Ene 2024]:[Abr 2024]])</f>
        <v>4</v>
      </c>
    </row>
    <row r="40" spans="1:6" ht="11.45"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647</v>
      </c>
      <c r="F48">
        <f>COUNTA(acumulado_porcentaje_SIN_MAYO[[#This Row],[Ene 2024]:[Abr 2024]])</f>
        <v>0</v>
      </c>
    </row>
    <row r="49" spans="1:6" x14ac:dyDescent="0.2">
      <c r="A49" t="s">
        <v>646</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653</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648</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86"/>
  <sheetViews>
    <sheetView topLeftCell="A19" zoomScale="110" zoomScaleNormal="110" workbookViewId="0">
      <selection activeCell="B17" sqref="B17"/>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s="152" t="s">
        <v>383</v>
      </c>
      <c r="B2" s="152" t="s">
        <v>326</v>
      </c>
      <c r="C2" s="152" t="s">
        <v>328</v>
      </c>
    </row>
    <row r="3" spans="1:3" x14ac:dyDescent="0.2">
      <c r="A3" s="152" t="s">
        <v>301</v>
      </c>
      <c r="B3" s="152" t="s">
        <v>748</v>
      </c>
      <c r="C3" s="152" t="s">
        <v>203</v>
      </c>
    </row>
    <row r="4" spans="1:3" x14ac:dyDescent="0.2">
      <c r="A4" s="152" t="s">
        <v>301</v>
      </c>
      <c r="B4" s="152" t="s">
        <v>302</v>
      </c>
      <c r="C4" s="152" t="s">
        <v>301</v>
      </c>
    </row>
    <row r="5" spans="1:3" x14ac:dyDescent="0.2">
      <c r="A5" s="152" t="s">
        <v>200</v>
      </c>
      <c r="B5" s="152" t="s">
        <v>201</v>
      </c>
      <c r="C5" s="152" t="s">
        <v>593</v>
      </c>
    </row>
    <row r="6" spans="1:3" x14ac:dyDescent="0.2">
      <c r="A6" s="152" t="s">
        <v>124</v>
      </c>
      <c r="B6" s="152" t="s">
        <v>166</v>
      </c>
      <c r="C6" s="152" t="s">
        <v>124</v>
      </c>
    </row>
    <row r="7" spans="1:3" x14ac:dyDescent="0.2">
      <c r="A7" s="152" t="s">
        <v>124</v>
      </c>
      <c r="B7" s="152" t="s">
        <v>125</v>
      </c>
      <c r="C7" s="152" t="s">
        <v>124</v>
      </c>
    </row>
    <row r="8" spans="1:3" x14ac:dyDescent="0.2">
      <c r="A8" s="152" t="s">
        <v>392</v>
      </c>
      <c r="B8" s="152" t="s">
        <v>393</v>
      </c>
      <c r="C8" s="152" t="s">
        <v>181</v>
      </c>
    </row>
    <row r="9" spans="1:3" x14ac:dyDescent="0.2">
      <c r="A9" s="152" t="s">
        <v>855</v>
      </c>
      <c r="B9" s="152" t="s">
        <v>856</v>
      </c>
      <c r="C9" s="152" t="s">
        <v>858</v>
      </c>
    </row>
    <row r="10" spans="1:3" x14ac:dyDescent="0.2">
      <c r="A10" s="152" t="s">
        <v>1011</v>
      </c>
      <c r="B10" s="152" t="s">
        <v>1012</v>
      </c>
      <c r="C10" s="152" t="s">
        <v>1015</v>
      </c>
    </row>
    <row r="11" spans="1:3" x14ac:dyDescent="0.2">
      <c r="A11" s="152" t="s">
        <v>290</v>
      </c>
      <c r="B11" s="152" t="s">
        <v>387</v>
      </c>
      <c r="C11" s="152" t="s">
        <v>290</v>
      </c>
    </row>
    <row r="12" spans="1:3" x14ac:dyDescent="0.2">
      <c r="A12" s="152" t="s">
        <v>384</v>
      </c>
      <c r="B12" s="152" t="s">
        <v>315</v>
      </c>
      <c r="C12" s="152" t="s">
        <v>1005</v>
      </c>
    </row>
    <row r="13" spans="1:3" x14ac:dyDescent="0.2">
      <c r="A13" s="152" t="s">
        <v>107</v>
      </c>
      <c r="B13" s="152" t="s">
        <v>108</v>
      </c>
      <c r="C13" s="152" t="s">
        <v>111</v>
      </c>
    </row>
    <row r="14" spans="1:3" x14ac:dyDescent="0.2">
      <c r="A14" s="152" t="s">
        <v>103</v>
      </c>
      <c r="B14" s="152" t="s">
        <v>104</v>
      </c>
      <c r="C14" s="152" t="s">
        <v>1001</v>
      </c>
    </row>
    <row r="15" spans="1:3" x14ac:dyDescent="0.2">
      <c r="A15" s="152" t="s">
        <v>160</v>
      </c>
      <c r="B15" s="152" t="s">
        <v>332</v>
      </c>
      <c r="C15" s="152" t="s">
        <v>759</v>
      </c>
    </row>
    <row r="16" spans="1:3" x14ac:dyDescent="0.2">
      <c r="A16" s="152" t="s">
        <v>160</v>
      </c>
      <c r="B16" s="152" t="s">
        <v>260</v>
      </c>
      <c r="C16" s="152" t="s">
        <v>263</v>
      </c>
    </row>
    <row r="17" spans="1:3" x14ac:dyDescent="0.2">
      <c r="A17" s="152" t="s">
        <v>160</v>
      </c>
      <c r="B17" s="152" t="s">
        <v>630</v>
      </c>
      <c r="C17" s="152" t="s">
        <v>633</v>
      </c>
    </row>
    <row r="18" spans="1:3" x14ac:dyDescent="0.2">
      <c r="A18" s="152" t="s">
        <v>160</v>
      </c>
      <c r="B18" s="152" t="s">
        <v>635</v>
      </c>
      <c r="C18" s="152" t="s">
        <v>1019</v>
      </c>
    </row>
    <row r="19" spans="1:3" x14ac:dyDescent="0.2">
      <c r="A19" s="152" t="s">
        <v>160</v>
      </c>
      <c r="B19" s="152" t="s">
        <v>447</v>
      </c>
      <c r="C19" s="152" t="s">
        <v>449</v>
      </c>
    </row>
    <row r="20" spans="1:3" x14ac:dyDescent="0.2">
      <c r="A20" s="152" t="s">
        <v>264</v>
      </c>
      <c r="B20" s="152" t="s">
        <v>265</v>
      </c>
      <c r="C20" s="152" t="s">
        <v>264</v>
      </c>
    </row>
    <row r="21" spans="1:3" x14ac:dyDescent="0.2">
      <c r="A21" s="152" t="s">
        <v>525</v>
      </c>
      <c r="B21" s="152" t="s">
        <v>691</v>
      </c>
      <c r="C21" s="152" t="s">
        <v>1007</v>
      </c>
    </row>
    <row r="22" spans="1:3" x14ac:dyDescent="0.2">
      <c r="A22" s="152" t="s">
        <v>525</v>
      </c>
      <c r="B22" s="152" t="s">
        <v>526</v>
      </c>
      <c r="C22" s="152" t="s">
        <v>525</v>
      </c>
    </row>
    <row r="23" spans="1:3" x14ac:dyDescent="0.2">
      <c r="A23" s="152" t="s">
        <v>424</v>
      </c>
      <c r="B23" s="152" t="s">
        <v>424</v>
      </c>
      <c r="C23" s="152" t="s">
        <v>424</v>
      </c>
    </row>
    <row r="24" spans="1:3" x14ac:dyDescent="0.2">
      <c r="A24" s="152" t="s">
        <v>195</v>
      </c>
      <c r="B24" s="152" t="s">
        <v>196</v>
      </c>
      <c r="C24" s="152" t="s">
        <v>199</v>
      </c>
    </row>
    <row r="25" spans="1:3" x14ac:dyDescent="0.2">
      <c r="A25" s="152" t="s">
        <v>120</v>
      </c>
      <c r="B25" s="152" t="s">
        <v>121</v>
      </c>
      <c r="C25" s="152" t="s">
        <v>123</v>
      </c>
    </row>
    <row r="26" spans="1:3" x14ac:dyDescent="0.2">
      <c r="A26" s="152" t="s">
        <v>305</v>
      </c>
      <c r="B26" s="152" t="s">
        <v>306</v>
      </c>
      <c r="C26" s="152" t="s">
        <v>309</v>
      </c>
    </row>
    <row r="27" spans="1:3" x14ac:dyDescent="0.2">
      <c r="A27" s="152" t="s">
        <v>749</v>
      </c>
      <c r="B27" s="152" t="s">
        <v>622</v>
      </c>
      <c r="C27" s="152" t="s">
        <v>749</v>
      </c>
    </row>
    <row r="28" spans="1:3" x14ac:dyDescent="0.2">
      <c r="A28" s="152" t="s">
        <v>130</v>
      </c>
      <c r="B28" s="152" t="s">
        <v>86</v>
      </c>
      <c r="C28" s="152" t="s">
        <v>462</v>
      </c>
    </row>
    <row r="29" spans="1:3" x14ac:dyDescent="0.2">
      <c r="A29" s="152" t="s">
        <v>664</v>
      </c>
      <c r="B29" s="152" t="s">
        <v>665</v>
      </c>
      <c r="C29" s="152" t="s">
        <v>664</v>
      </c>
    </row>
    <row r="30" spans="1:3" x14ac:dyDescent="0.2">
      <c r="A30" s="152" t="s">
        <v>717</v>
      </c>
      <c r="B30" s="152" t="s">
        <v>718</v>
      </c>
      <c r="C30" s="152" t="s">
        <v>720</v>
      </c>
    </row>
    <row r="31" spans="1:3" x14ac:dyDescent="0.2">
      <c r="A31" s="152" t="s">
        <v>342</v>
      </c>
      <c r="B31" s="152" t="s">
        <v>211</v>
      </c>
      <c r="C31" s="152" t="s">
        <v>213</v>
      </c>
    </row>
    <row r="32" spans="1:3" x14ac:dyDescent="0.2">
      <c r="A32" s="152" t="s">
        <v>625</v>
      </c>
      <c r="B32" s="152" t="s">
        <v>626</v>
      </c>
      <c r="C32" s="152" t="s">
        <v>761</v>
      </c>
    </row>
    <row r="33" spans="1:3" x14ac:dyDescent="0.2">
      <c r="A33" s="152" t="s">
        <v>138</v>
      </c>
      <c r="B33" s="152" t="s">
        <v>139</v>
      </c>
      <c r="C33" s="152" t="s">
        <v>451</v>
      </c>
    </row>
    <row r="34" spans="1:3" x14ac:dyDescent="0.2">
      <c r="A34" s="152" t="s">
        <v>28</v>
      </c>
      <c r="B34" s="152" t="s">
        <v>390</v>
      </c>
      <c r="C34" s="152" t="s">
        <v>242</v>
      </c>
    </row>
    <row r="35" spans="1:3" x14ac:dyDescent="0.2">
      <c r="A35" s="152" t="s">
        <v>28</v>
      </c>
      <c r="B35" s="152" t="s">
        <v>185</v>
      </c>
      <c r="C35" s="152" t="s">
        <v>187</v>
      </c>
    </row>
    <row r="36" spans="1:3" x14ac:dyDescent="0.2">
      <c r="A36" s="152" t="s">
        <v>28</v>
      </c>
      <c r="B36" s="152" t="s">
        <v>686</v>
      </c>
      <c r="C36" s="152" t="s">
        <v>689</v>
      </c>
    </row>
    <row r="37" spans="1:3" x14ac:dyDescent="0.2">
      <c r="A37" s="152" t="s">
        <v>28</v>
      </c>
      <c r="B37" s="152" t="s">
        <v>323</v>
      </c>
      <c r="C37" s="152" t="s">
        <v>2</v>
      </c>
    </row>
    <row r="38" spans="1:3" x14ac:dyDescent="0.2">
      <c r="A38" s="152" t="s">
        <v>28</v>
      </c>
      <c r="B38" s="152" t="s">
        <v>441</v>
      </c>
      <c r="C38" s="152" t="s">
        <v>535</v>
      </c>
    </row>
    <row r="39" spans="1:3" x14ac:dyDescent="0.2">
      <c r="A39" s="152" t="s">
        <v>28</v>
      </c>
      <c r="B39" s="152" t="s">
        <v>29</v>
      </c>
      <c r="C39" s="152" t="s">
        <v>1010</v>
      </c>
    </row>
    <row r="40" spans="1:3" x14ac:dyDescent="0.2">
      <c r="A40" s="152" t="s">
        <v>28</v>
      </c>
      <c r="B40" s="152" t="s">
        <v>752</v>
      </c>
      <c r="C40" s="152" t="s">
        <v>754</v>
      </c>
    </row>
    <row r="41" spans="1:3" x14ac:dyDescent="0.2">
      <c r="A41" s="152" t="s">
        <v>188</v>
      </c>
      <c r="B41" s="152" t="s">
        <v>189</v>
      </c>
      <c r="C41" s="152" t="s">
        <v>188</v>
      </c>
    </row>
    <row r="42" spans="1:3" x14ac:dyDescent="0.2">
      <c r="A42" s="152" t="s">
        <v>188</v>
      </c>
      <c r="B42" s="152" t="s">
        <v>737</v>
      </c>
      <c r="C42" s="152" t="s">
        <v>740</v>
      </c>
    </row>
    <row r="43" spans="1:3" x14ac:dyDescent="0.2">
      <c r="A43" s="152" t="s">
        <v>112</v>
      </c>
      <c r="B43" s="152" t="s">
        <v>395</v>
      </c>
      <c r="C43" s="152" t="s">
        <v>698</v>
      </c>
    </row>
    <row r="44" spans="1:3" x14ac:dyDescent="0.2">
      <c r="A44" s="152" t="s">
        <v>282</v>
      </c>
      <c r="B44" s="152" t="s">
        <v>819</v>
      </c>
      <c r="C44" s="152" t="s">
        <v>865</v>
      </c>
    </row>
    <row r="45" spans="1:3" x14ac:dyDescent="0.2">
      <c r="A45" s="152" t="s">
        <v>282</v>
      </c>
      <c r="B45" s="152" t="s">
        <v>704</v>
      </c>
      <c r="C45" s="152" t="s">
        <v>707</v>
      </c>
    </row>
    <row r="46" spans="1:3" x14ac:dyDescent="0.2">
      <c r="A46" s="152" t="s">
        <v>131</v>
      </c>
      <c r="B46" s="152" t="s">
        <v>132</v>
      </c>
      <c r="C46" s="152" t="s">
        <v>1035</v>
      </c>
    </row>
    <row r="47" spans="1:3" x14ac:dyDescent="0.2">
      <c r="A47" s="152" t="s">
        <v>577</v>
      </c>
      <c r="B47" s="152" t="s">
        <v>578</v>
      </c>
      <c r="C47" s="152" t="s">
        <v>581</v>
      </c>
    </row>
    <row r="48" spans="1:3" x14ac:dyDescent="0.2">
      <c r="A48" s="152" t="s">
        <v>175</v>
      </c>
      <c r="B48" s="152" t="s">
        <v>23</v>
      </c>
      <c r="C48" s="152" t="s">
        <v>178</v>
      </c>
    </row>
    <row r="49" spans="1:3" x14ac:dyDescent="0.2">
      <c r="A49" s="152" t="s">
        <v>385</v>
      </c>
      <c r="B49" s="152" t="s">
        <v>379</v>
      </c>
      <c r="C49" s="152" t="s">
        <v>102</v>
      </c>
    </row>
    <row r="50" spans="1:3" x14ac:dyDescent="0.2">
      <c r="A50" s="152" t="s">
        <v>1022</v>
      </c>
      <c r="B50" s="152" t="s">
        <v>869</v>
      </c>
      <c r="C50" s="152" t="s">
        <v>1025</v>
      </c>
    </row>
    <row r="51" spans="1:3" x14ac:dyDescent="0.2">
      <c r="A51" s="152" t="s">
        <v>145</v>
      </c>
      <c r="B51" s="152" t="s">
        <v>380</v>
      </c>
      <c r="C51" s="152" t="s">
        <v>805</v>
      </c>
    </row>
    <row r="52" spans="1:3" x14ac:dyDescent="0.2">
      <c r="A52" s="152" t="s">
        <v>382</v>
      </c>
      <c r="B52" s="152" t="s">
        <v>182</v>
      </c>
      <c r="C52" s="152" t="s">
        <v>969</v>
      </c>
    </row>
    <row r="53" spans="1:3" x14ac:dyDescent="0.2">
      <c r="A53" s="152" t="s">
        <v>8</v>
      </c>
      <c r="B53" s="152" t="s">
        <v>152</v>
      </c>
      <c r="C53" s="152" t="s">
        <v>8</v>
      </c>
    </row>
    <row r="54" spans="1:3" x14ac:dyDescent="0.2">
      <c r="A54" s="152" t="s">
        <v>135</v>
      </c>
      <c r="B54" s="152" t="s">
        <v>389</v>
      </c>
      <c r="C54" s="152" t="s">
        <v>456</v>
      </c>
    </row>
    <row r="55" spans="1:3" x14ac:dyDescent="0.2">
      <c r="A55" s="152" t="s">
        <v>67</v>
      </c>
      <c r="B55" s="152" t="s">
        <v>68</v>
      </c>
      <c r="C55" s="152" t="s">
        <v>67</v>
      </c>
    </row>
    <row r="56" spans="1:3" x14ac:dyDescent="0.2">
      <c r="A56" s="152" t="s">
        <v>298</v>
      </c>
      <c r="B56" s="152" t="s">
        <v>386</v>
      </c>
      <c r="C56" s="152" t="s">
        <v>300</v>
      </c>
    </row>
    <row r="57" spans="1:3" x14ac:dyDescent="0.2">
      <c r="A57" s="152" t="s">
        <v>115</v>
      </c>
      <c r="B57" s="152" t="s">
        <v>394</v>
      </c>
      <c r="C57" s="152" t="s">
        <v>117</v>
      </c>
    </row>
    <row r="58" spans="1:3" x14ac:dyDescent="0.2">
      <c r="A58" s="152" t="s">
        <v>115</v>
      </c>
      <c r="B58" s="152" t="s">
        <v>391</v>
      </c>
      <c r="C58" s="152" t="s">
        <v>194</v>
      </c>
    </row>
    <row r="59" spans="1:3" x14ac:dyDescent="0.2">
      <c r="A59" s="152" t="s">
        <v>46</v>
      </c>
      <c r="B59" s="152" t="s">
        <v>47</v>
      </c>
      <c r="C59" s="152" t="s">
        <v>159</v>
      </c>
    </row>
    <row r="60" spans="1:3" x14ac:dyDescent="0.2">
      <c r="A60" s="152" t="s">
        <v>357</v>
      </c>
      <c r="B60" s="152" t="s">
        <v>358</v>
      </c>
      <c r="C60" s="152" t="s">
        <v>357</v>
      </c>
    </row>
    <row r="61" spans="1:3" x14ac:dyDescent="0.2">
      <c r="A61" s="152" t="s">
        <v>605</v>
      </c>
      <c r="B61" s="152" t="s">
        <v>606</v>
      </c>
      <c r="C61" s="152" t="s">
        <v>608</v>
      </c>
    </row>
    <row r="62" spans="1:3" x14ac:dyDescent="0.2">
      <c r="A62" s="152" t="s">
        <v>599</v>
      </c>
      <c r="B62" s="152" t="s">
        <v>600</v>
      </c>
      <c r="C62" s="152" t="s">
        <v>599</v>
      </c>
    </row>
    <row r="63" spans="1:3" x14ac:dyDescent="0.2">
      <c r="A63" s="152" t="s">
        <v>207</v>
      </c>
      <c r="B63" s="152" t="s">
        <v>208</v>
      </c>
      <c r="C63" s="152" t="s">
        <v>207</v>
      </c>
    </row>
    <row r="64" spans="1:3" x14ac:dyDescent="0.2">
      <c r="A64" s="152" t="s">
        <v>531</v>
      </c>
      <c r="B64" s="152" t="s">
        <v>293</v>
      </c>
      <c r="C64" s="152" t="s">
        <v>531</v>
      </c>
    </row>
    <row r="65" spans="1:3" x14ac:dyDescent="0.2">
      <c r="A65" s="152" t="s">
        <v>435</v>
      </c>
      <c r="B65" s="152" t="s">
        <v>436</v>
      </c>
      <c r="C65" s="152" t="s">
        <v>435</v>
      </c>
    </row>
    <row r="66" spans="1:3" x14ac:dyDescent="0.2">
      <c r="A66" s="152" t="s">
        <v>435</v>
      </c>
      <c r="B66" s="152" t="s">
        <v>976</v>
      </c>
      <c r="C66" s="152" t="s">
        <v>979</v>
      </c>
    </row>
    <row r="67" spans="1:3" x14ac:dyDescent="0.2">
      <c r="A67" s="152" t="s">
        <v>33</v>
      </c>
      <c r="B67" s="152" t="s">
        <v>725</v>
      </c>
      <c r="C67" s="152" t="s">
        <v>728</v>
      </c>
    </row>
    <row r="68" spans="1:3" x14ac:dyDescent="0.2">
      <c r="A68" s="152" t="s">
        <v>773</v>
      </c>
      <c r="B68" s="152" t="s">
        <v>774</v>
      </c>
      <c r="C68" s="152" t="s">
        <v>776</v>
      </c>
    </row>
    <row r="69" spans="1:3" x14ac:dyDescent="0.2">
      <c r="A69" s="152" t="s">
        <v>902</v>
      </c>
      <c r="B69" s="152" t="s">
        <v>1020</v>
      </c>
      <c r="C69" s="152" t="s">
        <v>906</v>
      </c>
    </row>
    <row r="70" spans="1:3" x14ac:dyDescent="0.2">
      <c r="A70" s="152" t="s">
        <v>902</v>
      </c>
      <c r="B70" s="152" t="s">
        <v>1016</v>
      </c>
      <c r="C70" s="152" t="s">
        <v>940</v>
      </c>
    </row>
    <row r="71" spans="1:3" x14ac:dyDescent="0.2">
      <c r="A71" s="153" t="s">
        <v>769</v>
      </c>
      <c r="B71" s="153" t="s">
        <v>1027</v>
      </c>
      <c r="C71" s="153" t="s">
        <v>772</v>
      </c>
    </row>
    <row r="72" spans="1:3" x14ac:dyDescent="0.2">
      <c r="A72" s="152" t="s">
        <v>204</v>
      </c>
      <c r="B72" s="152" t="s">
        <v>286</v>
      </c>
      <c r="C72" s="152" t="s">
        <v>289</v>
      </c>
    </row>
    <row r="73" spans="1:3" x14ac:dyDescent="0.2">
      <c r="A73" s="152" t="s">
        <v>204</v>
      </c>
      <c r="B73" s="152" t="s">
        <v>378</v>
      </c>
      <c r="C73" s="152" t="s">
        <v>37</v>
      </c>
    </row>
    <row r="74" spans="1:3" x14ac:dyDescent="0.2">
      <c r="A74" s="152" t="s">
        <v>204</v>
      </c>
      <c r="B74" s="152" t="s">
        <v>515</v>
      </c>
      <c r="C74" s="152" t="s">
        <v>351</v>
      </c>
    </row>
    <row r="75" spans="1:3" x14ac:dyDescent="0.2">
      <c r="A75" s="152" t="s">
        <v>76</v>
      </c>
      <c r="B75" s="152" t="s">
        <v>77</v>
      </c>
      <c r="C75" s="152" t="s">
        <v>76</v>
      </c>
    </row>
    <row r="76" spans="1:3" x14ac:dyDescent="0.2">
      <c r="A76" s="152" t="s">
        <v>72</v>
      </c>
      <c r="B76" s="152" t="s">
        <v>614</v>
      </c>
      <c r="C76" s="152" t="s">
        <v>617</v>
      </c>
    </row>
    <row r="77" spans="1:3" x14ac:dyDescent="0.2">
      <c r="A77" s="153" t="s">
        <v>72</v>
      </c>
      <c r="B77" s="153" t="s">
        <v>708</v>
      </c>
      <c r="C77" s="153" t="s">
        <v>710</v>
      </c>
    </row>
    <row r="78" spans="1:3" x14ac:dyDescent="0.2">
      <c r="A78" s="152" t="s">
        <v>72</v>
      </c>
      <c r="B78" s="152" t="s">
        <v>562</v>
      </c>
      <c r="C78" s="152" t="s">
        <v>566</v>
      </c>
    </row>
    <row r="79" spans="1:3" x14ac:dyDescent="0.2">
      <c r="A79" s="152" t="s">
        <v>72</v>
      </c>
      <c r="B79" s="152" t="s">
        <v>552</v>
      </c>
      <c r="C79" s="152" t="s">
        <v>701</v>
      </c>
    </row>
    <row r="80" spans="1:3" x14ac:dyDescent="0.2">
      <c r="A80" s="152" t="s">
        <v>72</v>
      </c>
      <c r="B80" s="152" t="s">
        <v>73</v>
      </c>
      <c r="C80" s="152" t="s">
        <v>278</v>
      </c>
    </row>
    <row r="81" spans="1:3" x14ac:dyDescent="0.2">
      <c r="A81" s="152" t="s">
        <v>72</v>
      </c>
      <c r="B81" s="152" t="s">
        <v>124</v>
      </c>
      <c r="C81" s="152" t="s">
        <v>542</v>
      </c>
    </row>
    <row r="82" spans="1:3" x14ac:dyDescent="0.2">
      <c r="A82" s="152" t="s">
        <v>388</v>
      </c>
      <c r="B82" s="152" t="s">
        <v>148</v>
      </c>
      <c r="C82" s="152" t="s">
        <v>151</v>
      </c>
    </row>
    <row r="83" spans="1:3" x14ac:dyDescent="0.2">
      <c r="A83" s="152" t="s">
        <v>980</v>
      </c>
      <c r="B83" s="152" t="s">
        <v>981</v>
      </c>
      <c r="C83" s="152" t="s">
        <v>734</v>
      </c>
    </row>
    <row r="84" spans="1:3" x14ac:dyDescent="0.2">
      <c r="A84" s="152" t="s">
        <v>256</v>
      </c>
      <c r="B84" s="152" t="s">
        <v>257</v>
      </c>
      <c r="C84" s="152" t="s">
        <v>240</v>
      </c>
    </row>
    <row r="85" spans="1:3" x14ac:dyDescent="0.2">
      <c r="A85" s="152" t="s">
        <v>730</v>
      </c>
      <c r="B85" s="152" t="s">
        <v>731</v>
      </c>
      <c r="C85" s="152" t="s">
        <v>734</v>
      </c>
    </row>
    <row r="86" spans="1:3" x14ac:dyDescent="0.2">
      <c r="A86" s="152" t="s">
        <v>521</v>
      </c>
      <c r="B86" s="152" t="s">
        <v>522</v>
      </c>
      <c r="C86" s="152" t="s">
        <v>523</v>
      </c>
    </row>
  </sheetData>
  <phoneticPr fontId="9"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18</vt:i4>
      </vt:variant>
    </vt:vector>
  </HeadingPairs>
  <TitlesOfParts>
    <vt:vector size="18" baseType="lpstr">
      <vt:lpstr>in</vt:lpstr>
      <vt:lpstr>omie</vt:lpstr>
      <vt:lpstr>ene</vt:lpstr>
      <vt:lpstr>feb</vt:lpstr>
      <vt:lpstr>mar</vt:lpstr>
      <vt:lpstr>abr</vt:lpstr>
      <vt:lpstr>may</vt:lpstr>
      <vt:lpstr>jun</vt:lpstr>
      <vt:lpstr>jul</vt:lpstr>
      <vt:lpstr>ago</vt:lpstr>
      <vt:lpstr>powerrange</vt:lpstr>
      <vt:lpstr>gauss</vt:lpstr>
      <vt:lpstr>externo</vt:lpstr>
      <vt:lpstr>res_mes</vt:lpstr>
      <vt:lpstr>acum_porc</vt:lpstr>
      <vt:lpstr>acum_abs</vt:lpstr>
      <vt:lpstr>estadisticas</vt:lpstr>
      <vt:lpstr>jugadores_2024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2024-08-05T00:28:11Z</dcterms:modified>
</cp:coreProperties>
</file>